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20" yWindow="315" windowWidth="20700" windowHeight="11100" tabRatio="848" firstSheet="168" activeTab="176"/>
  </bookViews>
  <sheets>
    <sheet name="Fundusz Gwarantowany" sheetId="1" r:id="rId1"/>
    <sheet name="Fundusz Stabilnego Wzrostu" sheetId="194" r:id="rId2"/>
    <sheet name="Fundusz Dynamiczny" sheetId="4" r:id="rId3"/>
    <sheet name="Fundusz Obligacji Plus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Akcji" sheetId="14" r:id="rId32"/>
    <sheet name="Allianz Stabilnego Wzrostu" sheetId="28" r:id="rId33"/>
    <sheet name="Allianz Obligacji Plus" sheetId="22" r:id="rId34"/>
    <sheet name="Allianz Aktywnej Alokacji" sheetId="49" r:id="rId35"/>
    <sheet name="Allianz Akcji Małych i ŚS" sheetId="29" r:id="rId36"/>
    <sheet name="Allianz Pieniężny" sheetId="30" r:id="rId37"/>
    <sheet name="Allianz Polskich Obl.Skarb." sheetId="48" r:id="rId38"/>
    <sheet name="Allianz Selektywny" sheetId="83" r:id="rId39"/>
    <sheet name="Allianz Akcji Glob." sheetId="42" r:id="rId40"/>
    <sheet name="Allianz Surowców i Energii" sheetId="188" r:id="rId41"/>
    <sheet name="Allianz Akcji Rynkow Wsch" sheetId="195" r:id="rId42"/>
    <sheet name="Allianz Dyn.Multistrategia" sheetId="196" r:id="rId43"/>
    <sheet name="Allianz Def.Multistrategia" sheetId="209" r:id="rId44"/>
    <sheet name="Allianz Zbal.Multistrategia" sheetId="210" r:id="rId45"/>
    <sheet name="Allianz GSD" sheetId="197" r:id="rId46"/>
    <sheet name="Allianz SAOG" sheetId="198" r:id="rId47"/>
    <sheet name="Altus ASZD" sheetId="156" r:id="rId48"/>
    <sheet name="Altus ASZRP" sheetId="200" r:id="rId49"/>
    <sheet name="Aviva Dł.Pap.Korp." sheetId="112" r:id="rId50"/>
    <sheet name="Aviva MS" sheetId="97" r:id="rId51"/>
    <sheet name="Franklin EDF" sheetId="96" r:id="rId52"/>
    <sheet name="Franklin GFS" sheetId="151" r:id="rId53"/>
    <sheet name="Franklin NR" sheetId="107" r:id="rId54"/>
    <sheet name="Franklin USO" sheetId="152" r:id="rId55"/>
    <sheet name="GS EMDP" sheetId="211" r:id="rId56"/>
    <sheet name="GS GSMBP" sheetId="218" r:id="rId57"/>
    <sheet name="Inwestor Akcji" sheetId="106" r:id="rId58"/>
    <sheet name="Investor Akcji Sp.Dyw." sheetId="123" r:id="rId59"/>
    <sheet name="Investor TOP 25 MS" sheetId="33" r:id="rId60"/>
    <sheet name="Investor Zrównoważony" sheetId="34" r:id="rId61"/>
    <sheet name="Investor Ameryka Łacińska" sheetId="124" r:id="rId62"/>
    <sheet name="Investor BRIC" sheetId="57" r:id="rId63"/>
    <sheet name="Investor Gold" sheetId="55" r:id="rId64"/>
    <sheet name="Investor Got." sheetId="43" r:id="rId65"/>
    <sheet name="Investor Indie i Chiny" sheetId="189" r:id="rId66"/>
    <sheet name="Investor Turcja" sheetId="56" r:id="rId67"/>
    <sheet name="Investor OK" sheetId="212" r:id="rId68"/>
    <sheet name="Investor PL" sheetId="202" r:id="rId69"/>
    <sheet name="Investor ZE" sheetId="201" r:id="rId70"/>
    <sheet name="Investor ASW" sheetId="223" r:id="rId71"/>
    <sheet name="Ipopema A" sheetId="206" r:id="rId72"/>
    <sheet name="JPM EMO" sheetId="24" r:id="rId73"/>
    <sheet name="JPM GH" sheetId="149" r:id="rId74"/>
    <sheet name="JPM GSB" sheetId="148" r:id="rId75"/>
    <sheet name="JPM GMO" sheetId="224" r:id="rId76"/>
    <sheet name="Esaliens Akcji" sheetId="186" r:id="rId77"/>
    <sheet name="Esaliens Obligacji" sheetId="35" r:id="rId78"/>
    <sheet name="Esaliens Pieniężny" sheetId="153" r:id="rId79"/>
    <sheet name="Esaliens Strateg" sheetId="47" r:id="rId80"/>
    <sheet name="Millenium Master I" sheetId="27" r:id="rId81"/>
    <sheet name="Millenium Master II" sheetId="70" r:id="rId82"/>
    <sheet name="Millenium Master III" sheetId="71" r:id="rId83"/>
    <sheet name="Millenium Master IV" sheetId="72" r:id="rId84"/>
    <sheet name="Millenium Master V" sheetId="73" r:id="rId85"/>
    <sheet name="Millenium Master VI" sheetId="74" r:id="rId86"/>
    <sheet name="Millenium Master VII" sheetId="75" r:id="rId87"/>
    <sheet name="NN Akcji" sheetId="77" r:id="rId88"/>
    <sheet name="NN Obligacji" sheetId="36" r:id="rId89"/>
    <sheet name="NN AŚ" sheetId="37" r:id="rId90"/>
    <sheet name="NN ŚMS" sheetId="161" r:id="rId91"/>
    <sheet name="NN Eur.SD" sheetId="115" r:id="rId92"/>
    <sheet name="NN Glob. Długu Korp." sheetId="92" r:id="rId93"/>
    <sheet name="NN Glob.SD" sheetId="90" r:id="rId94"/>
    <sheet name="NN J" sheetId="76" r:id="rId95"/>
    <sheet name="NN NA" sheetId="138" r:id="rId96"/>
    <sheet name="NN ORW" sheetId="136" r:id="rId97"/>
    <sheet name="NN Sp.Dyw.USA" sheetId="137" r:id="rId98"/>
    <sheet name="NN SGA" sheetId="163" r:id="rId99"/>
    <sheet name="NN SDRW" sheetId="213" r:id="rId100"/>
    <sheet name="NN D" sheetId="219" r:id="rId101"/>
    <sheet name="Noble AMiŚS" sheetId="164" r:id="rId102"/>
    <sheet name="Noble A" sheetId="114" r:id="rId103"/>
    <sheet name="Noble GR" sheetId="226" r:id="rId104"/>
    <sheet name="Pekao ARW" sheetId="193" r:id="rId105"/>
    <sheet name="Pekao AGD" sheetId="88" r:id="rId106"/>
    <sheet name="Pekao OS" sheetId="167" r:id="rId107"/>
    <sheet name="Pekao G" sheetId="129" r:id="rId108"/>
    <sheet name="Pekao WDRE" sheetId="168" r:id="rId109"/>
    <sheet name="Pekao Surowców i Energii" sheetId="169" r:id="rId110"/>
    <sheet name="Pekao AP" sheetId="46" r:id="rId111"/>
    <sheet name="Pekao DS" sheetId="89" r:id="rId112"/>
    <sheet name="Pekao OP" sheetId="128" r:id="rId113"/>
    <sheet name="Pekao P" sheetId="85" r:id="rId114"/>
    <sheet name="Pekao P+" sheetId="103" r:id="rId115"/>
    <sheet name="Pekao Stab.Inwest." sheetId="102" r:id="rId116"/>
    <sheet name="Pekao DA2" sheetId="104" r:id="rId117"/>
    <sheet name="Pekao AS" sheetId="170" r:id="rId118"/>
    <sheet name="Pekao AA" sheetId="190" r:id="rId119"/>
    <sheet name="Pekao AE" sheetId="165" r:id="rId120"/>
    <sheet name="Pekao SG" sheetId="166" r:id="rId121"/>
    <sheet name="Pekao AMIŚSRR" sheetId="214" r:id="rId122"/>
    <sheet name="Pekao OID" sheetId="220" r:id="rId123"/>
    <sheet name="PKO Akcji Nowa Europa" sheetId="171" r:id="rId124"/>
    <sheet name="PKO Obligacji Dług." sheetId="38" r:id="rId125"/>
    <sheet name="PKO Stabilnego Wzrostu" sheetId="23" r:id="rId126"/>
    <sheet name="PKO Zrównoważony" sheetId="25" r:id="rId127"/>
    <sheet name="PZU ASD" sheetId="173" r:id="rId128"/>
    <sheet name="PZU AK" sheetId="174" r:id="rId129"/>
    <sheet name="PZU AMiŚS" sheetId="130" r:id="rId130"/>
    <sheet name="PZU EME" sheetId="39" r:id="rId131"/>
    <sheet name="PZU Zrówn." sheetId="100" r:id="rId132"/>
    <sheet name="PZU ARR" sheetId="99" r:id="rId133"/>
    <sheet name="PZU PDP" sheetId="205" r:id="rId134"/>
    <sheet name="PZU S+" sheetId="204" r:id="rId135"/>
    <sheet name="Quercus A" sheetId="101" r:id="rId136"/>
    <sheet name="Quercus LEV" sheetId="118" r:id="rId137"/>
    <sheet name="Quercus OK" sheetId="143" r:id="rId138"/>
    <sheet name="Quercus R" sheetId="119" r:id="rId139"/>
    <sheet name="Quercus SEL" sheetId="144" r:id="rId140"/>
    <sheet name="Quercus Short" sheetId="145" r:id="rId141"/>
    <sheet name="Quercus Stab." sheetId="117" r:id="rId142"/>
    <sheet name="Quercus T" sheetId="116" r:id="rId143"/>
    <sheet name="Schroder ISF ACB" sheetId="142" r:id="rId144"/>
    <sheet name="Schroder ISF AO" sheetId="147" r:id="rId145"/>
    <sheet name="Schroder ISF EMDAR" sheetId="179" r:id="rId146"/>
    <sheet name="Schroder ISF EE" sheetId="146" r:id="rId147"/>
    <sheet name="Schroder ISF FME" sheetId="133" r:id="rId148"/>
    <sheet name="Schroder ISF GDG" sheetId="132" r:id="rId149"/>
    <sheet name="Schroder ISF GHIB" sheetId="135" r:id="rId150"/>
    <sheet name="Skarbiec K" sheetId="134" r:id="rId151"/>
    <sheet name="Skarbiec L" sheetId="113" r:id="rId152"/>
    <sheet name="Skarbiec MIŚS" sheetId="140" r:id="rId153"/>
    <sheet name="Skarbiec GMIŚS" sheetId="227" r:id="rId154"/>
    <sheet name="Skarbiec SW" sheetId="175" r:id="rId155"/>
    <sheet name="Skarbiec MN" sheetId="141" r:id="rId156"/>
    <sheet name="Skarbiec A" sheetId="215" r:id="rId157"/>
    <sheet name="Skarbiec Brands" sheetId="216" r:id="rId158"/>
    <sheet name="Templeton AG" sheetId="176" r:id="rId159"/>
    <sheet name="Templeton GB" sheetId="159" r:id="rId160"/>
    <sheet name="Templeton GTR" sheetId="109" r:id="rId161"/>
    <sheet name="Templeton LA" sheetId="108" r:id="rId162"/>
    <sheet name="UniAkcje Dyw." sheetId="187" r:id="rId163"/>
    <sheet name="Uni Akcje MIŚS" sheetId="177" r:id="rId164"/>
    <sheet name="UniAkcje Nowa Europa" sheetId="41" r:id="rId165"/>
    <sheet name="UniAkcje Wzrostu" sheetId="40" r:id="rId166"/>
    <sheet name="UniKorona Akcje" sheetId="64" r:id="rId167"/>
    <sheet name="UniKorona Obligacje" sheetId="110" r:id="rId168"/>
    <sheet name="UniKorona Pieniężny" sheetId="20" r:id="rId169"/>
    <sheet name="UniKorona Zrównoważony" sheetId="62" r:id="rId170"/>
    <sheet name="UniLokata" sheetId="26" r:id="rId171"/>
    <sheet name="UniObligacje Nowa Europa" sheetId="105" r:id="rId172"/>
    <sheet name="UniStabilny Wzrost" sheetId="63" r:id="rId173"/>
    <sheet name="UniObligacje Zamienne" sheetId="65" r:id="rId174"/>
    <sheet name="UniObligacje Aktywny" sheetId="191" r:id="rId175"/>
    <sheet name="UniAkcje Daleki Wschod" sheetId="228" r:id="rId176"/>
    <sheet name="dodatkowedane" sheetId="80" r:id="rId177"/>
  </sheets>
  <definedNames>
    <definedName name="_xlnm.Print_Area" localSheetId="26">'Aktywny - Surowce i Nowe Gosp.'!$B$2:$E$73</definedName>
    <definedName name="_xlnm.Print_Area" localSheetId="31">'Allianz Akcji'!$B$2:$E$74</definedName>
    <definedName name="_xlnm.Print_Area" localSheetId="33">'Allianz Obligacji Plus'!$B$2:$E$74</definedName>
    <definedName name="_xlnm.Print_Area" localSheetId="49">'Aviva Dł.Pap.Korp.'!$B$2:$E$74</definedName>
    <definedName name="_xlnm.Print_Area" localSheetId="50">'Aviva MS'!$B$2:$E$74</definedName>
    <definedName name="_xlnm.Print_Area" localSheetId="51">'Franklin EDF'!$B$2:$E$74</definedName>
    <definedName name="_xlnm.Print_Area" localSheetId="53">'Franklin NR'!$B$2:$E$74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11">'Fundusz Obligacji Glob.'!$B$2:$E$73</definedName>
    <definedName name="_xlnm.Print_Area" localSheetId="3">'Fundusz Obligacji Plus'!$B$2:$E$74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58">'Investor Akcji Sp.Dyw.'!$B$2:$E$74</definedName>
    <definedName name="_xlnm.Print_Area" localSheetId="61">'Investor Ameryka Łacińska'!$B$2:$E$74</definedName>
    <definedName name="_xlnm.Print_Area" localSheetId="57">'Inwestor Akcji'!$B$2:$E$74</definedName>
    <definedName name="_xlnm.Print_Area" localSheetId="91">'NN Eur.SD'!$B$2:$E$74</definedName>
    <definedName name="_xlnm.Print_Area" localSheetId="92">'NN Glob. Długu Korp.'!$B$2:$E$74</definedName>
    <definedName name="_xlnm.Print_Area" localSheetId="93">'NN Glob.SD'!$B$2:$E$74</definedName>
    <definedName name="_xlnm.Print_Area" localSheetId="102">'Noble A'!$B$2:$E$74</definedName>
    <definedName name="_xlnm.Print_Area" localSheetId="103">'Noble GR'!$B$2:$E$74</definedName>
    <definedName name="_xlnm.Print_Area" localSheetId="105">'Pekao AGD'!$B$2:$E$74</definedName>
    <definedName name="_xlnm.Print_Area" localSheetId="116">'Pekao DA2'!$B$2:$E$74</definedName>
    <definedName name="_xlnm.Print_Area" localSheetId="111">'Pekao DS'!$B$2:$E$74</definedName>
    <definedName name="_xlnm.Print_Area" localSheetId="107">'Pekao G'!$B$2:$E$74</definedName>
    <definedName name="_xlnm.Print_Area" localSheetId="112">'Pekao OP'!$B$2:$E$74</definedName>
    <definedName name="_xlnm.Print_Area" localSheetId="113">'Pekao P'!$B$2:$E$74</definedName>
    <definedName name="_xlnm.Print_Area" localSheetId="114">'Pekao P+'!$B$2:$E$74</definedName>
    <definedName name="_xlnm.Print_Area" localSheetId="115">'Pekao Stab.Inwest.'!$B$2:$E$74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29">'PZU AMiŚS'!$B$2:$E$74</definedName>
    <definedName name="_xlnm.Print_Area" localSheetId="132">'PZU ARR'!$B$2:$E$74</definedName>
    <definedName name="_xlnm.Print_Area" localSheetId="130">'PZU EME'!$B$2:$E$74</definedName>
    <definedName name="_xlnm.Print_Area" localSheetId="131">'PZU Zrówn.'!$B$2:$E$74</definedName>
    <definedName name="_xlnm.Print_Area" localSheetId="135">'Quercus A'!$B$2:$E$74</definedName>
    <definedName name="_xlnm.Print_Area" localSheetId="136">'Quercus LEV'!$B$2:$E$74</definedName>
    <definedName name="_xlnm.Print_Area" localSheetId="138">'Quercus R'!$B$2:$E$74</definedName>
    <definedName name="_xlnm.Print_Area" localSheetId="141">'Quercus Stab.'!$B$2:$E$74</definedName>
    <definedName name="_xlnm.Print_Area" localSheetId="142">'Quercus T'!$B$2:$E$74</definedName>
    <definedName name="_xlnm.Print_Area" localSheetId="147">'Schroder ISF FME'!$B$2:$E$74</definedName>
    <definedName name="_xlnm.Print_Area" localSheetId="148">'Schroder ISF GDG'!$B$2:$E$74</definedName>
    <definedName name="_xlnm.Print_Area" localSheetId="149">'Schroder ISF GHIB'!$B$2:$E$74</definedName>
    <definedName name="_xlnm.Print_Area" localSheetId="150">'Skarbiec K'!$B$2:$E$74</definedName>
    <definedName name="_xlnm.Print_Area" localSheetId="151">'Skarbiec L'!$B$2:$E$74</definedName>
    <definedName name="_xlnm.Print_Area" localSheetId="160">'Templeton GTR'!$B$2:$E$74</definedName>
    <definedName name="_xlnm.Print_Area" localSheetId="161">'Templeton LA'!$B$2:$E$74</definedName>
    <definedName name="_xlnm.Print_Area" localSheetId="167">'UniKorona Obligacje'!$B$2:$E$74</definedName>
    <definedName name="_xlnm.Print_Area" localSheetId="171">'UniObligacje Nowa Europa'!$B$2:$E$74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45621"/>
</workbook>
</file>

<file path=xl/calcChain.xml><?xml version="1.0" encoding="utf-8"?>
<calcChain xmlns="http://schemas.openxmlformats.org/spreadsheetml/2006/main">
  <c r="E18" i="80" l="1"/>
  <c r="D18" i="80"/>
  <c r="E33" i="70"/>
  <c r="E33" i="83"/>
  <c r="E27" i="83"/>
  <c r="E27" i="195"/>
  <c r="E27" i="114"/>
  <c r="E27" i="144"/>
  <c r="E27" i="117"/>
  <c r="E32" i="199"/>
  <c r="E27" i="199" s="1"/>
  <c r="E32" i="217"/>
  <c r="E32" i="9"/>
  <c r="E27" i="9" s="1"/>
  <c r="E32" i="58"/>
  <c r="E27" i="58" s="1"/>
  <c r="E32" i="61"/>
  <c r="E32" i="60"/>
  <c r="E27" i="60" s="1"/>
  <c r="E32" i="84"/>
  <c r="E32" i="14"/>
  <c r="E27" i="14" s="1"/>
  <c r="E32" i="28"/>
  <c r="E27" i="28" s="1"/>
  <c r="E32" i="22"/>
  <c r="E27" i="22" s="1"/>
  <c r="E32" i="49"/>
  <c r="E32" i="29"/>
  <c r="E32" i="30"/>
  <c r="E32" i="83"/>
  <c r="E32" i="42"/>
  <c r="E27" i="42" s="1"/>
  <c r="E32" i="188"/>
  <c r="E32" i="195"/>
  <c r="E32" i="209"/>
  <c r="E32" i="210"/>
  <c r="E32" i="197"/>
  <c r="E27" i="197" s="1"/>
  <c r="E32" i="198"/>
  <c r="E27" i="198" s="1"/>
  <c r="E32" i="156"/>
  <c r="E32" i="200"/>
  <c r="E27" i="200" s="1"/>
  <c r="E32" i="112"/>
  <c r="E27" i="112" s="1"/>
  <c r="E32" i="97"/>
  <c r="E32" i="96"/>
  <c r="E32" i="151"/>
  <c r="E27" i="151" s="1"/>
  <c r="E32" i="107"/>
  <c r="E32" i="152"/>
  <c r="E27" i="152" s="1"/>
  <c r="E32" i="211"/>
  <c r="E32" i="218"/>
  <c r="E32" i="106"/>
  <c r="E32" i="123"/>
  <c r="E27" i="123" s="1"/>
  <c r="E32" i="34"/>
  <c r="E27" i="34" s="1"/>
  <c r="E32" i="43"/>
  <c r="E32" i="212"/>
  <c r="E27" i="212" s="1"/>
  <c r="E32" i="202"/>
  <c r="E32" i="201"/>
  <c r="E27" i="201" s="1"/>
  <c r="E32" i="223"/>
  <c r="E32" i="206"/>
  <c r="E27" i="206" s="1"/>
  <c r="E32" i="24"/>
  <c r="E32" i="149"/>
  <c r="E27" i="149" s="1"/>
  <c r="E32" i="148"/>
  <c r="E27" i="148" s="1"/>
  <c r="E32" i="224"/>
  <c r="E32" i="35"/>
  <c r="E27" i="35" s="1"/>
  <c r="E32" i="27"/>
  <c r="E32" i="70"/>
  <c r="E27" i="70" s="1"/>
  <c r="E32" i="71"/>
  <c r="E32" i="72"/>
  <c r="E27" i="72" s="1"/>
  <c r="E32" i="73"/>
  <c r="E27" i="73" s="1"/>
  <c r="E32" i="74"/>
  <c r="E27" i="74" s="1"/>
  <c r="E32" i="75"/>
  <c r="E27" i="75" s="1"/>
  <c r="E32" i="36"/>
  <c r="E27" i="36" s="1"/>
  <c r="E32" i="161"/>
  <c r="E27" i="161" s="1"/>
  <c r="E32" i="115"/>
  <c r="E32" i="92"/>
  <c r="E27" i="92" s="1"/>
  <c r="E32" i="138"/>
  <c r="E27" i="138" s="1"/>
  <c r="E32" i="136"/>
  <c r="E32" i="137"/>
  <c r="E32" i="163"/>
  <c r="E32" i="213"/>
  <c r="E32" i="219"/>
  <c r="E32" i="164"/>
  <c r="E32" i="114"/>
  <c r="E32" i="226"/>
  <c r="E32" i="193"/>
  <c r="E32" i="88"/>
  <c r="E27" i="88" s="1"/>
  <c r="E32" i="167"/>
  <c r="E32" i="129"/>
  <c r="E32" i="168"/>
  <c r="E32" i="169"/>
  <c r="E32" i="46"/>
  <c r="E32" i="89"/>
  <c r="E32" i="85"/>
  <c r="E27" i="85" s="1"/>
  <c r="E32" i="103"/>
  <c r="E27" i="103" s="1"/>
  <c r="E32" i="102"/>
  <c r="E27" i="102" s="1"/>
  <c r="E32" i="104"/>
  <c r="E27" i="104" s="1"/>
  <c r="E32" i="170"/>
  <c r="E27" i="170" s="1"/>
  <c r="E32" i="190"/>
  <c r="E27" i="190" s="1"/>
  <c r="E32" i="165"/>
  <c r="E27" i="165" s="1"/>
  <c r="E32" i="166"/>
  <c r="E27" i="166" s="1"/>
  <c r="E32" i="214"/>
  <c r="E32" i="220"/>
  <c r="E32" i="171"/>
  <c r="E27" i="171" s="1"/>
  <c r="E32" i="173"/>
  <c r="E27" i="173" s="1"/>
  <c r="E32" i="174"/>
  <c r="E32" i="130"/>
  <c r="E27" i="130" s="1"/>
  <c r="E32" i="39"/>
  <c r="E32" i="100"/>
  <c r="E27" i="100" s="1"/>
  <c r="E32" i="99"/>
  <c r="E27" i="99" s="1"/>
  <c r="E32" i="205"/>
  <c r="E32" i="204"/>
  <c r="E32" i="118"/>
  <c r="E27" i="118" s="1"/>
  <c r="E32" i="119"/>
  <c r="E32" i="144"/>
  <c r="E32" i="145"/>
  <c r="E27" i="145" s="1"/>
  <c r="E32" i="117"/>
  <c r="E32" i="116"/>
  <c r="E32" i="142"/>
  <c r="E32" i="147"/>
  <c r="E32" i="179"/>
  <c r="E27" i="179" s="1"/>
  <c r="E32" i="146"/>
  <c r="E32" i="132"/>
  <c r="E32" i="135"/>
  <c r="E32" i="134"/>
  <c r="E27" i="134" s="1"/>
  <c r="E32" i="113"/>
  <c r="E32" i="140"/>
  <c r="E27" i="140" s="1"/>
  <c r="E32" i="227"/>
  <c r="E32" i="175"/>
  <c r="E27" i="175" s="1"/>
  <c r="E32" i="141"/>
  <c r="E32" i="216"/>
  <c r="E32" i="176"/>
  <c r="E32" i="159"/>
  <c r="E32" i="108"/>
  <c r="E27" i="108" s="1"/>
  <c r="E32" i="187"/>
  <c r="E27" i="187" s="1"/>
  <c r="E32" i="40"/>
  <c r="E32" i="64"/>
  <c r="E27" i="64" s="1"/>
  <c r="E32" i="62"/>
  <c r="E27" i="62" s="1"/>
  <c r="E32" i="26"/>
  <c r="E27" i="26" s="1"/>
  <c r="E32" i="105"/>
  <c r="E27" i="105" s="1"/>
  <c r="E32" i="63"/>
  <c r="E27" i="63" s="1"/>
  <c r="E32" i="65"/>
  <c r="E32" i="228"/>
  <c r="E27" i="228" s="1"/>
  <c r="E28" i="194"/>
  <c r="E28" i="4"/>
  <c r="E28" i="5"/>
  <c r="E28" i="10"/>
  <c r="E28" i="11"/>
  <c r="E28" i="16"/>
  <c r="E28" i="17"/>
  <c r="E28" i="81"/>
  <c r="E28" i="78"/>
  <c r="E28" i="79"/>
  <c r="E28" i="122"/>
  <c r="E28" i="121"/>
  <c r="E28" i="120"/>
  <c r="E28" i="69"/>
  <c r="E28" i="67"/>
  <c r="E28" i="53"/>
  <c r="E28" i="94"/>
  <c r="E28" i="93"/>
  <c r="E28" i="199"/>
  <c r="E28" i="217"/>
  <c r="E28" i="95"/>
  <c r="E28" i="6"/>
  <c r="E28" i="7"/>
  <c r="E28" i="8"/>
  <c r="E28" i="9"/>
  <c r="E28" i="13"/>
  <c r="E28" i="58"/>
  <c r="E28" i="61"/>
  <c r="E28" i="60"/>
  <c r="E28" i="84"/>
  <c r="E28" i="14"/>
  <c r="E28" i="28"/>
  <c r="E28" i="22"/>
  <c r="E28" i="49"/>
  <c r="E28" i="29"/>
  <c r="E28" i="30"/>
  <c r="E28" i="48"/>
  <c r="E28" i="83"/>
  <c r="E28" i="42"/>
  <c r="E28" i="188"/>
  <c r="E27" i="188" s="1"/>
  <c r="E28" i="195"/>
  <c r="E28" i="196"/>
  <c r="E28" i="209"/>
  <c r="E28" i="210"/>
  <c r="E28" i="197"/>
  <c r="E28" i="198"/>
  <c r="E28" i="156"/>
  <c r="E27" i="156" s="1"/>
  <c r="E28" i="200"/>
  <c r="E28" i="112"/>
  <c r="E28" i="97"/>
  <c r="E27" i="97" s="1"/>
  <c r="E28" i="96"/>
  <c r="E28" i="151"/>
  <c r="E28" i="107"/>
  <c r="E27" i="107" s="1"/>
  <c r="E28" i="152"/>
  <c r="E28" i="211"/>
  <c r="E27" i="211" s="1"/>
  <c r="E28" i="218"/>
  <c r="E27" i="218" s="1"/>
  <c r="E28" i="106"/>
  <c r="E28" i="123"/>
  <c r="E28" i="33"/>
  <c r="E28" i="34"/>
  <c r="E28" i="124"/>
  <c r="E28" i="57"/>
  <c r="E28" i="55"/>
  <c r="E28" i="43"/>
  <c r="E28" i="189"/>
  <c r="E28" i="56"/>
  <c r="E28" i="212"/>
  <c r="E28" i="202"/>
  <c r="E27" i="202" s="1"/>
  <c r="E28" i="201"/>
  <c r="E28" i="223"/>
  <c r="E27" i="223" s="1"/>
  <c r="E28" i="206"/>
  <c r="E28" i="24"/>
  <c r="E28" i="149"/>
  <c r="E28" i="148"/>
  <c r="E28" i="224"/>
  <c r="E28" i="186"/>
  <c r="E28" i="35"/>
  <c r="E28" i="153"/>
  <c r="E28" i="47"/>
  <c r="E28" i="27"/>
  <c r="E27" i="27" s="1"/>
  <c r="E28" i="70"/>
  <c r="E28" i="71"/>
  <c r="E27" i="71" s="1"/>
  <c r="E28" i="72"/>
  <c r="E28" i="73"/>
  <c r="E28" i="74"/>
  <c r="E28" i="75"/>
  <c r="E28" i="77"/>
  <c r="E28" i="36"/>
  <c r="E28" i="37"/>
  <c r="E28" i="161"/>
  <c r="E28" i="115"/>
  <c r="E27" i="115" s="1"/>
  <c r="E28" i="92"/>
  <c r="E28" i="90"/>
  <c r="E28" i="76"/>
  <c r="E28" i="138"/>
  <c r="E28" i="136"/>
  <c r="E28" i="137"/>
  <c r="E27" i="137" s="1"/>
  <c r="E28" i="163"/>
  <c r="E27" i="163" s="1"/>
  <c r="E28" i="213"/>
  <c r="E27" i="213" s="1"/>
  <c r="E28" i="219"/>
  <c r="E27" i="219" s="1"/>
  <c r="E28" i="164"/>
  <c r="E28" i="114"/>
  <c r="E28" i="226"/>
  <c r="E28" i="193"/>
  <c r="E28" i="88"/>
  <c r="E28" i="167"/>
  <c r="E27" i="167" s="1"/>
  <c r="E28" i="129"/>
  <c r="E28" i="168"/>
  <c r="E28" i="169"/>
  <c r="E28" i="46"/>
  <c r="E28" i="89"/>
  <c r="E28" i="128"/>
  <c r="E28" i="85"/>
  <c r="E28" i="103"/>
  <c r="E28" i="102"/>
  <c r="E28" i="104"/>
  <c r="E28" i="170"/>
  <c r="E28" i="190"/>
  <c r="E28" i="165"/>
  <c r="E28" i="166"/>
  <c r="E28" i="214"/>
  <c r="E28" i="220"/>
  <c r="E28" i="171"/>
  <c r="E28" i="38"/>
  <c r="E28" i="23"/>
  <c r="E28" i="25"/>
  <c r="E28" i="173"/>
  <c r="E28" i="174"/>
  <c r="E27" i="174" s="1"/>
  <c r="E28" i="130"/>
  <c r="E28" i="39"/>
  <c r="E27" i="39" s="1"/>
  <c r="E28" i="100"/>
  <c r="E28" i="99"/>
  <c r="E28" i="205"/>
  <c r="E27" i="205" s="1"/>
  <c r="E28" i="204"/>
  <c r="E27" i="204" s="1"/>
  <c r="E28" i="101"/>
  <c r="E28" i="118"/>
  <c r="E28" i="143"/>
  <c r="E28" i="119"/>
  <c r="E28" i="144"/>
  <c r="E28" i="145"/>
  <c r="E28" i="117"/>
  <c r="E28" i="116"/>
  <c r="E27" i="116" s="1"/>
  <c r="E28" i="142"/>
  <c r="E28" i="147"/>
  <c r="E27" i="147" s="1"/>
  <c r="E28" i="179"/>
  <c r="E28" i="146"/>
  <c r="E28" i="133"/>
  <c r="E28" i="132"/>
  <c r="E28" i="135"/>
  <c r="E28" i="134"/>
  <c r="E28" i="113"/>
  <c r="E27" i="113" s="1"/>
  <c r="E28" i="140"/>
  <c r="E28" i="227"/>
  <c r="E27" i="227" s="1"/>
  <c r="E28" i="175"/>
  <c r="E28" i="141"/>
  <c r="E27" i="141" s="1"/>
  <c r="E28" i="215"/>
  <c r="E28" i="216"/>
  <c r="E27" i="216" s="1"/>
  <c r="E28" i="176"/>
  <c r="E27" i="176" s="1"/>
  <c r="E28" i="159"/>
  <c r="E28" i="109"/>
  <c r="E28" i="108"/>
  <c r="E28" i="187"/>
  <c r="E28" i="177"/>
  <c r="E28" i="41"/>
  <c r="E28" i="40"/>
  <c r="E27" i="40" s="1"/>
  <c r="E28" i="64"/>
  <c r="E28" i="110"/>
  <c r="E28" i="20"/>
  <c r="E28" i="62"/>
  <c r="E28" i="26"/>
  <c r="E28" i="105"/>
  <c r="E28" i="63"/>
  <c r="E28" i="65"/>
  <c r="E27" i="65" s="1"/>
  <c r="E28" i="191"/>
  <c r="E28" i="228"/>
  <c r="E28" i="1"/>
  <c r="E27" i="159" l="1"/>
  <c r="E27" i="135"/>
  <c r="E27" i="132"/>
  <c r="E27" i="146"/>
  <c r="E27" i="142"/>
  <c r="E27" i="119"/>
  <c r="E27" i="220"/>
  <c r="E27" i="214"/>
  <c r="E27" i="89"/>
  <c r="E27" i="46"/>
  <c r="E27" i="169"/>
  <c r="E27" i="168"/>
  <c r="E27" i="129"/>
  <c r="E27" i="193"/>
  <c r="E27" i="226"/>
  <c r="E27" i="164"/>
  <c r="E27" i="136"/>
  <c r="E27" i="224"/>
  <c r="E27" i="24"/>
  <c r="E27" i="43"/>
  <c r="E27" i="106"/>
  <c r="E27" i="96"/>
  <c r="E27" i="210"/>
  <c r="E27" i="209"/>
  <c r="E27" i="30"/>
  <c r="E27" i="29"/>
  <c r="E27" i="49"/>
  <c r="E27" i="84"/>
  <c r="E27" i="61"/>
  <c r="E27" i="217"/>
  <c r="E33" i="128" l="1"/>
  <c r="E32" i="128" s="1"/>
  <c r="E27" i="128" s="1"/>
  <c r="E12" i="128"/>
  <c r="E33" i="191" l="1"/>
  <c r="E32" i="191" s="1"/>
  <c r="E27" i="191" s="1"/>
  <c r="E12" i="191"/>
  <c r="E33" i="20"/>
  <c r="E32" i="20" s="1"/>
  <c r="E27" i="20" s="1"/>
  <c r="E12" i="20"/>
  <c r="E33" i="110"/>
  <c r="E32" i="110" s="1"/>
  <c r="E27" i="110" s="1"/>
  <c r="E12" i="110"/>
  <c r="E33" i="41"/>
  <c r="E32" i="41" s="1"/>
  <c r="E27" i="41" s="1"/>
  <c r="E12" i="41"/>
  <c r="E33" i="177"/>
  <c r="E32" i="177" s="1"/>
  <c r="E27" i="177" s="1"/>
  <c r="E12" i="177"/>
  <c r="E33" i="109"/>
  <c r="E32" i="109" s="1"/>
  <c r="E27" i="109" s="1"/>
  <c r="E12" i="109"/>
  <c r="E41" i="216"/>
  <c r="E33" i="215"/>
  <c r="E32" i="215" s="1"/>
  <c r="E27" i="215" s="1"/>
  <c r="E12" i="215"/>
  <c r="E12" i="140"/>
  <c r="E33" i="133"/>
  <c r="E32" i="133" s="1"/>
  <c r="E27" i="133" s="1"/>
  <c r="E12" i="133"/>
  <c r="E33" i="143"/>
  <c r="E32" i="143" s="1"/>
  <c r="E27" i="143" s="1"/>
  <c r="E12" i="143"/>
  <c r="E33" i="101"/>
  <c r="E32" i="101" s="1"/>
  <c r="E27" i="101" s="1"/>
  <c r="E12" i="101"/>
  <c r="E12" i="130"/>
  <c r="E33" i="25"/>
  <c r="E32" i="25" s="1"/>
  <c r="E27" i="25" s="1"/>
  <c r="E12" i="25"/>
  <c r="E33" i="23"/>
  <c r="E32" i="23" s="1"/>
  <c r="E27" i="23" s="1"/>
  <c r="E12" i="23"/>
  <c r="E33" i="38"/>
  <c r="E32" i="38" s="1"/>
  <c r="E27" i="38" s="1"/>
  <c r="E12" i="38"/>
  <c r="E12" i="171"/>
  <c r="E12" i="213" l="1"/>
  <c r="E33" i="76"/>
  <c r="E32" i="76" s="1"/>
  <c r="E27" i="76" s="1"/>
  <c r="E12" i="76"/>
  <c r="E33" i="90"/>
  <c r="E32" i="90" s="1"/>
  <c r="E27" i="90" s="1"/>
  <c r="E12" i="90"/>
  <c r="E33" i="37"/>
  <c r="E32" i="37" s="1"/>
  <c r="E27" i="37" s="1"/>
  <c r="E12" i="37"/>
  <c r="E33" i="77"/>
  <c r="E32" i="77" s="1"/>
  <c r="E27" i="77" s="1"/>
  <c r="E12" i="77"/>
  <c r="E74" i="228"/>
  <c r="E75" i="228" s="1"/>
  <c r="D72" i="228"/>
  <c r="E64" i="228"/>
  <c r="E26" i="228"/>
  <c r="E41" i="228" s="1"/>
  <c r="E11" i="228"/>
  <c r="E21" i="228" s="1"/>
  <c r="D64" i="228" s="1"/>
  <c r="D58" i="228" s="1"/>
  <c r="D74" i="228" s="1"/>
  <c r="D75" i="228" s="1"/>
  <c r="D72" i="227"/>
  <c r="E26" i="227"/>
  <c r="E41" i="227" s="1"/>
  <c r="E11" i="227"/>
  <c r="E21" i="227" s="1"/>
  <c r="D64" i="227" l="1"/>
  <c r="D58" i="227" s="1"/>
  <c r="D74" i="227" l="1"/>
  <c r="D75" i="227" s="1"/>
  <c r="E58" i="227"/>
  <c r="E64" i="227" l="1"/>
  <c r="E74" i="227"/>
  <c r="E75" i="227" s="1"/>
  <c r="D72" i="226" l="1"/>
  <c r="E26" i="226"/>
  <c r="E41" i="226" s="1"/>
  <c r="E11" i="226"/>
  <c r="E21" i="226" s="1"/>
  <c r="E12" i="75"/>
  <c r="E12" i="74"/>
  <c r="E12" i="73"/>
  <c r="E12" i="72"/>
  <c r="E12" i="71"/>
  <c r="D64" i="226" l="1"/>
  <c r="D58" i="226" s="1"/>
  <c r="E33" i="47"/>
  <c r="E32" i="47" s="1"/>
  <c r="E27" i="47" s="1"/>
  <c r="E12" i="47"/>
  <c r="E33" i="153"/>
  <c r="E32" i="153" s="1"/>
  <c r="E27" i="153" s="1"/>
  <c r="E12" i="153"/>
  <c r="E33" i="186"/>
  <c r="E32" i="186" s="1"/>
  <c r="E27" i="186" s="1"/>
  <c r="E12" i="186"/>
  <c r="E33" i="56"/>
  <c r="E32" i="56" s="1"/>
  <c r="E27" i="56" s="1"/>
  <c r="E33" i="189"/>
  <c r="E32" i="189" s="1"/>
  <c r="E27" i="189" s="1"/>
  <c r="E12" i="189"/>
  <c r="E33" i="55"/>
  <c r="E32" i="55" s="1"/>
  <c r="E27" i="55" s="1"/>
  <c r="E12" i="55"/>
  <c r="E33" i="57"/>
  <c r="E32" i="57" s="1"/>
  <c r="E27" i="57" s="1"/>
  <c r="E12" i="57"/>
  <c r="E33" i="124"/>
  <c r="E32" i="124" s="1"/>
  <c r="E27" i="124" s="1"/>
  <c r="E12" i="124"/>
  <c r="E33" i="33"/>
  <c r="E32" i="33" s="1"/>
  <c r="E27" i="33" s="1"/>
  <c r="E12" i="33"/>
  <c r="E11" i="151"/>
  <c r="D74" i="226" l="1"/>
  <c r="D75" i="226" s="1"/>
  <c r="E58" i="226"/>
  <c r="E33" i="196"/>
  <c r="E32" i="196" s="1"/>
  <c r="E27" i="196" s="1"/>
  <c r="E12" i="196"/>
  <c r="E12" i="83"/>
  <c r="E33" i="48"/>
  <c r="E32" i="48" s="1"/>
  <c r="E27" i="48" s="1"/>
  <c r="E12" i="48"/>
  <c r="E74" i="226" l="1"/>
  <c r="E75" i="226" s="1"/>
  <c r="E64" i="226"/>
  <c r="D64" i="13" l="1"/>
  <c r="E33" i="13"/>
  <c r="E32" i="13" s="1"/>
  <c r="E27" i="13" s="1"/>
  <c r="E12" i="13"/>
  <c r="E33" i="8"/>
  <c r="E32" i="8" s="1"/>
  <c r="E27" i="8" s="1"/>
  <c r="E12" i="8"/>
  <c r="E12" i="7"/>
  <c r="D64" i="7" s="1"/>
  <c r="E33" i="7"/>
  <c r="E32" i="7" s="1"/>
  <c r="E27" i="7" s="1"/>
  <c r="E12" i="6"/>
  <c r="D64" i="6" s="1"/>
  <c r="E33" i="6"/>
  <c r="E32" i="6" s="1"/>
  <c r="E27" i="6" s="1"/>
  <c r="E33" i="95"/>
  <c r="E32" i="95" s="1"/>
  <c r="E27" i="95" s="1"/>
  <c r="E12" i="95"/>
  <c r="D64" i="95" s="1"/>
  <c r="E12" i="217"/>
  <c r="D64" i="199"/>
  <c r="E12" i="199"/>
  <c r="D64" i="93"/>
  <c r="E12" i="93"/>
  <c r="E33" i="93"/>
  <c r="E32" i="93" s="1"/>
  <c r="E27" i="93" s="1"/>
  <c r="D64" i="94"/>
  <c r="E12" i="94"/>
  <c r="E33" i="94"/>
  <c r="E32" i="94" s="1"/>
  <c r="E27" i="94" s="1"/>
  <c r="E12" i="53"/>
  <c r="E33" i="53"/>
  <c r="E32" i="53" s="1"/>
  <c r="E27" i="53" s="1"/>
  <c r="D64" i="67"/>
  <c r="E12" i="67"/>
  <c r="E33" i="67"/>
  <c r="E32" i="67" s="1"/>
  <c r="E27" i="67" s="1"/>
  <c r="D64" i="69"/>
  <c r="E12" i="69"/>
  <c r="E33" i="69"/>
  <c r="E32" i="69" s="1"/>
  <c r="E27" i="69" s="1"/>
  <c r="D64" i="120"/>
  <c r="E12" i="120"/>
  <c r="E33" i="120"/>
  <c r="E32" i="120" s="1"/>
  <c r="E27" i="120" s="1"/>
  <c r="D64" i="121"/>
  <c r="E12" i="121"/>
  <c r="E33" i="121"/>
  <c r="E32" i="121" s="1"/>
  <c r="E27" i="121" s="1"/>
  <c r="D64" i="122"/>
  <c r="E12" i="122"/>
  <c r="E33" i="122"/>
  <c r="E32" i="122" s="1"/>
  <c r="E27" i="122" s="1"/>
  <c r="E33" i="79"/>
  <c r="E32" i="79" s="1"/>
  <c r="E27" i="79" s="1"/>
  <c r="D64" i="79"/>
  <c r="E12" i="79"/>
  <c r="D64" i="78"/>
  <c r="E33" i="78"/>
  <c r="E32" i="78" s="1"/>
  <c r="E27" i="78" s="1"/>
  <c r="E12" i="78"/>
  <c r="D64" i="81"/>
  <c r="E12" i="81"/>
  <c r="E33" i="81"/>
  <c r="E32" i="81" s="1"/>
  <c r="E27" i="81" s="1"/>
  <c r="D64" i="17"/>
  <c r="E12" i="17"/>
  <c r="E33" i="17"/>
  <c r="E32" i="17" s="1"/>
  <c r="E27" i="17" s="1"/>
  <c r="D64" i="16"/>
  <c r="E12" i="16"/>
  <c r="E33" i="16"/>
  <c r="E32" i="16" s="1"/>
  <c r="E27" i="16" s="1"/>
  <c r="D64" i="11"/>
  <c r="E12" i="11"/>
  <c r="E33" i="11"/>
  <c r="E32" i="11" s="1"/>
  <c r="E27" i="11" s="1"/>
  <c r="D64" i="10"/>
  <c r="E12" i="10"/>
  <c r="E33" i="10"/>
  <c r="E32" i="10" s="1"/>
  <c r="E27" i="10" s="1"/>
  <c r="D64" i="5"/>
  <c r="E12" i="5"/>
  <c r="E33" i="5"/>
  <c r="E32" i="5" s="1"/>
  <c r="E27" i="5" s="1"/>
  <c r="D64" i="4"/>
  <c r="E33" i="4"/>
  <c r="E32" i="4" s="1"/>
  <c r="E27" i="4" s="1"/>
  <c r="E12" i="4"/>
  <c r="D64" i="194"/>
  <c r="E12" i="194"/>
  <c r="E33" i="194"/>
  <c r="E32" i="194" s="1"/>
  <c r="E27" i="194" s="1"/>
  <c r="D59" i="1"/>
  <c r="E33" i="1"/>
  <c r="E32" i="1" s="1"/>
  <c r="E27" i="1" s="1"/>
  <c r="E12" i="1" l="1"/>
  <c r="D69" i="84"/>
  <c r="E12" i="84"/>
  <c r="D69" i="60"/>
  <c r="E12" i="60"/>
  <c r="D69" i="61"/>
  <c r="E12" i="61"/>
  <c r="D69" i="58"/>
  <c r="E12" i="58"/>
  <c r="D69" i="13"/>
  <c r="E14" i="9"/>
  <c r="E11" i="9" s="1"/>
  <c r="E14" i="7"/>
  <c r="E11" i="7" s="1"/>
  <c r="D69" i="93" l="1"/>
  <c r="E14" i="93"/>
  <c r="E11" i="93" s="1"/>
  <c r="D69" i="94"/>
  <c r="D69" i="53"/>
  <c r="E14" i="53"/>
  <c r="D69" i="67"/>
  <c r="D69" i="69"/>
  <c r="D69" i="120"/>
  <c r="D69" i="121"/>
  <c r="D69" i="122"/>
  <c r="D69" i="79"/>
  <c r="D69" i="78"/>
  <c r="D69" i="81"/>
  <c r="D69" i="17"/>
  <c r="D69" i="16"/>
  <c r="D69" i="11"/>
  <c r="D69" i="10"/>
  <c r="D69" i="5"/>
  <c r="D69" i="4"/>
  <c r="D69" i="194"/>
  <c r="E26" i="218" l="1"/>
  <c r="D17" i="4" l="1"/>
  <c r="D14" i="4"/>
  <c r="D11" i="4" s="1"/>
  <c r="D21" i="4" s="1"/>
  <c r="D12" i="4"/>
  <c r="D17" i="194"/>
  <c r="D14" i="194"/>
  <c r="D12" i="194"/>
  <c r="D11" i="194"/>
  <c r="D21" i="194" s="1"/>
  <c r="D17" i="1"/>
  <c r="D14" i="1"/>
  <c r="D12" i="1"/>
  <c r="D11" i="1" l="1"/>
  <c r="D21" i="1" s="1"/>
  <c r="E12" i="134" l="1"/>
  <c r="D72" i="224" l="1"/>
  <c r="E26" i="224"/>
  <c r="E41" i="224" s="1"/>
  <c r="E11" i="224"/>
  <c r="E21" i="224" s="1"/>
  <c r="E26" i="223"/>
  <c r="E41" i="223" s="1"/>
  <c r="D72" i="223"/>
  <c r="E11" i="223"/>
  <c r="E21" i="223" s="1"/>
  <c r="D64" i="224" l="1"/>
  <c r="D58" i="224" s="1"/>
  <c r="D74" i="224"/>
  <c r="D76" i="224" s="1"/>
  <c r="E58" i="224"/>
  <c r="E64" i="224" l="1"/>
  <c r="E74" i="224"/>
  <c r="E76" i="224" s="1"/>
  <c r="E74" i="223" l="1"/>
  <c r="E75" i="223" s="1"/>
  <c r="E64" i="223"/>
  <c r="D64" i="8" l="1"/>
  <c r="D71" i="84" l="1"/>
  <c r="E26" i="219" l="1"/>
  <c r="E26" i="220"/>
  <c r="E41" i="220" s="1"/>
  <c r="E26" i="96" l="1"/>
  <c r="D72" i="220" l="1"/>
  <c r="E11" i="220"/>
  <c r="E21" i="220" s="1"/>
  <c r="D72" i="219"/>
  <c r="E11" i="219"/>
  <c r="E21" i="219" s="1"/>
  <c r="D72" i="218"/>
  <c r="E41" i="218"/>
  <c r="E11" i="218"/>
  <c r="E21" i="218" s="1"/>
  <c r="D64" i="219" l="1"/>
  <c r="D58" i="219" s="1"/>
  <c r="D64" i="218"/>
  <c r="D58" i="218" s="1"/>
  <c r="D74" i="218" s="1"/>
  <c r="D76" i="218" s="1"/>
  <c r="D64" i="220"/>
  <c r="D58" i="220" s="1"/>
  <c r="D74" i="219" l="1"/>
  <c r="D75" i="219" s="1"/>
  <c r="E58" i="218"/>
  <c r="D74" i="220"/>
  <c r="D75" i="220" s="1"/>
  <c r="E58" i="220"/>
  <c r="E74" i="219"/>
  <c r="E75" i="219" s="1"/>
  <c r="E74" i="218"/>
  <c r="E76" i="218" s="1"/>
  <c r="E64" i="218"/>
  <c r="E74" i="220" l="1"/>
  <c r="E75" i="220" s="1"/>
  <c r="E64" i="220"/>
  <c r="E14" i="13" l="1"/>
  <c r="E26" i="215" l="1"/>
  <c r="E41" i="215" s="1"/>
  <c r="E26" i="145"/>
  <c r="E41" i="145" s="1"/>
  <c r="E26" i="211"/>
  <c r="E41" i="211" s="1"/>
  <c r="E26" i="196"/>
  <c r="E41" i="196" s="1"/>
  <c r="E26" i="188"/>
  <c r="D71" i="8"/>
  <c r="E26" i="217"/>
  <c r="E26" i="199"/>
  <c r="E23" i="80" l="1"/>
  <c r="D23" i="80"/>
  <c r="E26" i="209"/>
  <c r="E41" i="209" s="1"/>
  <c r="E17" i="1"/>
  <c r="E17" i="194"/>
  <c r="E17" i="4"/>
  <c r="E17" i="5"/>
  <c r="E17" i="10"/>
  <c r="D73" i="10" s="1"/>
  <c r="E17" i="11"/>
  <c r="D73" i="11" s="1"/>
  <c r="E17" i="16"/>
  <c r="E17" i="17"/>
  <c r="D73" i="17" s="1"/>
  <c r="E17" i="81"/>
  <c r="E17" i="78"/>
  <c r="E17" i="122"/>
  <c r="E17" i="120"/>
  <c r="E17" i="69"/>
  <c r="D73" i="69" s="1"/>
  <c r="E17" i="67"/>
  <c r="E17" i="53"/>
  <c r="E17" i="95"/>
  <c r="E17" i="6"/>
  <c r="E17" i="7"/>
  <c r="D73" i="7" s="1"/>
  <c r="D64" i="48"/>
  <c r="D73" i="48"/>
  <c r="D64" i="196"/>
  <c r="D73" i="196"/>
  <c r="D64" i="70"/>
  <c r="D73" i="70"/>
  <c r="D64" i="71"/>
  <c r="D58" i="71" s="1"/>
  <c r="D73" i="71"/>
  <c r="D64" i="72"/>
  <c r="D73" i="72"/>
  <c r="D64" i="73"/>
  <c r="D58" i="73" s="1"/>
  <c r="D73" i="73"/>
  <c r="D64" i="74"/>
  <c r="D73" i="74"/>
  <c r="D64" i="55"/>
  <c r="D58" i="55" s="1"/>
  <c r="D73" i="55"/>
  <c r="D64" i="37"/>
  <c r="D73" i="37"/>
  <c r="D64" i="90"/>
  <c r="D58" i="90" s="1"/>
  <c r="D73" i="90"/>
  <c r="D64" i="153"/>
  <c r="D73" i="153"/>
  <c r="D64" i="23"/>
  <c r="D73" i="23"/>
  <c r="D64" i="143"/>
  <c r="D58" i="143" s="1"/>
  <c r="D73" i="143"/>
  <c r="D64" i="134"/>
  <c r="D73" i="134"/>
  <c r="D64" i="177"/>
  <c r="D73" i="177"/>
  <c r="D64" i="110"/>
  <c r="D73" i="110"/>
  <c r="D64" i="20"/>
  <c r="D73" i="20"/>
  <c r="E11" i="215"/>
  <c r="E21" i="215" s="1"/>
  <c r="E11" i="130"/>
  <c r="E21" i="130" s="1"/>
  <c r="E41" i="96"/>
  <c r="E26" i="214"/>
  <c r="E41" i="214" s="1"/>
  <c r="E41" i="217"/>
  <c r="E41" i="199"/>
  <c r="E14" i="8"/>
  <c r="E11" i="8" s="1"/>
  <c r="D73" i="217"/>
  <c r="D72" i="217"/>
  <c r="D71" i="217"/>
  <c r="E11" i="217"/>
  <c r="E21" i="217" s="1"/>
  <c r="E14" i="94"/>
  <c r="E11" i="94" s="1"/>
  <c r="E11" i="53"/>
  <c r="D71" i="4"/>
  <c r="D71" i="5"/>
  <c r="D71" i="10"/>
  <c r="D71" i="11"/>
  <c r="D71" i="16"/>
  <c r="D71" i="17"/>
  <c r="D71" i="81"/>
  <c r="D71" i="78"/>
  <c r="D71" i="79"/>
  <c r="D71" i="122"/>
  <c r="D71" i="121"/>
  <c r="D71" i="120"/>
  <c r="D71" i="69"/>
  <c r="D71" i="67"/>
  <c r="D71" i="53"/>
  <c r="D71" i="94"/>
  <c r="D71" i="93"/>
  <c r="D71" i="199"/>
  <c r="D71" i="194"/>
  <c r="D72" i="216"/>
  <c r="E11" i="216"/>
  <c r="E21" i="216" s="1"/>
  <c r="D72" i="215"/>
  <c r="D72" i="214"/>
  <c r="E11" i="214"/>
  <c r="E21" i="214" s="1"/>
  <c r="D72" i="213"/>
  <c r="E26" i="213"/>
  <c r="E41" i="213" s="1"/>
  <c r="E11" i="213"/>
  <c r="E21" i="213" s="1"/>
  <c r="D72" i="212"/>
  <c r="E26" i="212"/>
  <c r="E41" i="212" s="1"/>
  <c r="E11" i="212"/>
  <c r="E21" i="212" s="1"/>
  <c r="D72" i="211"/>
  <c r="E11" i="211"/>
  <c r="E21" i="211" s="1"/>
  <c r="D72" i="210"/>
  <c r="E26" i="210"/>
  <c r="E41" i="210" s="1"/>
  <c r="E11" i="210"/>
  <c r="E21" i="210" s="1"/>
  <c r="D72" i="209"/>
  <c r="E11" i="209"/>
  <c r="E21" i="209" s="1"/>
  <c r="E26" i="151"/>
  <c r="E41" i="151" s="1"/>
  <c r="E26" i="107"/>
  <c r="E41" i="107" s="1"/>
  <c r="E26" i="205"/>
  <c r="E41" i="205" s="1"/>
  <c r="D72" i="206"/>
  <c r="E26" i="206"/>
  <c r="E11" i="206"/>
  <c r="E21" i="206" s="1"/>
  <c r="D72" i="204"/>
  <c r="E26" i="204"/>
  <c r="E11" i="204"/>
  <c r="E21" i="204" s="1"/>
  <c r="D72" i="205"/>
  <c r="E11" i="205"/>
  <c r="E21" i="205" s="1"/>
  <c r="D72" i="201"/>
  <c r="E26" i="201"/>
  <c r="E41" i="201" s="1"/>
  <c r="E11" i="201"/>
  <c r="E21" i="201" s="1"/>
  <c r="D72" i="202"/>
  <c r="E26" i="202"/>
  <c r="E41" i="202" s="1"/>
  <c r="E11" i="202"/>
  <c r="E21" i="202" s="1"/>
  <c r="E11" i="107"/>
  <c r="E21" i="107" s="1"/>
  <c r="E11" i="152"/>
  <c r="E21" i="152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56"/>
  <c r="E21" i="56" s="1"/>
  <c r="E11" i="24"/>
  <c r="E21" i="24" s="1"/>
  <c r="E11" i="149"/>
  <c r="E21" i="149" s="1"/>
  <c r="E11" i="148"/>
  <c r="E21" i="148" s="1"/>
  <c r="E11" i="186"/>
  <c r="E21" i="186" s="1"/>
  <c r="E11" i="35"/>
  <c r="E21" i="35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14"/>
  <c r="E21" i="11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90"/>
  <c r="E21" i="190" s="1"/>
  <c r="E11" i="165"/>
  <c r="E21" i="165" s="1"/>
  <c r="E11" i="166"/>
  <c r="E21" i="166" s="1"/>
  <c r="E11" i="171"/>
  <c r="E21" i="171" s="1"/>
  <c r="E11" i="38"/>
  <c r="E21" i="38" s="1"/>
  <c r="E11" i="23"/>
  <c r="E11" i="25"/>
  <c r="E21" i="25" s="1"/>
  <c r="E11" i="173"/>
  <c r="E21" i="173" s="1"/>
  <c r="E11" i="174"/>
  <c r="E21" i="174" s="1"/>
  <c r="E11" i="39"/>
  <c r="E21" i="39" s="1"/>
  <c r="E11" i="100"/>
  <c r="E21" i="100" s="1"/>
  <c r="E11" i="99"/>
  <c r="E21" i="99" s="1"/>
  <c r="E11" i="101"/>
  <c r="E21" i="101" s="1"/>
  <c r="E11" i="118"/>
  <c r="E21" i="118" s="1"/>
  <c r="E11" i="143"/>
  <c r="E21" i="143" s="1"/>
  <c r="E11" i="119"/>
  <c r="E21" i="119" s="1"/>
  <c r="E11" i="144"/>
  <c r="E21" i="144" s="1"/>
  <c r="E11" i="145"/>
  <c r="E21" i="145" s="1"/>
  <c r="E11" i="117"/>
  <c r="E21" i="117" s="1"/>
  <c r="E21" i="116"/>
  <c r="D58" i="116"/>
  <c r="D75" i="116"/>
  <c r="E11" i="142"/>
  <c r="E21" i="142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34"/>
  <c r="E21" i="134" s="1"/>
  <c r="E11" i="113"/>
  <c r="E21" i="113" s="1"/>
  <c r="E11" i="140"/>
  <c r="E21" i="140" s="1"/>
  <c r="E11" i="175"/>
  <c r="E21" i="175" s="1"/>
  <c r="E11" i="141"/>
  <c r="E21" i="141" s="1"/>
  <c r="E11" i="176"/>
  <c r="E21" i="17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65"/>
  <c r="E21" i="65" s="1"/>
  <c r="E11" i="191"/>
  <c r="E21" i="191" s="1"/>
  <c r="E21" i="151"/>
  <c r="E11" i="96"/>
  <c r="E21" i="96" s="1"/>
  <c r="D58" i="20"/>
  <c r="D58" i="110"/>
  <c r="D58" i="177"/>
  <c r="D58" i="134"/>
  <c r="D58" i="23"/>
  <c r="D58" i="37"/>
  <c r="E58" i="37" s="1"/>
  <c r="E64" i="37" s="1"/>
  <c r="D58" i="74"/>
  <c r="D58" i="72"/>
  <c r="D74" i="72" s="1"/>
  <c r="D58" i="70"/>
  <c r="D74" i="70" s="1"/>
  <c r="D58" i="153"/>
  <c r="D72" i="200"/>
  <c r="E21" i="200"/>
  <c r="E11" i="200"/>
  <c r="E26" i="200"/>
  <c r="E41" i="200" s="1"/>
  <c r="D58" i="84"/>
  <c r="E17" i="84"/>
  <c r="D73" i="84" s="1"/>
  <c r="E14" i="84"/>
  <c r="E11" i="84" s="1"/>
  <c r="D58" i="60"/>
  <c r="E17" i="60"/>
  <c r="D73" i="60" s="1"/>
  <c r="E14" i="60"/>
  <c r="E11" i="60" s="1"/>
  <c r="D58" i="61"/>
  <c r="E14" i="61"/>
  <c r="E11" i="61" s="1"/>
  <c r="E17" i="61"/>
  <c r="D73" i="61" s="1"/>
  <c r="D58" i="58"/>
  <c r="E14" i="58"/>
  <c r="E11" i="58" s="1"/>
  <c r="E17" i="58"/>
  <c r="D73" i="58" s="1"/>
  <c r="D58" i="13"/>
  <c r="E11" i="13"/>
  <c r="E17" i="13"/>
  <c r="D73" i="13" s="1"/>
  <c r="D64" i="9"/>
  <c r="E17" i="9"/>
  <c r="D73" i="9" s="1"/>
  <c r="D58" i="8"/>
  <c r="E17" i="8"/>
  <c r="D73" i="8" s="1"/>
  <c r="D58" i="6"/>
  <c r="E11" i="6"/>
  <c r="D73" i="6"/>
  <c r="D71" i="95"/>
  <c r="D58" i="95"/>
  <c r="E11" i="95"/>
  <c r="E21" i="95" s="1"/>
  <c r="D72" i="199"/>
  <c r="D58" i="199"/>
  <c r="D73" i="199"/>
  <c r="E11" i="199"/>
  <c r="E21" i="199" s="1"/>
  <c r="D72" i="198"/>
  <c r="E26" i="198"/>
  <c r="E41" i="198" s="1"/>
  <c r="E11" i="198"/>
  <c r="E21" i="198" s="1"/>
  <c r="D64" i="198" s="1"/>
  <c r="D58" i="198" s="1"/>
  <c r="D72" i="197"/>
  <c r="E26" i="197"/>
  <c r="E41" i="197" s="1"/>
  <c r="E11" i="197"/>
  <c r="E21" i="197" s="1"/>
  <c r="D72" i="196"/>
  <c r="E11" i="196"/>
  <c r="E21" i="196" s="1"/>
  <c r="D72" i="195"/>
  <c r="E26" i="195"/>
  <c r="E41" i="195" s="1"/>
  <c r="E11" i="195"/>
  <c r="E21" i="195" s="1"/>
  <c r="E21" i="6"/>
  <c r="D58" i="196"/>
  <c r="D74" i="196" s="1"/>
  <c r="D73" i="95"/>
  <c r="E11" i="188"/>
  <c r="E21" i="188" s="1"/>
  <c r="E11" i="42"/>
  <c r="E21" i="42" s="1"/>
  <c r="D58" i="93"/>
  <c r="E17" i="93"/>
  <c r="E21" i="93" s="1"/>
  <c r="D58" i="94"/>
  <c r="E17" i="94"/>
  <c r="D73" i="94" s="1"/>
  <c r="D58" i="53"/>
  <c r="D73" i="53"/>
  <c r="D58" i="67"/>
  <c r="D73" i="67"/>
  <c r="E14" i="67"/>
  <c r="E11" i="67" s="1"/>
  <c r="E21" i="67" s="1"/>
  <c r="D58" i="69"/>
  <c r="E14" i="69"/>
  <c r="E11" i="69" s="1"/>
  <c r="E21" i="69" s="1"/>
  <c r="D58" i="120"/>
  <c r="D73" i="120"/>
  <c r="E14" i="120"/>
  <c r="E11" i="120" s="1"/>
  <c r="E21" i="120" s="1"/>
  <c r="D58" i="10"/>
  <c r="D58" i="11"/>
  <c r="D58" i="16"/>
  <c r="D58" i="17"/>
  <c r="D58" i="81"/>
  <c r="D58" i="78"/>
  <c r="D58" i="79"/>
  <c r="D58" i="122"/>
  <c r="D58" i="121"/>
  <c r="D58" i="5"/>
  <c r="D73" i="16"/>
  <c r="D73" i="81"/>
  <c r="D73" i="78"/>
  <c r="E17" i="79"/>
  <c r="D73" i="79" s="1"/>
  <c r="D73" i="122"/>
  <c r="E17" i="121"/>
  <c r="D73" i="121" s="1"/>
  <c r="D73" i="5"/>
  <c r="E14" i="10"/>
  <c r="D72" i="10" s="1"/>
  <c r="E14" i="11"/>
  <c r="D72" i="11" s="1"/>
  <c r="E14" i="16"/>
  <c r="D72" i="16" s="1"/>
  <c r="E14" i="17"/>
  <c r="E11" i="17" s="1"/>
  <c r="E14" i="81"/>
  <c r="E11" i="81" s="1"/>
  <c r="E21" i="81" s="1"/>
  <c r="E14" i="78"/>
  <c r="D72" i="78" s="1"/>
  <c r="E14" i="79"/>
  <c r="D72" i="79" s="1"/>
  <c r="E14" i="122"/>
  <c r="D72" i="122" s="1"/>
  <c r="E14" i="121"/>
  <c r="D72" i="121" s="1"/>
  <c r="E14" i="5"/>
  <c r="D72" i="5" s="1"/>
  <c r="D58" i="4"/>
  <c r="D73" i="4"/>
  <c r="E14" i="4"/>
  <c r="E11" i="4" s="1"/>
  <c r="E21" i="4" s="1"/>
  <c r="D58" i="194"/>
  <c r="E14" i="194"/>
  <c r="E11" i="194" s="1"/>
  <c r="E21" i="194" s="1"/>
  <c r="E21" i="53"/>
  <c r="D75" i="53" s="1"/>
  <c r="D73" i="194"/>
  <c r="D58" i="1"/>
  <c r="E14" i="1"/>
  <c r="E11" i="97"/>
  <c r="E21" i="97" s="1"/>
  <c r="E21" i="112"/>
  <c r="E11" i="112"/>
  <c r="E21" i="156"/>
  <c r="E11" i="156"/>
  <c r="E21" i="83"/>
  <c r="E11" i="83"/>
  <c r="E21" i="30"/>
  <c r="E11" i="30"/>
  <c r="E11" i="48"/>
  <c r="E11" i="29"/>
  <c r="E21" i="29" s="1"/>
  <c r="E11" i="49"/>
  <c r="E21" i="49" s="1"/>
  <c r="E11" i="22"/>
  <c r="E21" i="22" s="1"/>
  <c r="E11" i="28"/>
  <c r="E21" i="28" s="1"/>
  <c r="D58" i="48"/>
  <c r="D64" i="30"/>
  <c r="D58" i="30" s="1"/>
  <c r="E11" i="14"/>
  <c r="E21" i="14" s="1"/>
  <c r="D72" i="191"/>
  <c r="E26" i="191"/>
  <c r="E41" i="191" s="1"/>
  <c r="D72" i="65"/>
  <c r="E26" i="65"/>
  <c r="D72" i="63"/>
  <c r="E26" i="63"/>
  <c r="E41" i="63" s="1"/>
  <c r="D72" i="105"/>
  <c r="D72" i="26"/>
  <c r="E26" i="26"/>
  <c r="E41" i="26" s="1"/>
  <c r="D72" i="62"/>
  <c r="E26" i="62"/>
  <c r="E41" i="62" s="1"/>
  <c r="D72" i="20"/>
  <c r="E26" i="20"/>
  <c r="E41" i="20" s="1"/>
  <c r="D72" i="110"/>
  <c r="E26" i="110"/>
  <c r="E41" i="110" s="1"/>
  <c r="D72" i="64"/>
  <c r="E26" i="64"/>
  <c r="E41" i="64" s="1"/>
  <c r="D72" i="40"/>
  <c r="E26" i="40"/>
  <c r="E41" i="40" s="1"/>
  <c r="D72" i="41"/>
  <c r="E26" i="41"/>
  <c r="E41" i="41" s="1"/>
  <c r="D72" i="177"/>
  <c r="E26" i="177"/>
  <c r="D72" i="187"/>
  <c r="E26" i="187"/>
  <c r="E41" i="187" s="1"/>
  <c r="D72" i="108"/>
  <c r="E26" i="108"/>
  <c r="E41" i="108" s="1"/>
  <c r="D72" i="109"/>
  <c r="D72" i="159"/>
  <c r="E26" i="159"/>
  <c r="E41" i="159" s="1"/>
  <c r="D72" i="176"/>
  <c r="D72" i="141"/>
  <c r="E26" i="141"/>
  <c r="D72" i="175"/>
  <c r="E26" i="175"/>
  <c r="E41" i="175" s="1"/>
  <c r="D72" i="140"/>
  <c r="E26" i="140"/>
  <c r="E41" i="140" s="1"/>
  <c r="D72" i="113"/>
  <c r="E26" i="113"/>
  <c r="E41" i="113" s="1"/>
  <c r="D72" i="134"/>
  <c r="E26" i="134"/>
  <c r="E41" i="134" s="1"/>
  <c r="D72" i="135"/>
  <c r="E26" i="135"/>
  <c r="E41" i="135" s="1"/>
  <c r="D72" i="132"/>
  <c r="E26" i="132"/>
  <c r="D72" i="133"/>
  <c r="E26" i="133"/>
  <c r="E41" i="133" s="1"/>
  <c r="D72" i="146"/>
  <c r="E26" i="146"/>
  <c r="E41" i="146" s="1"/>
  <c r="D72" i="179"/>
  <c r="E26" i="179"/>
  <c r="D72" i="147"/>
  <c r="D72" i="142"/>
  <c r="E26" i="142"/>
  <c r="E41" i="142" s="1"/>
  <c r="E74" i="116"/>
  <c r="E75" i="116" s="1"/>
  <c r="D72" i="116"/>
  <c r="E26" i="116"/>
  <c r="D72" i="117"/>
  <c r="E26" i="117"/>
  <c r="D72" i="145"/>
  <c r="D72" i="144"/>
  <c r="E26" i="144"/>
  <c r="E41" i="144" s="1"/>
  <c r="D72" i="119"/>
  <c r="E26" i="119"/>
  <c r="D72" i="143"/>
  <c r="D72" i="118"/>
  <c r="D72" i="101"/>
  <c r="E26" i="101"/>
  <c r="E41" i="101" s="1"/>
  <c r="D72" i="99"/>
  <c r="E26" i="99"/>
  <c r="E41" i="99" s="1"/>
  <c r="D72" i="100"/>
  <c r="E26" i="100"/>
  <c r="E41" i="100" s="1"/>
  <c r="D72" i="39"/>
  <c r="E26" i="39"/>
  <c r="E41" i="39" s="1"/>
  <c r="D72" i="130"/>
  <c r="D72" i="174"/>
  <c r="D72" i="173"/>
  <c r="E26" i="173"/>
  <c r="E41" i="173" s="1"/>
  <c r="D72" i="25"/>
  <c r="E26" i="25"/>
  <c r="E41" i="25" s="1"/>
  <c r="D72" i="23"/>
  <c r="E26" i="23"/>
  <c r="E41" i="23" s="1"/>
  <c r="D72" i="38"/>
  <c r="E26" i="38"/>
  <c r="E41" i="38" s="1"/>
  <c r="D72" i="171"/>
  <c r="E26" i="171"/>
  <c r="E41" i="171" s="1"/>
  <c r="D72" i="166"/>
  <c r="D72" i="165"/>
  <c r="E26" i="165"/>
  <c r="E41" i="165" s="1"/>
  <c r="E75" i="190"/>
  <c r="D72" i="190"/>
  <c r="E26" i="190"/>
  <c r="D72" i="170"/>
  <c r="D72" i="104"/>
  <c r="D72" i="102"/>
  <c r="D72" i="103"/>
  <c r="E26" i="103"/>
  <c r="E41" i="103" s="1"/>
  <c r="D72" i="85"/>
  <c r="E26" i="85"/>
  <c r="E41" i="85" s="1"/>
  <c r="D72" i="128"/>
  <c r="E26" i="128"/>
  <c r="E41" i="128" s="1"/>
  <c r="D72" i="89"/>
  <c r="E26" i="89"/>
  <c r="E41" i="89" s="1"/>
  <c r="D72" i="46"/>
  <c r="D72" i="169"/>
  <c r="E26" i="169"/>
  <c r="E41" i="169" s="1"/>
  <c r="D72" i="168"/>
  <c r="E26" i="168"/>
  <c r="E41" i="168" s="1"/>
  <c r="D72" i="129"/>
  <c r="D72" i="167"/>
  <c r="E26" i="167"/>
  <c r="E41" i="167" s="1"/>
  <c r="D72" i="88"/>
  <c r="E26" i="88"/>
  <c r="D72" i="193"/>
  <c r="E26" i="193"/>
  <c r="E41" i="193" s="1"/>
  <c r="D72" i="114"/>
  <c r="D72" i="164"/>
  <c r="D72" i="163"/>
  <c r="E26" i="163"/>
  <c r="E41" i="163" s="1"/>
  <c r="D72" i="137"/>
  <c r="E26" i="137"/>
  <c r="E41" i="137" s="1"/>
  <c r="D72" i="136"/>
  <c r="E26" i="136"/>
  <c r="E41" i="136" s="1"/>
  <c r="D72" i="138"/>
  <c r="D72" i="76"/>
  <c r="E26" i="76"/>
  <c r="E41" i="76" s="1"/>
  <c r="D72" i="90"/>
  <c r="E26" i="90"/>
  <c r="E41" i="90" s="1"/>
  <c r="D72" i="92"/>
  <c r="E26" i="92"/>
  <c r="E41" i="92" s="1"/>
  <c r="D72" i="115"/>
  <c r="E26" i="115"/>
  <c r="E41" i="115" s="1"/>
  <c r="D72" i="161"/>
  <c r="E26" i="161"/>
  <c r="E41" i="161" s="1"/>
  <c r="D72" i="37"/>
  <c r="E26" i="37"/>
  <c r="E41" i="37" s="1"/>
  <c r="D72" i="36"/>
  <c r="E26" i="36"/>
  <c r="E41" i="36" s="1"/>
  <c r="D72" i="77"/>
  <c r="E26" i="77"/>
  <c r="E41" i="77" s="1"/>
  <c r="D72" i="75"/>
  <c r="D72" i="74"/>
  <c r="E26" i="74"/>
  <c r="E41" i="74" s="1"/>
  <c r="D72" i="73"/>
  <c r="E26" i="73"/>
  <c r="E41" i="73" s="1"/>
  <c r="D72" i="72"/>
  <c r="E26" i="72"/>
  <c r="D72" i="71"/>
  <c r="E26" i="71"/>
  <c r="E26" i="70"/>
  <c r="D72" i="27"/>
  <c r="E26" i="27"/>
  <c r="D72" i="47"/>
  <c r="E26" i="47"/>
  <c r="E41" i="47" s="1"/>
  <c r="D72" i="153"/>
  <c r="E26" i="153"/>
  <c r="E41" i="153" s="1"/>
  <c r="D72" i="35"/>
  <c r="E26" i="35"/>
  <c r="E41" i="35" s="1"/>
  <c r="D72" i="186"/>
  <c r="E26" i="186"/>
  <c r="E41" i="186" s="1"/>
  <c r="D72" i="148"/>
  <c r="E26" i="148"/>
  <c r="D72" i="149"/>
  <c r="E26" i="149"/>
  <c r="E41" i="149" s="1"/>
  <c r="D72" i="24"/>
  <c r="E26" i="24"/>
  <c r="E41" i="24" s="1"/>
  <c r="D72" i="56"/>
  <c r="E26" i="56"/>
  <c r="E41" i="56" s="1"/>
  <c r="D72" i="189"/>
  <c r="E26" i="189"/>
  <c r="E41" i="189" s="1"/>
  <c r="D72" i="43"/>
  <c r="E26" i="43"/>
  <c r="E41" i="43" s="1"/>
  <c r="D72" i="55"/>
  <c r="E26" i="55"/>
  <c r="E41" i="55" s="1"/>
  <c r="D72" i="57"/>
  <c r="E26" i="57"/>
  <c r="E41" i="57" s="1"/>
  <c r="D72" i="124"/>
  <c r="E26" i="124"/>
  <c r="E41" i="124" s="1"/>
  <c r="D72" i="34"/>
  <c r="E26" i="34"/>
  <c r="E41" i="34" s="1"/>
  <c r="E26" i="33"/>
  <c r="E41" i="33" s="1"/>
  <c r="D72" i="33"/>
  <c r="D72" i="123"/>
  <c r="E26" i="123"/>
  <c r="E41" i="123" s="1"/>
  <c r="D72" i="106"/>
  <c r="E26" i="106"/>
  <c r="E41" i="106" s="1"/>
  <c r="D72" i="152"/>
  <c r="E26" i="152"/>
  <c r="E41" i="152" s="1"/>
  <c r="D72" i="107"/>
  <c r="D72" i="151"/>
  <c r="D72" i="96"/>
  <c r="D72" i="97"/>
  <c r="E26" i="97"/>
  <c r="D72" i="112"/>
  <c r="E26" i="112"/>
  <c r="E41" i="112" s="1"/>
  <c r="D72" i="156"/>
  <c r="E26" i="156"/>
  <c r="E41" i="156" s="1"/>
  <c r="D72" i="188"/>
  <c r="D72" i="42"/>
  <c r="E26" i="42"/>
  <c r="E41" i="42" s="1"/>
  <c r="D72" i="83"/>
  <c r="E26" i="83"/>
  <c r="E41" i="83" s="1"/>
  <c r="D72" i="48"/>
  <c r="E26" i="48"/>
  <c r="E41" i="48" s="1"/>
  <c r="D72" i="30"/>
  <c r="E26" i="30"/>
  <c r="E41" i="30" s="1"/>
  <c r="D72" i="29"/>
  <c r="E26" i="29"/>
  <c r="E41" i="29" s="1"/>
  <c r="D72" i="49"/>
  <c r="E26" i="49"/>
  <c r="E41" i="49" s="1"/>
  <c r="D72" i="22"/>
  <c r="E26" i="22"/>
  <c r="E41" i="22" s="1"/>
  <c r="D72" i="28"/>
  <c r="E26" i="28"/>
  <c r="E41" i="28" s="1"/>
  <c r="D72" i="14"/>
  <c r="E26" i="14"/>
  <c r="E41" i="14" s="1"/>
  <c r="D72" i="84"/>
  <c r="E26" i="84"/>
  <c r="E41" i="84" s="1"/>
  <c r="D72" i="60"/>
  <c r="D74" i="60" s="1"/>
  <c r="D75" i="60" s="1"/>
  <c r="E26" i="60"/>
  <c r="E41" i="60" s="1"/>
  <c r="E26" i="61"/>
  <c r="E41" i="61" s="1"/>
  <c r="D72" i="61"/>
  <c r="E26" i="58"/>
  <c r="E41" i="58" s="1"/>
  <c r="D72" i="13"/>
  <c r="E26" i="13"/>
  <c r="E41" i="13" s="1"/>
  <c r="E26" i="9"/>
  <c r="E41" i="9" s="1"/>
  <c r="D72" i="9"/>
  <c r="E26" i="8"/>
  <c r="E41" i="8" s="1"/>
  <c r="D72" i="7"/>
  <c r="E26" i="7"/>
  <c r="E41" i="7" s="1"/>
  <c r="D72" i="6"/>
  <c r="E26" i="6"/>
  <c r="E41" i="6" s="1"/>
  <c r="D72" i="95"/>
  <c r="E26" i="95"/>
  <c r="E41" i="95" s="1"/>
  <c r="D72" i="93"/>
  <c r="E26" i="93"/>
  <c r="E41" i="93" s="1"/>
  <c r="E26" i="94"/>
  <c r="E41" i="94" s="1"/>
  <c r="E26" i="53"/>
  <c r="E41" i="53" s="1"/>
  <c r="D72" i="53"/>
  <c r="E72" i="53" s="1"/>
  <c r="E26" i="67"/>
  <c r="E41" i="67" s="1"/>
  <c r="D72" i="69"/>
  <c r="E26" i="69"/>
  <c r="E41" i="69" s="1"/>
  <c r="D72" i="120"/>
  <c r="D74" i="120" s="1"/>
  <c r="D75" i="120" s="1"/>
  <c r="E26" i="120"/>
  <c r="E41" i="120" s="1"/>
  <c r="E26" i="121"/>
  <c r="E41" i="121" s="1"/>
  <c r="E26" i="122"/>
  <c r="E41" i="122" s="1"/>
  <c r="E26" i="79"/>
  <c r="E41" i="79" s="1"/>
  <c r="E26" i="78"/>
  <c r="E41" i="78" s="1"/>
  <c r="E26" i="81"/>
  <c r="E41" i="81" s="1"/>
  <c r="E26" i="17"/>
  <c r="E41" i="17" s="1"/>
  <c r="E26" i="16"/>
  <c r="E41" i="16" s="1"/>
  <c r="E26" i="11"/>
  <c r="E41" i="11" s="1"/>
  <c r="E26" i="10"/>
  <c r="E41" i="10" s="1"/>
  <c r="E26" i="5"/>
  <c r="E41" i="5" s="1"/>
  <c r="D72" i="4"/>
  <c r="D74" i="4" s="1"/>
  <c r="D75" i="4" s="1"/>
  <c r="E26" i="4"/>
  <c r="E41" i="4" s="1"/>
  <c r="G21" i="4" s="1"/>
  <c r="D72" i="194"/>
  <c r="D74" i="194" s="1"/>
  <c r="D75" i="194" s="1"/>
  <c r="E26" i="194"/>
  <c r="E41" i="194" s="1"/>
  <c r="G21" i="194" s="1"/>
  <c r="E41" i="119"/>
  <c r="E69" i="53"/>
  <c r="E64" i="53"/>
  <c r="E73" i="53"/>
  <c r="D75" i="196"/>
  <c r="E58" i="196"/>
  <c r="E64" i="196" s="1"/>
  <c r="D76" i="70"/>
  <c r="E41" i="71"/>
  <c r="D76" i="72"/>
  <c r="E58" i="72"/>
  <c r="E64" i="72" s="1"/>
  <c r="E58" i="74"/>
  <c r="E64" i="74" s="1"/>
  <c r="E58" i="153"/>
  <c r="E64" i="153" s="1"/>
  <c r="E41" i="177"/>
  <c r="E58" i="177"/>
  <c r="E64" i="177" s="1"/>
  <c r="E58" i="20"/>
  <c r="E64" i="20" s="1"/>
  <c r="E41" i="132"/>
  <c r="E41" i="179"/>
  <c r="E41" i="70"/>
  <c r="E41" i="27"/>
  <c r="E41" i="148"/>
  <c r="E58" i="110" l="1"/>
  <c r="E64" i="110" s="1"/>
  <c r="D72" i="58"/>
  <c r="E72" i="93"/>
  <c r="D75" i="93"/>
  <c r="E58" i="70"/>
  <c r="E64" i="70" s="1"/>
  <c r="D74" i="58"/>
  <c r="D75" i="58" s="1"/>
  <c r="E73" i="6"/>
  <c r="D74" i="6"/>
  <c r="D75" i="6" s="1"/>
  <c r="D72" i="94"/>
  <c r="D74" i="69"/>
  <c r="D75" i="69" s="1"/>
  <c r="E11" i="78"/>
  <c r="E72" i="4"/>
  <c r="D64" i="156"/>
  <c r="D58" i="156" s="1"/>
  <c r="D58" i="9"/>
  <c r="D74" i="9" s="1"/>
  <c r="D75" i="9" s="1"/>
  <c r="D72" i="8"/>
  <c r="E21" i="7"/>
  <c r="E72" i="7" s="1"/>
  <c r="E76" i="93"/>
  <c r="E75" i="93"/>
  <c r="E75" i="53"/>
  <c r="E76" i="53"/>
  <c r="D74" i="53"/>
  <c r="D72" i="67"/>
  <c r="D74" i="67" s="1"/>
  <c r="D75" i="67" s="1"/>
  <c r="E21" i="17"/>
  <c r="E11" i="5"/>
  <c r="E21" i="5" s="1"/>
  <c r="E58" i="6"/>
  <c r="E74" i="6" s="1"/>
  <c r="E75" i="6" s="1"/>
  <c r="E64" i="6"/>
  <c r="D74" i="95"/>
  <c r="D75" i="95" s="1"/>
  <c r="D64" i="217"/>
  <c r="D64" i="191"/>
  <c r="D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74" i="26" s="1"/>
  <c r="D75" i="26" s="1"/>
  <c r="D64" i="62"/>
  <c r="D58" i="62" s="1"/>
  <c r="D64" i="40"/>
  <c r="D58" i="40" s="1"/>
  <c r="D64" i="187"/>
  <c r="D58" i="187" s="1"/>
  <c r="D64" i="108"/>
  <c r="D58" i="108" s="1"/>
  <c r="D74" i="108" s="1"/>
  <c r="D76" i="108" s="1"/>
  <c r="D64" i="216"/>
  <c r="D58" i="216" s="1"/>
  <c r="D64" i="215"/>
  <c r="D58" i="215" s="1"/>
  <c r="E58" i="215" s="1"/>
  <c r="D64" i="175"/>
  <c r="D58" i="175" s="1"/>
  <c r="E58" i="175" s="1"/>
  <c r="D64" i="140"/>
  <c r="D58" i="140" s="1"/>
  <c r="D64" i="113"/>
  <c r="D58" i="113" s="1"/>
  <c r="D64" i="146"/>
  <c r="D58" i="146" s="1"/>
  <c r="D64" i="117"/>
  <c r="D58" i="117" s="1"/>
  <c r="D64" i="145"/>
  <c r="D58" i="145" s="1"/>
  <c r="E58" i="145" s="1"/>
  <c r="D64" i="144"/>
  <c r="D58" i="144" s="1"/>
  <c r="D64" i="119"/>
  <c r="D58" i="119" s="1"/>
  <c r="D74" i="119" s="1"/>
  <c r="D75" i="119" s="1"/>
  <c r="D64" i="118"/>
  <c r="D58" i="118" s="1"/>
  <c r="D64" i="205"/>
  <c r="D58" i="205" s="1"/>
  <c r="D64" i="99"/>
  <c r="D58" i="99" s="1"/>
  <c r="D64" i="100"/>
  <c r="D58" i="100" s="1"/>
  <c r="E58" i="100" s="1"/>
  <c r="D64" i="39"/>
  <c r="D58" i="39" s="1"/>
  <c r="D64" i="130"/>
  <c r="D58" i="130" s="1"/>
  <c r="D64" i="174"/>
  <c r="D58" i="174" s="1"/>
  <c r="D74" i="174" s="1"/>
  <c r="D75" i="174" s="1"/>
  <c r="D64" i="25"/>
  <c r="D58" i="25" s="1"/>
  <c r="E58" i="25" s="1"/>
  <c r="D64" i="38"/>
  <c r="D58" i="38" s="1"/>
  <c r="D64" i="171"/>
  <c r="D58" i="171" s="1"/>
  <c r="E58" i="171" s="1"/>
  <c r="E64" i="171" s="1"/>
  <c r="D64" i="214"/>
  <c r="D58" i="214" s="1"/>
  <c r="D64" i="166"/>
  <c r="D58" i="166" s="1"/>
  <c r="D64" i="165"/>
  <c r="D58" i="165" s="1"/>
  <c r="D64" i="190"/>
  <c r="D58" i="190" s="1"/>
  <c r="D74" i="190" s="1"/>
  <c r="D75" i="190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64" i="89"/>
  <c r="D58" i="89" s="1"/>
  <c r="D64" i="168"/>
  <c r="D58" i="168" s="1"/>
  <c r="D64" i="88"/>
  <c r="D58" i="88" s="1"/>
  <c r="D74" i="88" s="1"/>
  <c r="D75" i="88" s="1"/>
  <c r="D64" i="114"/>
  <c r="D58" i="114" s="1"/>
  <c r="D64" i="164"/>
  <c r="D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E58" i="161" s="1"/>
  <c r="D64" i="36"/>
  <c r="D58" i="36" s="1"/>
  <c r="D64" i="77"/>
  <c r="D58" i="77" s="1"/>
  <c r="E58" i="77" s="1"/>
  <c r="D64" i="75"/>
  <c r="D58" i="75" s="1"/>
  <c r="D74" i="75" s="1"/>
  <c r="D76" i="75" s="1"/>
  <c r="D74" i="71"/>
  <c r="D76" i="71" s="1"/>
  <c r="E58" i="71"/>
  <c r="E64" i="71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56"/>
  <c r="D58" i="56" s="1"/>
  <c r="D64" i="189"/>
  <c r="D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07"/>
  <c r="D58" i="107" s="1"/>
  <c r="D64" i="151"/>
  <c r="D58" i="151" s="1"/>
  <c r="D64" i="96"/>
  <c r="D58" i="96" s="1"/>
  <c r="D64" i="112"/>
  <c r="D58" i="112" s="1"/>
  <c r="D64" i="200"/>
  <c r="D58" i="200" s="1"/>
  <c r="D64" i="28"/>
  <c r="D58" i="28" s="1"/>
  <c r="E21" i="78"/>
  <c r="D72" i="81"/>
  <c r="D74" i="81" s="1"/>
  <c r="D75" i="81" s="1"/>
  <c r="D72" i="17"/>
  <c r="E71" i="95"/>
  <c r="E64" i="95"/>
  <c r="E58" i="95"/>
  <c r="E73" i="95"/>
  <c r="E26" i="130"/>
  <c r="E41" i="130" s="1"/>
  <c r="E26" i="143"/>
  <c r="E41" i="143" s="1"/>
  <c r="D74" i="122"/>
  <c r="D75" i="122" s="1"/>
  <c r="E26" i="1"/>
  <c r="E26" i="75"/>
  <c r="E41" i="75" s="1"/>
  <c r="E26" i="138"/>
  <c r="E41" i="138" s="1"/>
  <c r="E26" i="164"/>
  <c r="E41" i="164" s="1"/>
  <c r="E26" i="102"/>
  <c r="E41" i="102" s="1"/>
  <c r="E26" i="170"/>
  <c r="E41" i="170" s="1"/>
  <c r="E11" i="1"/>
  <c r="E21" i="1" s="1"/>
  <c r="E71" i="1" s="1"/>
  <c r="D74" i="77"/>
  <c r="D75" i="77" s="1"/>
  <c r="D74" i="175"/>
  <c r="D75" i="175" s="1"/>
  <c r="D74" i="199"/>
  <c r="D75" i="199" s="1"/>
  <c r="D73" i="1"/>
  <c r="E26" i="166"/>
  <c r="E41" i="166" s="1"/>
  <c r="E26" i="174"/>
  <c r="E41" i="174" s="1"/>
  <c r="E26" i="118"/>
  <c r="E41" i="118" s="1"/>
  <c r="D74" i="84"/>
  <c r="D75" i="84" s="1"/>
  <c r="E26" i="114"/>
  <c r="E41" i="114" s="1"/>
  <c r="E26" i="129"/>
  <c r="E41" i="129" s="1"/>
  <c r="E26" i="46"/>
  <c r="E41" i="46" s="1"/>
  <c r="E26" i="104"/>
  <c r="E41" i="104" s="1"/>
  <c r="E26" i="147"/>
  <c r="E41" i="147" s="1"/>
  <c r="E26" i="176"/>
  <c r="E41" i="176" s="1"/>
  <c r="E26" i="109"/>
  <c r="E41" i="109" s="1"/>
  <c r="E26" i="105"/>
  <c r="E41" i="105" s="1"/>
  <c r="D74" i="23"/>
  <c r="E21" i="23"/>
  <c r="E73" i="23" s="1"/>
  <c r="D64" i="41"/>
  <c r="D58" i="41" s="1"/>
  <c r="D64" i="101"/>
  <c r="D58" i="101" s="1"/>
  <c r="D64" i="173"/>
  <c r="D58" i="173" s="1"/>
  <c r="D64" i="104"/>
  <c r="D58" i="104" s="1"/>
  <c r="D64" i="213"/>
  <c r="D58" i="213" s="1"/>
  <c r="D64" i="76"/>
  <c r="D58" i="76" s="1"/>
  <c r="E58" i="76" s="1"/>
  <c r="D74" i="73"/>
  <c r="D76" i="73" s="1"/>
  <c r="E58" i="73"/>
  <c r="E64" i="73" s="1"/>
  <c r="D64" i="27"/>
  <c r="D58" i="27" s="1"/>
  <c r="D74" i="27" s="1"/>
  <c r="D76" i="27" s="1"/>
  <c r="D64" i="202"/>
  <c r="D58" i="202" s="1"/>
  <c r="D64" i="57"/>
  <c r="D58" i="57" s="1"/>
  <c r="D64" i="33"/>
  <c r="D58" i="33" s="1"/>
  <c r="E58" i="53"/>
  <c r="E74" i="53" s="1"/>
  <c r="E64" i="4"/>
  <c r="D74" i="13"/>
  <c r="D75" i="13" s="1"/>
  <c r="D72" i="1"/>
  <c r="E58" i="199"/>
  <c r="E64" i="199"/>
  <c r="E73" i="199"/>
  <c r="E69" i="199"/>
  <c r="D64" i="65"/>
  <c r="D58" i="65" s="1"/>
  <c r="D74" i="65" s="1"/>
  <c r="D75" i="65" s="1"/>
  <c r="D74" i="20"/>
  <c r="D75" i="20" s="1"/>
  <c r="D74" i="110"/>
  <c r="D75" i="110" s="1"/>
  <c r="D64" i="64"/>
  <c r="D58" i="64" s="1"/>
  <c r="D75" i="177"/>
  <c r="D74" i="177" s="1"/>
  <c r="D64" i="109"/>
  <c r="D58" i="109" s="1"/>
  <c r="D64" i="159"/>
  <c r="D58" i="159" s="1"/>
  <c r="D64" i="176"/>
  <c r="D58" i="176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64" i="142"/>
  <c r="D58" i="142" s="1"/>
  <c r="D74" i="143"/>
  <c r="D75" i="143" s="1"/>
  <c r="D64" i="204"/>
  <c r="D58" i="204" s="1"/>
  <c r="D64" i="85"/>
  <c r="D58" i="85" s="1"/>
  <c r="D64" i="128"/>
  <c r="D64" i="46"/>
  <c r="D58" i="46" s="1"/>
  <c r="E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74" i="74"/>
  <c r="D76" i="74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97"/>
  <c r="D58" i="97" s="1"/>
  <c r="D74" i="97" s="1"/>
  <c r="D75" i="97" s="1"/>
  <c r="D64" i="197"/>
  <c r="D58" i="197" s="1"/>
  <c r="D64" i="210"/>
  <c r="D58" i="210" s="1"/>
  <c r="E58" i="210" s="1"/>
  <c r="D64" i="209"/>
  <c r="D58" i="209" s="1"/>
  <c r="D64" i="195"/>
  <c r="D58" i="195" s="1"/>
  <c r="E58" i="195" s="1"/>
  <c r="D64" i="188"/>
  <c r="D58" i="188" s="1"/>
  <c r="D64" i="42"/>
  <c r="D58" i="42" s="1"/>
  <c r="E58" i="42" s="1"/>
  <c r="D64" i="83"/>
  <c r="D58" i="83" s="1"/>
  <c r="D74" i="83" s="1"/>
  <c r="D75" i="83" s="1"/>
  <c r="D74" i="48"/>
  <c r="D75" i="48" s="1"/>
  <c r="E21" i="48"/>
  <c r="D64" i="29"/>
  <c r="D58" i="29" s="1"/>
  <c r="E58" i="29" s="1"/>
  <c r="D64" i="49"/>
  <c r="D58" i="49" s="1"/>
  <c r="E58" i="49" s="1"/>
  <c r="D64" i="22"/>
  <c r="D58" i="22" s="1"/>
  <c r="D74" i="22" s="1"/>
  <c r="D75" i="22" s="1"/>
  <c r="D64" i="14"/>
  <c r="D58" i="14" s="1"/>
  <c r="E58" i="14" s="1"/>
  <c r="E21" i="84"/>
  <c r="E21" i="60"/>
  <c r="D74" i="61"/>
  <c r="D75" i="61" s="1"/>
  <c r="E21" i="61"/>
  <c r="E21" i="58"/>
  <c r="E21" i="13"/>
  <c r="E21" i="9"/>
  <c r="E72" i="9" s="1"/>
  <c r="D74" i="8"/>
  <c r="D75" i="8" s="1"/>
  <c r="E21" i="8"/>
  <c r="D74" i="105"/>
  <c r="D75" i="105" s="1"/>
  <c r="D74" i="146"/>
  <c r="D76" i="146" s="1"/>
  <c r="E58" i="146"/>
  <c r="E58" i="143"/>
  <c r="E64" i="143" s="1"/>
  <c r="E58" i="118"/>
  <c r="D74" i="118"/>
  <c r="D75" i="118" s="1"/>
  <c r="D74" i="171"/>
  <c r="D75" i="171" s="1"/>
  <c r="D74" i="89"/>
  <c r="D75" i="89" s="1"/>
  <c r="E58" i="89"/>
  <c r="E58" i="88"/>
  <c r="D74" i="114"/>
  <c r="D75" i="114" s="1"/>
  <c r="E58" i="114"/>
  <c r="E58" i="36"/>
  <c r="D74" i="36"/>
  <c r="D75" i="36" s="1"/>
  <c r="E58" i="24"/>
  <c r="D74" i="189"/>
  <c r="D75" i="189" s="1"/>
  <c r="E58" i="189"/>
  <c r="D74" i="55"/>
  <c r="D75" i="55" s="1"/>
  <c r="E58" i="55"/>
  <c r="E64" i="55" s="1"/>
  <c r="D74" i="112"/>
  <c r="D75" i="112" s="1"/>
  <c r="E58" i="112"/>
  <c r="E58" i="156"/>
  <c r="D74" i="156"/>
  <c r="D75" i="156" s="1"/>
  <c r="E64" i="93"/>
  <c r="E69" i="93"/>
  <c r="D73" i="93"/>
  <c r="D74" i="93" s="1"/>
  <c r="E21" i="94"/>
  <c r="D75" i="94" s="1"/>
  <c r="E73" i="67"/>
  <c r="E69" i="67"/>
  <c r="E72" i="67"/>
  <c r="E58" i="67"/>
  <c r="D74" i="121"/>
  <c r="D75" i="121" s="1"/>
  <c r="E11" i="121"/>
  <c r="E21" i="121" s="1"/>
  <c r="E11" i="122"/>
  <c r="E21" i="122" s="1"/>
  <c r="E11" i="79"/>
  <c r="E21" i="79" s="1"/>
  <c r="D74" i="78"/>
  <c r="D75" i="78" s="1"/>
  <c r="E64" i="81"/>
  <c r="E69" i="81"/>
  <c r="E58" i="81"/>
  <c r="E72" i="81"/>
  <c r="E58" i="17"/>
  <c r="E69" i="17"/>
  <c r="E11" i="16"/>
  <c r="E21" i="16" s="1"/>
  <c r="G21" i="16" s="1"/>
  <c r="D74" i="11"/>
  <c r="D75" i="11" s="1"/>
  <c r="E11" i="11"/>
  <c r="E21" i="11" s="1"/>
  <c r="D74" i="10"/>
  <c r="D75" i="10" s="1"/>
  <c r="E11" i="10"/>
  <c r="E21" i="10" s="1"/>
  <c r="D74" i="5"/>
  <c r="D75" i="5" s="1"/>
  <c r="E64" i="5"/>
  <c r="E58" i="5"/>
  <c r="E73" i="5"/>
  <c r="E72" i="5"/>
  <c r="E69" i="5"/>
  <c r="E58" i="4"/>
  <c r="E73" i="4"/>
  <c r="E69" i="4"/>
  <c r="D74" i="198"/>
  <c r="D75" i="198" s="1"/>
  <c r="E58" i="198"/>
  <c r="E64" i="25"/>
  <c r="E74" i="25"/>
  <c r="E75" i="25" s="1"/>
  <c r="D74" i="28"/>
  <c r="D75" i="28" s="1"/>
  <c r="E58" i="28"/>
  <c r="E64" i="194"/>
  <c r="E58" i="194"/>
  <c r="E73" i="194"/>
  <c r="E69" i="194"/>
  <c r="E73" i="120"/>
  <c r="E72" i="120"/>
  <c r="E69" i="120"/>
  <c r="E64" i="120"/>
  <c r="E58" i="120"/>
  <c r="D74" i="42"/>
  <c r="D75" i="42" s="1"/>
  <c r="E72" i="69"/>
  <c r="E73" i="69"/>
  <c r="E58" i="69"/>
  <c r="E64" i="69"/>
  <c r="E71" i="69"/>
  <c r="E69" i="69"/>
  <c r="D74" i="30"/>
  <c r="D75" i="30" s="1"/>
  <c r="E58" i="30"/>
  <c r="D74" i="16"/>
  <c r="D75" i="16" s="1"/>
  <c r="D74" i="200"/>
  <c r="D75" i="200" s="1"/>
  <c r="E58" i="200"/>
  <c r="D74" i="195"/>
  <c r="D75" i="195" s="1"/>
  <c r="E58" i="99"/>
  <c r="D74" i="99"/>
  <c r="D75" i="99" s="1"/>
  <c r="D74" i="206"/>
  <c r="D75" i="206" s="1"/>
  <c r="D74" i="211"/>
  <c r="D76" i="211" s="1"/>
  <c r="E41" i="72"/>
  <c r="E73" i="81"/>
  <c r="E64" i="67"/>
  <c r="E58" i="93"/>
  <c r="E58" i="129"/>
  <c r="D74" i="25"/>
  <c r="D75" i="25" s="1"/>
  <c r="E73" i="177"/>
  <c r="E74" i="177" s="1"/>
  <c r="E75" i="177" s="1"/>
  <c r="E73" i="37"/>
  <c r="E74" i="37" s="1"/>
  <c r="E75" i="37" s="1"/>
  <c r="E73" i="71"/>
  <c r="E74" i="71" s="1"/>
  <c r="E76" i="71" s="1"/>
  <c r="E58" i="117"/>
  <c r="D74" i="117"/>
  <c r="D75" i="117" s="1"/>
  <c r="E58" i="174"/>
  <c r="E58" i="165"/>
  <c r="D74" i="165"/>
  <c r="D75" i="165" s="1"/>
  <c r="E58" i="103"/>
  <c r="D74" i="103"/>
  <c r="D75" i="103" s="1"/>
  <c r="E58" i="167"/>
  <c r="E58" i="214"/>
  <c r="D74" i="214"/>
  <c r="D75" i="214" s="1"/>
  <c r="E73" i="217"/>
  <c r="E69" i="217"/>
  <c r="E64" i="217"/>
  <c r="E72" i="194"/>
  <c r="E41" i="117"/>
  <c r="E58" i="75"/>
  <c r="D74" i="163"/>
  <c r="D75" i="163" s="1"/>
  <c r="D74" i="170"/>
  <c r="D75" i="170" s="1"/>
  <c r="D74" i="100"/>
  <c r="D75" i="100" s="1"/>
  <c r="E58" i="119"/>
  <c r="E74" i="134"/>
  <c r="E75" i="134" s="1"/>
  <c r="E73" i="153"/>
  <c r="E74" i="153" s="1"/>
  <c r="E75" i="153" s="1"/>
  <c r="E73" i="73"/>
  <c r="E73" i="70"/>
  <c r="E74" i="70" s="1"/>
  <c r="E76" i="70" s="1"/>
  <c r="E58" i="202"/>
  <c r="D74" i="202"/>
  <c r="D75" i="202" s="1"/>
  <c r="E58" i="201"/>
  <c r="E58" i="205"/>
  <c r="D74" i="205"/>
  <c r="D75" i="205" s="1"/>
  <c r="E58" i="209"/>
  <c r="D74" i="209"/>
  <c r="D75" i="209" s="1"/>
  <c r="E58" i="212"/>
  <c r="D74" i="216"/>
  <c r="D75" i="216" s="1"/>
  <c r="E58" i="216"/>
  <c r="E41" i="88"/>
  <c r="E73" i="20"/>
  <c r="E74" i="20" s="1"/>
  <c r="E75" i="20" s="1"/>
  <c r="E73" i="143"/>
  <c r="E73" i="55"/>
  <c r="E73" i="72"/>
  <c r="E74" i="72" s="1"/>
  <c r="E76" i="72" s="1"/>
  <c r="E58" i="191"/>
  <c r="D74" i="191"/>
  <c r="D75" i="191" s="1"/>
  <c r="E58" i="64"/>
  <c r="D74" i="64"/>
  <c r="D75" i="64" s="1"/>
  <c r="D74" i="141"/>
  <c r="D75" i="141" s="1"/>
  <c r="E58" i="164"/>
  <c r="D74" i="164"/>
  <c r="D75" i="164" s="1"/>
  <c r="D74" i="204"/>
  <c r="D75" i="204" s="1"/>
  <c r="D74" i="213"/>
  <c r="D75" i="213" s="1"/>
  <c r="D74" i="94"/>
  <c r="E71" i="67"/>
  <c r="E73" i="110"/>
  <c r="E74" i="110" s="1"/>
  <c r="E75" i="110" s="1"/>
  <c r="E73" i="90"/>
  <c r="E74" i="90" s="1"/>
  <c r="E75" i="90" s="1"/>
  <c r="E73" i="74"/>
  <c r="E74" i="74" s="1"/>
  <c r="E76" i="74" s="1"/>
  <c r="E73" i="196"/>
  <c r="E74" i="196" s="1"/>
  <c r="E75" i="196" s="1"/>
  <c r="D74" i="79"/>
  <c r="D75" i="79" s="1"/>
  <c r="E58" i="63" l="1"/>
  <c r="E58" i="26"/>
  <c r="E58" i="108"/>
  <c r="D74" i="215"/>
  <c r="D75" i="215" s="1"/>
  <c r="E74" i="171"/>
  <c r="E75" i="171" s="1"/>
  <c r="E64" i="193"/>
  <c r="E58" i="136"/>
  <c r="D74" i="161"/>
  <c r="D75" i="161" s="1"/>
  <c r="D74" i="49"/>
  <c r="D75" i="49" s="1"/>
  <c r="E64" i="17"/>
  <c r="E72" i="17"/>
  <c r="E73" i="17"/>
  <c r="E74" i="17" s="1"/>
  <c r="E75" i="17" s="1"/>
  <c r="D58" i="128"/>
  <c r="E58" i="128" s="1"/>
  <c r="E74" i="105"/>
  <c r="E75" i="105" s="1"/>
  <c r="E74" i="170"/>
  <c r="E75" i="170" s="1"/>
  <c r="E58" i="22"/>
  <c r="E72" i="78"/>
  <c r="E64" i="78"/>
  <c r="D74" i="145"/>
  <c r="D75" i="145" s="1"/>
  <c r="E58" i="102"/>
  <c r="E74" i="102" s="1"/>
  <c r="E75" i="102" s="1"/>
  <c r="D74" i="46"/>
  <c r="D75" i="46" s="1"/>
  <c r="E74" i="163"/>
  <c r="E75" i="163" s="1"/>
  <c r="E74" i="73"/>
  <c r="E76" i="73" s="1"/>
  <c r="E64" i="9"/>
  <c r="E73" i="9"/>
  <c r="E73" i="7"/>
  <c r="E74" i="95"/>
  <c r="E75" i="95" s="1"/>
  <c r="E75" i="94"/>
  <c r="E76" i="94"/>
  <c r="E72" i="121"/>
  <c r="E58" i="79"/>
  <c r="D74" i="17"/>
  <c r="D75" i="17" s="1"/>
  <c r="G21" i="5"/>
  <c r="E58" i="78"/>
  <c r="E69" i="78"/>
  <c r="E73" i="78"/>
  <c r="E73" i="16"/>
  <c r="E73" i="1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E58" i="140"/>
  <c r="D74" i="113"/>
  <c r="D75" i="113" s="1"/>
  <c r="E58" i="113"/>
  <c r="E64" i="145"/>
  <c r="E74" i="145"/>
  <c r="E75" i="145" s="1"/>
  <c r="E58" i="144"/>
  <c r="D74" i="144"/>
  <c r="D75" i="144" s="1"/>
  <c r="E64" i="100"/>
  <c r="E74" i="100"/>
  <c r="E75" i="100" s="1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E58" i="168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D74" i="56"/>
  <c r="D75" i="56" s="1"/>
  <c r="E58" i="56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E58" i="107"/>
  <c r="D74" i="107"/>
  <c r="D76" i="107" s="1"/>
  <c r="E58" i="151"/>
  <c r="D74" i="151"/>
  <c r="D76" i="151" s="1"/>
  <c r="E58" i="96"/>
  <c r="D74" i="96"/>
  <c r="D76" i="96" s="1"/>
  <c r="D74" i="14"/>
  <c r="D75" i="14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74" i="79" s="1"/>
  <c r="E75" i="79" s="1"/>
  <c r="E64" i="58"/>
  <c r="E71" i="94"/>
  <c r="E58" i="27"/>
  <c r="E74" i="199"/>
  <c r="E75" i="199" s="1"/>
  <c r="D74" i="1"/>
  <c r="D75" i="1" s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D74" i="128"/>
  <c r="D75" i="128" s="1"/>
  <c r="E64" i="94"/>
  <c r="E72" i="61"/>
  <c r="E64" i="63"/>
  <c r="E74" i="63"/>
  <c r="E75" i="63" s="1"/>
  <c r="E72" i="94"/>
  <c r="E41" i="1"/>
  <c r="D75" i="23"/>
  <c r="E74" i="23"/>
  <c r="E75" i="23" s="1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69" i="16"/>
  <c r="E72" i="16"/>
  <c r="E64" i="16"/>
  <c r="E58" i="16"/>
  <c r="E58" i="11"/>
  <c r="E69" i="10"/>
  <c r="E74" i="5"/>
  <c r="E75" i="5" s="1"/>
  <c r="E74" i="4"/>
  <c r="E75" i="4" s="1"/>
  <c r="E69" i="1"/>
  <c r="E72" i="13"/>
  <c r="E72" i="1"/>
  <c r="E58" i="1"/>
  <c r="E59" i="1"/>
  <c r="E58" i="109"/>
  <c r="D74" i="109"/>
  <c r="D76" i="109" s="1"/>
  <c r="D74" i="159"/>
  <c r="D76" i="159" s="1"/>
  <c r="E58" i="159"/>
  <c r="D74" i="176"/>
  <c r="D76" i="176" s="1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D74" i="142"/>
  <c r="D76" i="142" s="1"/>
  <c r="E58" i="142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4" i="9" s="1"/>
  <c r="E75" i="9" s="1"/>
  <c r="E71" i="8"/>
  <c r="E73" i="8"/>
  <c r="E64" i="8"/>
  <c r="E58" i="8"/>
  <c r="D58" i="7"/>
  <c r="D74" i="7" s="1"/>
  <c r="E64" i="7"/>
  <c r="E64" i="108"/>
  <c r="E74" i="108"/>
  <c r="E76" i="108" s="1"/>
  <c r="E64" i="215"/>
  <c r="E74" i="215"/>
  <c r="E75" i="215" s="1"/>
  <c r="E74" i="146"/>
  <c r="E76" i="146" s="1"/>
  <c r="E64" i="146"/>
  <c r="E64" i="118"/>
  <c r="E74" i="118"/>
  <c r="E75" i="118" s="1"/>
  <c r="E64" i="89"/>
  <c r="E74" i="89"/>
  <c r="E75" i="89" s="1"/>
  <c r="E64" i="88"/>
  <c r="E74" i="88"/>
  <c r="E75" i="88" s="1"/>
  <c r="E64" i="114"/>
  <c r="E74" i="114"/>
  <c r="E75" i="114" s="1"/>
  <c r="E64" i="76"/>
  <c r="E74" i="76"/>
  <c r="E75" i="76" s="1"/>
  <c r="E64" i="36"/>
  <c r="E74" i="36"/>
  <c r="E75" i="36" s="1"/>
  <c r="E64" i="27"/>
  <c r="E74" i="27"/>
  <c r="E76" i="27" s="1"/>
  <c r="E64" i="24"/>
  <c r="E74" i="24"/>
  <c r="E76" i="24" s="1"/>
  <c r="E64" i="189"/>
  <c r="E74" i="189"/>
  <c r="E75" i="189" s="1"/>
  <c r="E64" i="112"/>
  <c r="E74" i="112"/>
  <c r="E75" i="112" s="1"/>
  <c r="E74" i="156"/>
  <c r="E75" i="156" s="1"/>
  <c r="E64" i="156"/>
  <c r="E73" i="93"/>
  <c r="E74" i="93" s="1"/>
  <c r="E74" i="67"/>
  <c r="E75" i="67" s="1"/>
  <c r="E74" i="120"/>
  <c r="E75" i="120" s="1"/>
  <c r="E69" i="121"/>
  <c r="E73" i="121"/>
  <c r="E58" i="121"/>
  <c r="E64" i="121"/>
  <c r="E74" i="81"/>
  <c r="E75" i="81" s="1"/>
  <c r="E69" i="11"/>
  <c r="E73" i="11"/>
  <c r="E64" i="11"/>
  <c r="E72" i="11"/>
  <c r="E72" i="10"/>
  <c r="E73" i="10"/>
  <c r="E64" i="10"/>
  <c r="E58" i="10"/>
  <c r="E74" i="194"/>
  <c r="E75" i="194" s="1"/>
  <c r="E74" i="209"/>
  <c r="E75" i="209" s="1"/>
  <c r="E64" i="209"/>
  <c r="E64" i="102"/>
  <c r="E64" i="26"/>
  <c r="E74" i="26"/>
  <c r="E75" i="26" s="1"/>
  <c r="E74" i="216"/>
  <c r="E75" i="216" s="1"/>
  <c r="E64" i="216"/>
  <c r="E74" i="103"/>
  <c r="E75" i="103" s="1"/>
  <c r="E64" i="103"/>
  <c r="E64" i="212"/>
  <c r="E74" i="212"/>
  <c r="E75" i="212" s="1"/>
  <c r="E74" i="202"/>
  <c r="E75" i="202" s="1"/>
  <c r="E64" i="202"/>
  <c r="E64" i="75"/>
  <c r="E74" i="75"/>
  <c r="E76" i="75" s="1"/>
  <c r="E64" i="129"/>
  <c r="E74" i="129"/>
  <c r="E75" i="129" s="1"/>
  <c r="E74" i="206"/>
  <c r="E75" i="206" s="1"/>
  <c r="E64" i="206"/>
  <c r="E74" i="30"/>
  <c r="E75" i="30" s="1"/>
  <c r="E64" i="30"/>
  <c r="E74" i="42"/>
  <c r="E75" i="42" s="1"/>
  <c r="E64" i="42"/>
  <c r="E64" i="49"/>
  <c r="E74" i="49"/>
  <c r="E75" i="49" s="1"/>
  <c r="E74" i="69"/>
  <c r="E75" i="69" s="1"/>
  <c r="E64" i="29"/>
  <c r="E74" i="29"/>
  <c r="E75" i="29" s="1"/>
  <c r="E74" i="164"/>
  <c r="E75" i="164" s="1"/>
  <c r="E64" i="164"/>
  <c r="E64" i="141"/>
  <c r="E74" i="141"/>
  <c r="E75" i="141" s="1"/>
  <c r="E64" i="214"/>
  <c r="E74" i="214"/>
  <c r="E75" i="214" s="1"/>
  <c r="E74" i="174"/>
  <c r="E75" i="174" s="1"/>
  <c r="E64" i="174"/>
  <c r="E74" i="204"/>
  <c r="E75" i="204" s="1"/>
  <c r="E64" i="204"/>
  <c r="E74" i="205"/>
  <c r="E75" i="205" s="1"/>
  <c r="E64" i="205"/>
  <c r="E64" i="65"/>
  <c r="E74" i="65"/>
  <c r="E75" i="65" s="1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46"/>
  <c r="E64" i="64"/>
  <c r="E74" i="64"/>
  <c r="E75" i="64" s="1"/>
  <c r="E64" i="191"/>
  <c r="E74" i="191"/>
  <c r="E75" i="191" s="1"/>
  <c r="E64" i="119"/>
  <c r="E74" i="119"/>
  <c r="E75" i="119" s="1"/>
  <c r="E64" i="167"/>
  <c r="E74" i="167"/>
  <c r="E75" i="167" s="1"/>
  <c r="E74" i="165"/>
  <c r="E75" i="165" s="1"/>
  <c r="E64" i="165"/>
  <c r="E74" i="117"/>
  <c r="E75" i="117" s="1"/>
  <c r="E64" i="117"/>
  <c r="E64" i="210"/>
  <c r="E74" i="210"/>
  <c r="E75" i="210" s="1"/>
  <c r="E74" i="99"/>
  <c r="E75" i="99" s="1"/>
  <c r="E64" i="99"/>
  <c r="E74" i="200"/>
  <c r="E75" i="200" s="1"/>
  <c r="E64" i="200"/>
  <c r="E64" i="14"/>
  <c r="E74" i="14"/>
  <c r="E75" i="14" s="1"/>
  <c r="E74" i="28"/>
  <c r="E75" i="28" s="1"/>
  <c r="E64" i="28"/>
  <c r="E64" i="201"/>
  <c r="E74" i="201"/>
  <c r="E75" i="201" s="1"/>
  <c r="E64" i="136"/>
  <c r="E74" i="136"/>
  <c r="E75" i="136" s="1"/>
  <c r="E74" i="195"/>
  <c r="E75" i="195" s="1"/>
  <c r="E64" i="195"/>
  <c r="E74" i="22"/>
  <c r="E75" i="22" s="1"/>
  <c r="E64" i="22"/>
  <c r="E64" i="198"/>
  <c r="E74" i="198"/>
  <c r="E75" i="198" s="1"/>
  <c r="E74" i="97"/>
  <c r="E75" i="97" s="1"/>
  <c r="E64" i="83" l="1"/>
  <c r="E74" i="128"/>
  <c r="E75" i="128" s="1"/>
  <c r="E64" i="128"/>
  <c r="E74" i="147"/>
  <c r="E76" i="147" s="1"/>
  <c r="E74" i="78"/>
  <c r="E75" i="78" s="1"/>
  <c r="E74" i="61"/>
  <c r="E75" i="61" s="1"/>
  <c r="E74" i="94"/>
  <c r="E58" i="217"/>
  <c r="E74" i="217" s="1"/>
  <c r="E75" i="21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64" i="140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168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64" i="56"/>
  <c r="E74" i="56"/>
  <c r="E75" i="56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07"/>
  <c r="E74" i="107"/>
  <c r="E76" i="107" s="1"/>
  <c r="E64" i="151"/>
  <c r="E74" i="151"/>
  <c r="E76" i="151" s="1"/>
  <c r="E74" i="96"/>
  <c r="E76" i="96" s="1"/>
  <c r="E64" i="96"/>
  <c r="E74" i="60"/>
  <c r="E75" i="60" s="1"/>
  <c r="E74" i="13"/>
  <c r="E75" i="13" s="1"/>
  <c r="E74" i="121"/>
  <c r="E75" i="121" s="1"/>
  <c r="E74" i="16"/>
  <c r="E75" i="16" s="1"/>
  <c r="E74" i="58"/>
  <c r="E75" i="58" s="1"/>
  <c r="E74" i="1"/>
  <c r="E75" i="1" s="1"/>
  <c r="E74" i="48"/>
  <c r="E75" i="48" s="1"/>
  <c r="E74" i="122"/>
  <c r="E75" i="122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76"/>
  <c r="E74" i="176"/>
  <c r="E76" i="176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142"/>
  <c r="E74" i="142"/>
  <c r="E76" i="142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4" i="11"/>
  <c r="E75" i="11" s="1"/>
  <c r="E74" i="10"/>
  <c r="E75" i="10" s="1"/>
  <c r="D75" i="7" l="1"/>
  <c r="E40" i="97"/>
</calcChain>
</file>

<file path=xl/sharedStrings.xml><?xml version="1.0" encoding="utf-8"?>
<sst xmlns="http://schemas.openxmlformats.org/spreadsheetml/2006/main" count="23435" uniqueCount="277">
  <si>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</si>
  <si>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</si>
  <si>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</si>
  <si>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</si>
  <si>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</si>
  <si>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</si>
  <si>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</si>
  <si>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</si>
  <si>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</si>
  <si>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</si>
  <si>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</si>
  <si>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</si>
  <si>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</si>
  <si>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</si>
  <si>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</si>
  <si>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</si>
  <si>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</si>
  <si>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</si>
  <si>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</si>
  <si>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</si>
  <si>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</si>
  <si>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</si>
  <si>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</si>
  <si>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</si>
  <si>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</si>
  <si>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</si>
  <si>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</si>
  <si>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</si>
  <si>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</si>
  <si>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</si>
  <si>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</si>
  <si>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</si>
  <si>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</si>
  <si>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</si>
  <si>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</si>
  <si>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</si>
  <si>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</si>
  <si>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</si>
  <si>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</si>
  <si>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</si>
  <si>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</si>
  <si>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</si>
  <si>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</si>
  <si>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</si>
  <si>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</si>
  <si>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</si>
  <si>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</si>
  <si>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</si>
  <si>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</si>
  <si>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</si>
  <si>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</si>
  <si>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</si>
  <si>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</si>
  <si>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</si>
  <si>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</si>
  <si>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</si>
  <si>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</si>
  <si>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</si>
  <si>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</si>
  <si>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</si>
  <si>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</si>
  <si>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</si>
  <si>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</si>
  <si>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</si>
  <si>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</si>
  <si>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</si>
  <si>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</si>
  <si>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</si>
  <si>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</si>
  <si>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</si>
  <si>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</si>
  <si>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</si>
  <si>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</si>
  <si>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</si>
  <si>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</si>
  <si>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</si>
  <si>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</si>
  <si>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</si>
  <si>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</si>
  <si>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</si>
  <si>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</si>
  <si>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</si>
  <si>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</si>
  <si>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</si>
  <si>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</si>
  <si>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</si>
  <si>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</si>
  <si>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</si>
  <si>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</si>
  <si>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</si>
  <si>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</si>
  <si>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</si>
  <si>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Portfel Stabilnego Wzrostu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</si>
  <si>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</si>
  <si>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</si>
  <si>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</si>
  <si>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</si>
  <si>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</si>
  <si>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</si>
  <si>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</si>
  <si>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</si>
  <si>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</si>
  <si>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 xml:space="preserve"> Portfel Akcji Rynków Rozwiniętych</t>
  </si>
  <si>
    <t>Portfel Akcji Rynków Wschodzących</t>
  </si>
  <si>
    <t>Portfel Obligacji Zagranicznych</t>
  </si>
  <si>
    <t>Fundusz Akcji Globalnych</t>
  </si>
  <si>
    <t>Fundusz Obligacji Globalnych</t>
  </si>
  <si>
    <t>Allianz FIO Akcji</t>
  </si>
  <si>
    <t>Allianz FIO Aktywnej Alokacji</t>
  </si>
  <si>
    <t>Allianz FIO Akcji Małych i Średnich Spółek</t>
  </si>
  <si>
    <t>Allianz FIO Obligacji Plus</t>
  </si>
  <si>
    <t>Allianz FIO Selektywny</t>
  </si>
  <si>
    <t>Allianz FIO Stabilnego Wzrostu</t>
  </si>
  <si>
    <t>Allianz FIO Polskich Obligacji Skarbowych</t>
  </si>
  <si>
    <t>Altus FIO Absolutnej Stopy Zwrotu Dłużny C</t>
  </si>
  <si>
    <t xml:space="preserve"> Aviva Investors FIO Dłużnych Papierów Korporacyjnych</t>
  </si>
  <si>
    <t xml:space="preserve"> Investor FIO Akcji </t>
  </si>
  <si>
    <t xml:space="preserve"> Investor SFIO Gold Otwarty</t>
  </si>
  <si>
    <t xml:space="preserve"> Investor FIO TOP 25 Małych Spółek</t>
  </si>
  <si>
    <t>Investor SFIO Ameryka Łacińska</t>
  </si>
  <si>
    <t xml:space="preserve"> Investor SFIO BRIC</t>
  </si>
  <si>
    <t xml:space="preserve"> Investor SFIO Indie i Chiny</t>
  </si>
  <si>
    <t xml:space="preserve"> Investor SFIO Turcja</t>
  </si>
  <si>
    <t xml:space="preserve"> Investor FIO Zrównoważony</t>
  </si>
  <si>
    <t xml:space="preserve"> Noble Fund FIO Akcji Małych i Średnich Spółek</t>
  </si>
  <si>
    <t xml:space="preserve"> PZU FIO Akcji Małych i Średnich Spółek</t>
  </si>
  <si>
    <t xml:space="preserve"> PZU SFIO GI Akcji Rynków Rozwiniętych</t>
  </si>
  <si>
    <t xml:space="preserve"> PZU FIO Energia Medycyna Ekologia</t>
  </si>
  <si>
    <t>PZU FIO Zrównoważony</t>
  </si>
  <si>
    <t xml:space="preserve"> Skarbiec FIO Lokacyjny</t>
  </si>
  <si>
    <t xml:space="preserve"> Skarbiec FIO Spółek Wzrostowych</t>
  </si>
  <si>
    <t>UniFundusze FIO UniKorona Akcje</t>
  </si>
  <si>
    <t>UniFundusze FIO UniAkcje Małych i Średnich Spółek</t>
  </si>
  <si>
    <t xml:space="preserve"> UniFundusze FIO UniStabilny Wzrost</t>
  </si>
  <si>
    <t>UniFundusze FIO UniKorona Pieniężny</t>
  </si>
  <si>
    <t>UniFundusze FIO UniKorona Zrównoważony</t>
  </si>
  <si>
    <t>UniFundusze FIO UniKorona Obligacje</t>
  </si>
  <si>
    <t>UniFundusze FIO UniAkcje Wzrostu</t>
  </si>
  <si>
    <t>UniFundusze FIO UniLokata</t>
  </si>
  <si>
    <t>Schroder ISF EURO Equity Hedged A1 (Acc) (PLN)</t>
  </si>
  <si>
    <t>Schroder ISF Frontier Markets Equity Hedged A1 (Acc) (PLN)</t>
  </si>
  <si>
    <t>Schroder ISF Global Diversified Growth Hedged A1 (Acc) (PLN)</t>
  </si>
  <si>
    <t>Schroder ISF Global High Income Bond Hedged A1 (Acc) (PLN)</t>
  </si>
  <si>
    <t>Schroder ISF Asian Convertible Bond Hedged A1 (Acc) (PLN)</t>
  </si>
  <si>
    <t>Schroder ISF Emerging Markets Debt Absolute Return Hedged A1 (Acc) (PLN)</t>
  </si>
  <si>
    <t xml:space="preserve"> Franklin U.S. Opportunities Fund N Hedged (Acc) (PLN)</t>
  </si>
  <si>
    <t>Franklin Global Fundamental Strategies Fund N Hedged (Acc) (PLN)</t>
  </si>
  <si>
    <t>Franklin Natural Resources Fund N Hedged (Acc) (PLN)</t>
  </si>
  <si>
    <t>Franklin European Dividend Fund N Hedged (Acc) (PLN)</t>
  </si>
  <si>
    <t xml:space="preserve"> Templeton Global Bond Fund N Hedged (Acc) (PLN)</t>
  </si>
  <si>
    <t xml:space="preserve"> Templeton Global Total Return Fund A Hedged (Acc) (PLN)</t>
  </si>
  <si>
    <t xml:space="preserve"> Templeton Asian Growth Fund N Hedged (Acc) (PLN)</t>
  </si>
  <si>
    <t>Quercus SFIO Agresywny</t>
  </si>
  <si>
    <t>Quercus SFIO Short</t>
  </si>
  <si>
    <t>Quercus SFIO Stabilny</t>
  </si>
  <si>
    <t>Quercus SFIO Ochrony Kapitału</t>
  </si>
  <si>
    <t>Quercus SFIO LEV</t>
  </si>
  <si>
    <t>Quercus SFIO Rosja</t>
  </si>
  <si>
    <t>Quercus SFIO Selektywny</t>
  </si>
  <si>
    <t>Quercus SFIO Turcja</t>
  </si>
  <si>
    <t>JPM Emerging Markets Opportunities D (Acc) (PLN)</t>
  </si>
  <si>
    <t>JPM Global Healthcare D Hedged (Acc) (PLN)</t>
  </si>
  <si>
    <t>Fundusz Obligacji Plus</t>
  </si>
  <si>
    <t>UniFundusze FIO UniAkcje Nowa Europa</t>
  </si>
  <si>
    <t xml:space="preserve"> Aviva Investors FIO Małych Spółek</t>
  </si>
  <si>
    <t>NN FIO Subfundusz Akcji Środkowoeuropejskich</t>
  </si>
  <si>
    <t>NN FIO Subfundusz Średnich i Małych Spółek</t>
  </si>
  <si>
    <t xml:space="preserve"> Skarbiec FIO Małych i Średnich Spółek</t>
  </si>
  <si>
    <t>UniFundusze FIO UniObligacje Nowa Europa</t>
  </si>
  <si>
    <t xml:space="preserve">Schroder ISF Asian Opportunities PLN Hedged </t>
  </si>
  <si>
    <t>JPM Global Strategic Bond D Hedged (Acc) (PLN)</t>
  </si>
  <si>
    <t xml:space="preserve"> Templeton Latin America Fund PLN Hedged</t>
  </si>
  <si>
    <t>UniFundusze SFIO UniObligacje Aktywny</t>
  </si>
  <si>
    <t>NN FIO Akcji</t>
  </si>
  <si>
    <t>NN FIO Obligacji</t>
  </si>
  <si>
    <t>NN SFIO (L) Spółek Dywidendowych USA</t>
  </si>
  <si>
    <t>NN SFIO (L) Globalny Długu Korporacyjnego</t>
  </si>
  <si>
    <t>NN SFIO (L) Globalny Spółek Dywidendowych</t>
  </si>
  <si>
    <t>NN SFIO (L) Europejski Spółek Dywidendowych</t>
  </si>
  <si>
    <t xml:space="preserve">NN SFIO (L) Japonia </t>
  </si>
  <si>
    <t xml:space="preserve">NN SFIO (L) Obligacji Rynków Wschodzących WL </t>
  </si>
  <si>
    <t>NN SFIO (L) Nowej Azji</t>
  </si>
  <si>
    <t>Allianz FIO Akcji Globalnych</t>
  </si>
  <si>
    <t xml:space="preserve"> Investor SFIO Gotówkowy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</si>
  <si>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</si>
  <si>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</si>
  <si>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</si>
  <si>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</si>
  <si>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</si>
  <si>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</si>
  <si>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</si>
  <si>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</si>
  <si>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</si>
  <si>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</si>
  <si>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</si>
  <si>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</si>
  <si>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</si>
  <si>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</si>
  <si>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</si>
  <si>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</si>
  <si>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</si>
  <si>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</si>
  <si>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Portfel Aktywnej Alokacji</t>
  </si>
  <si>
    <t>Portfel Dynamiczny</t>
  </si>
  <si>
    <t xml:space="preserve">Skarbiec FIO Kasa </t>
  </si>
  <si>
    <t>Allianz FIO Surowców i Energii</t>
  </si>
  <si>
    <t>Altus FIO Absolutnej Stopy Zwrotu Rynku Polskiego C</t>
  </si>
  <si>
    <t xml:space="preserve"> Investor FIO Płynna Lokata</t>
  </si>
  <si>
    <t xml:space="preserve"> Investor FIO Zabezpieczenia Emerytalnego</t>
  </si>
  <si>
    <t xml:space="preserve"> Ipopema SFIO Akcji kat. B</t>
  </si>
  <si>
    <t>LICZBA I WARTOŚĆ JEDNOSTEK ROZRACHUNKOWYCH uczestnictwa funduszu</t>
  </si>
  <si>
    <t>Wartość bilansowa (w zł)</t>
  </si>
  <si>
    <t>-</t>
  </si>
  <si>
    <t>GS Emerging Markets Debt Portfolio A (Acc) (PLN) (Hedged)</t>
  </si>
  <si>
    <t xml:space="preserve"> Investor FIO Akcji Spółek Dywidendowych</t>
  </si>
  <si>
    <t xml:space="preserve"> Investor SFIO Obligacji Korporacyjnych</t>
  </si>
  <si>
    <t>PZU FIO Akcji Krakowiak</t>
  </si>
  <si>
    <t xml:space="preserve"> Skarbiec FIO TOP Brands</t>
  </si>
  <si>
    <t>Portfel Strategicznej Alokacji</t>
  </si>
  <si>
    <t>Portfel Obniżonego Ryzyka</t>
  </si>
  <si>
    <t>Fundusz Energetyczny</t>
  </si>
  <si>
    <t>NN SFIO Subfundusz Stabilny Globalnej Alokacji (L)</t>
  </si>
  <si>
    <t>NN SFIO Subf.Spółek Dywidendowych Rynków Wschodzących (L)</t>
  </si>
  <si>
    <t>GS Global Strategic Macro Bond Portfolio A (Acc) (PLN) (Hedged)</t>
  </si>
  <si>
    <t>ESALIENS FIO Akcji</t>
  </si>
  <si>
    <t>ESALIENS FIO Obligacji</t>
  </si>
  <si>
    <t>ESALIENS FIO Pieniężny</t>
  </si>
  <si>
    <t xml:space="preserve">ESALIENS FIO Strateg </t>
  </si>
  <si>
    <t>NN SFIO (L) Depozytowy</t>
  </si>
  <si>
    <t>31-12-2017</t>
  </si>
  <si>
    <t xml:space="preserve"> Investor FIO Akcji Spółek Wzrostowych</t>
  </si>
  <si>
    <t>JPM Global Markets Opportunities Fund D (PLN)</t>
  </si>
  <si>
    <t>30-06-2018</t>
  </si>
  <si>
    <t>30-06-2017</t>
  </si>
  <si>
    <t>Allianz FIO Obligacji Globalnych</t>
  </si>
  <si>
    <t xml:space="preserve">Allianz SFIO Globalny Stabilnego Dochodu </t>
  </si>
  <si>
    <t xml:space="preserve">Allianz SFIO Zbalansowana Multistrategia </t>
  </si>
  <si>
    <t xml:space="preserve">Allianz SFIO Defensywna Multistrategia </t>
  </si>
  <si>
    <t xml:space="preserve">Allianz SFIO Dynamiczna Multistrategia </t>
  </si>
  <si>
    <t xml:space="preserve">Allianz SFIO Akcji Rynków Wschodzących </t>
  </si>
  <si>
    <t>Allianz FIO Pieniężny</t>
  </si>
  <si>
    <t xml:space="preserve"> Pekao FG SFIO Akcji Rynków Wschodzących</t>
  </si>
  <si>
    <t xml:space="preserve"> Pekao FG SFIO Alternatywny - Globalnego Dochodu</t>
  </si>
  <si>
    <t xml:space="preserve"> Pekao FG SFIO Obligacji Strategicznych</t>
  </si>
  <si>
    <t xml:space="preserve"> Pekao FG SFIO Gotówkowy</t>
  </si>
  <si>
    <t xml:space="preserve"> Pekao FG SFIO Wzrostu i Dochodu Rynku Europejskiego</t>
  </si>
  <si>
    <t xml:space="preserve"> Pekao FG SFIO Surowców i Energii</t>
  </si>
  <si>
    <t xml:space="preserve"> Pekao FIO Akcji Polskich</t>
  </si>
  <si>
    <t xml:space="preserve"> Pekao FIO Dynamicznych Spółek</t>
  </si>
  <si>
    <t xml:space="preserve"> Pekao FIO Obligacji Plus</t>
  </si>
  <si>
    <t xml:space="preserve"> Pekao FIO Pieniężny </t>
  </si>
  <si>
    <t xml:space="preserve"> Pekao FIO Pieniężny Plus</t>
  </si>
  <si>
    <t xml:space="preserve"> Pekao FIO Stabilnego Inwestowania</t>
  </si>
  <si>
    <t xml:space="preserve"> Pekao FIO Obligacji - Dynamiczna Alokacja 2</t>
  </si>
  <si>
    <t xml:space="preserve"> Pekao FIO Akcji - Aktywna Selekcja</t>
  </si>
  <si>
    <t xml:space="preserve"> Pekao PW FIO Akcji Amerykańskich</t>
  </si>
  <si>
    <t xml:space="preserve"> Pekao PW FIO Akcji Europejskich</t>
  </si>
  <si>
    <t xml:space="preserve"> Pekao SF SFIO Strategii Globalnej</t>
  </si>
  <si>
    <t xml:space="preserve">Pekao FG SFIO Akcji Małych i Średnich Spółek Rynków Rozwiniętych </t>
  </si>
  <si>
    <t xml:space="preserve">Pekao FG SFIO Obligacji i Dochodu </t>
  </si>
  <si>
    <t>PKO Parasolowy FIO Akcji Nowa Europa</t>
  </si>
  <si>
    <t>PKO Parasolowy FIO Obligacji Długoterminowych</t>
  </si>
  <si>
    <t xml:space="preserve"> PKO Parasolowy FIO Stabilnego Wzrostu </t>
  </si>
  <si>
    <t>PKO Parasolowy FIO Zrównoważony</t>
  </si>
  <si>
    <t>PZU SFIO Gl Akcji Spółek Dywidendowych</t>
  </si>
  <si>
    <t xml:space="preserve"> PZU FIO Papierów Dłużnych POLONEZ</t>
  </si>
  <si>
    <t xml:space="preserve"> PZU FIO Sejf+</t>
  </si>
  <si>
    <t xml:space="preserve"> Skarbiec FIO Market Neutral</t>
  </si>
  <si>
    <t xml:space="preserve"> Skarbiec FIO Akcja </t>
  </si>
  <si>
    <t>UniFundusze FIO UniAkcje Dywidendowy</t>
  </si>
  <si>
    <t>UniFundusze SFIO UniObligacje Zamienne</t>
  </si>
  <si>
    <t xml:space="preserve"> Noble Fund FIO Global Return</t>
  </si>
  <si>
    <t xml:space="preserve"> Noble Fund FIO Akcji</t>
  </si>
  <si>
    <t xml:space="preserve"> Skarbiec FIO Globalny Małych i Średnich Spółek</t>
  </si>
  <si>
    <t>UniFundusze SFIO UniAkcje Daleki Wschód</t>
  </si>
  <si>
    <t>NA DZIEŃ 30-06-2018</t>
  </si>
  <si>
    <t>SPORZĄDZONE NA DZIEŃ 30-06-2018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</si>
</sst>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"/>
    <numFmt numFmtId="165" formatCode="0.0000"/>
    <numFmt numFmtId="166" formatCode="#,##0.0000_ ;\-#,##0.0000\ "/>
  </numFmts>
  <fonts count="5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/>
    <xf numFmtId="0" fontId="20" fillId="20" borderId="1" applyNumberFormat="0" applyAlignment="0" applyProtection="0"/>
    <xf numFmtId="9" fontId="1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23" borderId="9" applyNumberFormat="0" applyFont="0" applyAlignment="0" applyProtection="0"/>
    <xf numFmtId="0" fontId="25" fillId="3" borderId="0" applyNumberFormat="0" applyBorder="0" applyAlignment="0" applyProtection="0"/>
    <xf numFmtId="0" fontId="31" fillId="0" borderId="0"/>
    <xf numFmtId="0" fontId="19" fillId="23" borderId="66" applyNumberFormat="0" applyFont="0" applyAlignment="0" applyProtection="0"/>
    <xf numFmtId="0" fontId="21" fillId="0" borderId="65" applyNumberFormat="0" applyFill="0" applyAlignment="0" applyProtection="0"/>
    <xf numFmtId="0" fontId="20" fillId="20" borderId="63" applyNumberFormat="0" applyAlignment="0" applyProtection="0"/>
    <xf numFmtId="0" fontId="11" fillId="20" borderId="64" applyNumberFormat="0" applyAlignment="0" applyProtection="0"/>
    <xf numFmtId="0" fontId="10" fillId="7" borderId="63" applyNumberFormat="0" applyAlignment="0" applyProtection="0"/>
    <xf numFmtId="0" fontId="1" fillId="0" borderId="0"/>
    <xf numFmtId="0" fontId="19" fillId="23" borderId="70" applyNumberFormat="0" applyFont="0" applyAlignment="0" applyProtection="0"/>
    <xf numFmtId="0" fontId="21" fillId="0" borderId="69" applyNumberFormat="0" applyFill="0" applyAlignment="0" applyProtection="0"/>
    <xf numFmtId="0" fontId="20" fillId="20" borderId="67" applyNumberFormat="0" applyAlignment="0" applyProtection="0"/>
    <xf numFmtId="0" fontId="11" fillId="20" borderId="68" applyNumberFormat="0" applyAlignment="0" applyProtection="0"/>
    <xf numFmtId="0" fontId="10" fillId="7" borderId="67" applyNumberFormat="0" applyAlignment="0" applyProtection="0"/>
    <xf numFmtId="0" fontId="33" fillId="0" borderId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5" borderId="0" applyNumberFormat="0" applyBorder="0" applyAlignment="0" applyProtection="0"/>
    <xf numFmtId="0" fontId="34" fillId="49" borderId="0" applyNumberFormat="0" applyBorder="0" applyAlignment="0" applyProtection="0"/>
    <xf numFmtId="0" fontId="34" fillId="53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50" borderId="0" applyNumberFormat="0" applyBorder="0" applyAlignment="0" applyProtection="0"/>
    <xf numFmtId="0" fontId="34" fillId="54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5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35" fillId="52" borderId="0" applyNumberFormat="0" applyBorder="0" applyAlignment="0" applyProtection="0"/>
    <xf numFmtId="0" fontId="36" fillId="26" borderId="0" applyNumberFormat="0" applyBorder="0" applyAlignment="0" applyProtection="0"/>
    <xf numFmtId="0" fontId="37" fillId="29" borderId="74" applyNumberFormat="0" applyAlignment="0" applyProtection="0"/>
    <xf numFmtId="0" fontId="38" fillId="30" borderId="77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1" fillId="0" borderId="71" applyNumberFormat="0" applyFill="0" applyAlignment="0" applyProtection="0"/>
    <xf numFmtId="0" fontId="42" fillId="0" borderId="72" applyNumberFormat="0" applyFill="0" applyAlignment="0" applyProtection="0"/>
    <xf numFmtId="0" fontId="43" fillId="0" borderId="7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74" applyNumberFormat="0" applyAlignment="0" applyProtection="0"/>
    <xf numFmtId="0" fontId="45" fillId="0" borderId="76" applyNumberFormat="0" applyFill="0" applyAlignment="0" applyProtection="0"/>
    <xf numFmtId="0" fontId="46" fillId="27" borderId="0" applyNumberFormat="0" applyBorder="0" applyAlignment="0" applyProtection="0"/>
    <xf numFmtId="0" fontId="33" fillId="31" borderId="78" applyNumberFormat="0" applyFont="0" applyAlignment="0" applyProtection="0"/>
    <xf numFmtId="0" fontId="47" fillId="29" borderId="75" applyNumberFormat="0" applyAlignment="0" applyProtection="0"/>
    <xf numFmtId="0" fontId="48" fillId="0" borderId="0" applyNumberFormat="0" applyFill="0" applyBorder="0" applyAlignment="0" applyProtection="0"/>
    <xf numFmtId="0" fontId="49" fillId="0" borderId="7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1" fillId="31" borderId="78" applyNumberFormat="0" applyFont="0" applyAlignment="0" applyProtection="0"/>
    <xf numFmtId="0" fontId="1" fillId="31" borderId="78" applyNumberFormat="0" applyFont="0" applyAlignment="0" applyProtection="0"/>
    <xf numFmtId="0" fontId="54" fillId="0" borderId="0"/>
    <xf numFmtId="0" fontId="1" fillId="0" borderId="0"/>
    <xf numFmtId="0" fontId="10" fillId="7" borderId="90" applyNumberFormat="0" applyAlignment="0" applyProtection="0"/>
    <xf numFmtId="0" fontId="11" fillId="20" borderId="91" applyNumberFormat="0" applyAlignment="0" applyProtection="0"/>
    <xf numFmtId="0" fontId="20" fillId="20" borderId="90" applyNumberFormat="0" applyAlignment="0" applyProtection="0"/>
    <xf numFmtId="0" fontId="21" fillId="0" borderId="92" applyNumberFormat="0" applyFill="0" applyAlignment="0" applyProtection="0"/>
    <xf numFmtId="0" fontId="19" fillId="23" borderId="93" applyNumberFormat="0" applyFont="0" applyAlignment="0" applyProtection="0"/>
    <xf numFmtId="0" fontId="21" fillId="0" borderId="92" applyNumberFormat="0" applyFill="0" applyAlignment="0" applyProtection="0"/>
    <xf numFmtId="0" fontId="11" fillId="20" borderId="91" applyNumberFormat="0" applyAlignment="0" applyProtection="0"/>
    <xf numFmtId="0" fontId="19" fillId="23" borderId="93" applyNumberFormat="0" applyFont="0" applyAlignment="0" applyProtection="0"/>
    <xf numFmtId="0" fontId="19" fillId="23" borderId="93" applyNumberFormat="0" applyFont="0" applyAlignment="0" applyProtection="0"/>
    <xf numFmtId="0" fontId="1" fillId="0" borderId="0"/>
    <xf numFmtId="0" fontId="10" fillId="7" borderId="90" applyNumberFormat="0" applyAlignment="0" applyProtection="0"/>
    <xf numFmtId="0" fontId="11" fillId="20" borderId="91" applyNumberFormat="0" applyAlignment="0" applyProtection="0"/>
    <xf numFmtId="0" fontId="20" fillId="20" borderId="90" applyNumberFormat="0" applyAlignment="0" applyProtection="0"/>
    <xf numFmtId="0" fontId="21" fillId="0" borderId="92" applyNumberFormat="0" applyFill="0" applyAlignment="0" applyProtection="0"/>
    <xf numFmtId="0" fontId="20" fillId="20" borderId="90" applyNumberFormat="0" applyAlignment="0" applyProtection="0"/>
    <xf numFmtId="0" fontId="10" fillId="7" borderId="90" applyNumberFormat="0" applyAlignment="0" applyProtection="0"/>
    <xf numFmtId="0" fontId="1" fillId="0" borderId="0"/>
    <xf numFmtId="0" fontId="1" fillId="31" borderId="78" applyNumberFormat="0" applyFont="0" applyAlignment="0" applyProtection="0"/>
  </cellStyleXfs>
  <cellXfs count="330">
    <xf numFmtId="0" fontId="0" fillId="0" borderId="0" xfId="0"/>
    <xf numFmtId="0" fontId="2" fillId="24" borderId="0" xfId="0" applyFont="1" applyFill="1"/>
    <xf numFmtId="4" fontId="2" fillId="24" borderId="0" xfId="0" applyNumberFormat="1" applyFont="1" applyFill="1"/>
    <xf numFmtId="0" fontId="2" fillId="24" borderId="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0" fontId="6" fillId="24" borderId="13" xfId="0" applyFont="1" applyFill="1" applyBorder="1" applyAlignment="1">
      <alignment horizontal="center"/>
    </xf>
    <xf numFmtId="0" fontId="6" fillId="24" borderId="18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wrapText="1"/>
    </xf>
    <xf numFmtId="43" fontId="2" fillId="24" borderId="0" xfId="0" applyNumberFormat="1" applyFont="1" applyFill="1" applyBorder="1" applyAlignment="1">
      <alignment wrapText="1"/>
    </xf>
    <xf numFmtId="43" fontId="5" fillId="24" borderId="24" xfId="0" applyNumberFormat="1" applyFont="1" applyFill="1" applyBorder="1" applyAlignment="1">
      <alignment horizontal="right" wrapText="1"/>
    </xf>
    <xf numFmtId="0" fontId="5" fillId="24" borderId="17" xfId="0" applyFont="1" applyFill="1" applyBorder="1" applyAlignment="1">
      <alignment horizontal="left" wrapText="1"/>
    </xf>
    <xf numFmtId="0" fontId="5" fillId="24" borderId="18" xfId="0" applyFont="1" applyFill="1" applyBorder="1" applyAlignment="1">
      <alignment horizontal="left" wrapText="1"/>
    </xf>
    <xf numFmtId="0" fontId="5" fillId="24" borderId="18" xfId="0" applyFont="1" applyFill="1" applyBorder="1" applyAlignment="1">
      <alignment wrapText="1"/>
    </xf>
    <xf numFmtId="0" fontId="6" fillId="24" borderId="27" xfId="0" applyFont="1" applyFill="1" applyBorder="1" applyAlignment="1">
      <alignment wrapText="1"/>
    </xf>
    <xf numFmtId="0" fontId="5" fillId="24" borderId="22" xfId="0" applyFont="1" applyFill="1" applyBorder="1"/>
    <xf numFmtId="0" fontId="6" fillId="24" borderId="17" xfId="0" applyFont="1" applyFill="1" applyBorder="1" applyAlignment="1">
      <alignment horizontal="center"/>
    </xf>
    <xf numFmtId="0" fontId="6" fillId="24" borderId="18" xfId="0" applyNumberFormat="1" applyFont="1" applyFill="1" applyBorder="1" applyAlignment="1">
      <alignment wrapText="1"/>
    </xf>
    <xf numFmtId="0" fontId="6" fillId="24" borderId="20" xfId="0" applyFont="1" applyFill="1" applyBorder="1" applyAlignment="1">
      <alignment horizontal="center"/>
    </xf>
    <xf numFmtId="0" fontId="6" fillId="24" borderId="19" xfId="0" applyNumberFormat="1" applyFont="1" applyFill="1" applyBorder="1" applyAlignment="1">
      <alignment wrapText="1"/>
    </xf>
    <xf numFmtId="4" fontId="2" fillId="24" borderId="27" xfId="0" applyNumberFormat="1" applyFont="1" applyFill="1" applyBorder="1" applyAlignment="1">
      <alignment horizontal="center" wrapText="1"/>
    </xf>
    <xf numFmtId="4" fontId="2" fillId="24" borderId="28" xfId="0" applyNumberFormat="1" applyFont="1" applyFill="1" applyBorder="1" applyAlignment="1">
      <alignment horizontal="center" wrapText="1"/>
    </xf>
    <xf numFmtId="0" fontId="5" fillId="24" borderId="29" xfId="0" applyFont="1" applyFill="1" applyBorder="1" applyAlignment="1">
      <alignment horizontal="left" wrapText="1"/>
    </xf>
    <xf numFmtId="0" fontId="6" fillId="24" borderId="26" xfId="0" applyFont="1" applyFill="1" applyBorder="1" applyAlignment="1">
      <alignment horizontal="center"/>
    </xf>
    <xf numFmtId="0" fontId="6" fillId="24" borderId="27" xfId="0" applyNumberFormat="1" applyFont="1" applyFill="1" applyBorder="1" applyAlignment="1">
      <alignment wrapText="1"/>
    </xf>
    <xf numFmtId="0" fontId="5" fillId="24" borderId="32" xfId="0" applyFont="1" applyFill="1" applyBorder="1"/>
    <xf numFmtId="0" fontId="5" fillId="24" borderId="33" xfId="0" applyNumberFormat="1" applyFont="1" applyFill="1" applyBorder="1" applyAlignment="1">
      <alignment wrapText="1"/>
    </xf>
    <xf numFmtId="4" fontId="5" fillId="24" borderId="33" xfId="0" applyNumberFormat="1" applyFont="1" applyFill="1" applyBorder="1"/>
    <xf numFmtId="10" fontId="5" fillId="24" borderId="34" xfId="37" applyNumberFormat="1" applyFont="1" applyFill="1" applyBorder="1"/>
    <xf numFmtId="0" fontId="0" fillId="24" borderId="0" xfId="0" applyFill="1"/>
    <xf numFmtId="4" fontId="5" fillId="24" borderId="24" xfId="0" applyNumberFormat="1" applyFont="1" applyFill="1" applyBorder="1"/>
    <xf numFmtId="4" fontId="5" fillId="24" borderId="37" xfId="0" applyNumberFormat="1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/>
    </xf>
    <xf numFmtId="0" fontId="5" fillId="24" borderId="38" xfId="0" applyNumberFormat="1" applyFont="1" applyFill="1" applyBorder="1" applyAlignment="1">
      <alignment wrapText="1"/>
    </xf>
    <xf numFmtId="10" fontId="5" fillId="24" borderId="15" xfId="37" applyNumberFormat="1" applyFont="1" applyFill="1" applyBorder="1"/>
    <xf numFmtId="0" fontId="19" fillId="0" borderId="0" xfId="35"/>
    <xf numFmtId="0" fontId="26" fillId="0" borderId="0" xfId="35" applyFont="1"/>
    <xf numFmtId="43" fontId="26" fillId="0" borderId="0" xfId="35" applyNumberFormat="1" applyFont="1"/>
    <xf numFmtId="0" fontId="27" fillId="0" borderId="29" xfId="35" applyFont="1" applyBorder="1"/>
    <xf numFmtId="0" fontId="27" fillId="0" borderId="41" xfId="35" applyFont="1" applyBorder="1"/>
    <xf numFmtId="43" fontId="27" fillId="0" borderId="42" xfId="35" applyNumberFormat="1" applyFont="1" applyBorder="1"/>
    <xf numFmtId="43" fontId="27" fillId="0" borderId="37" xfId="35" applyNumberFormat="1" applyFont="1" applyBorder="1"/>
    <xf numFmtId="43" fontId="27" fillId="0" borderId="0" xfId="35" applyNumberFormat="1" applyFont="1"/>
    <xf numFmtId="0" fontId="27" fillId="0" borderId="43" xfId="35" applyFont="1" applyBorder="1"/>
    <xf numFmtId="0" fontId="27" fillId="0" borderId="0" xfId="35" applyFont="1" applyBorder="1"/>
    <xf numFmtId="43" fontId="28" fillId="0" borderId="44" xfId="35" applyNumberFormat="1" applyFont="1" applyBorder="1" applyAlignment="1">
      <alignment horizontal="center"/>
    </xf>
    <xf numFmtId="43" fontId="28" fillId="0" borderId="45" xfId="35" applyNumberFormat="1" applyFont="1" applyBorder="1" applyAlignment="1">
      <alignment horizontal="center"/>
    </xf>
    <xf numFmtId="0" fontId="27" fillId="0" borderId="46" xfId="35" applyFont="1" applyBorder="1"/>
    <xf numFmtId="0" fontId="27" fillId="0" borderId="47" xfId="35" applyFont="1" applyBorder="1"/>
    <xf numFmtId="43" fontId="28" fillId="0" borderId="48" xfId="35" applyNumberFormat="1" applyFont="1" applyBorder="1" applyAlignment="1">
      <alignment horizontal="center"/>
    </xf>
    <xf numFmtId="43" fontId="28" fillId="0" borderId="49" xfId="35" applyNumberFormat="1" applyFont="1" applyBorder="1" applyAlignment="1">
      <alignment horizontal="center"/>
    </xf>
    <xf numFmtId="43" fontId="27" fillId="0" borderId="44" xfId="35" applyNumberFormat="1" applyFont="1" applyBorder="1"/>
    <xf numFmtId="43" fontId="27" fillId="0" borderId="45" xfId="35" applyNumberFormat="1" applyFont="1" applyBorder="1"/>
    <xf numFmtId="0" fontId="28" fillId="0" borderId="43" xfId="35" applyFont="1" applyBorder="1"/>
    <xf numFmtId="0" fontId="28" fillId="0" borderId="0" xfId="35" applyFont="1" applyBorder="1"/>
    <xf numFmtId="43" fontId="28" fillId="0" borderId="44" xfId="35" applyNumberFormat="1" applyFont="1" applyFill="1" applyBorder="1"/>
    <xf numFmtId="43" fontId="28" fillId="0" borderId="45" xfId="35" applyNumberFormat="1" applyFont="1" applyFill="1" applyBorder="1"/>
    <xf numFmtId="43" fontId="28" fillId="0" borderId="44" xfId="35" applyNumberFormat="1" applyFont="1" applyBorder="1"/>
    <xf numFmtId="43" fontId="28" fillId="0" borderId="45" xfId="35" applyNumberFormat="1" applyFont="1" applyBorder="1"/>
    <xf numFmtId="0" fontId="28" fillId="0" borderId="29" xfId="35" applyFont="1" applyBorder="1"/>
    <xf numFmtId="0" fontId="28" fillId="0" borderId="41" xfId="35" applyFont="1" applyBorder="1"/>
    <xf numFmtId="43" fontId="28" fillId="0" borderId="42" xfId="35" applyNumberFormat="1" applyFont="1" applyBorder="1"/>
    <xf numFmtId="43" fontId="28" fillId="0" borderId="37" xfId="35" applyNumberFormat="1" applyFont="1" applyBorder="1"/>
    <xf numFmtId="0" fontId="28" fillId="0" borderId="46" xfId="35" applyFont="1" applyBorder="1"/>
    <xf numFmtId="0" fontId="28" fillId="0" borderId="47" xfId="35" applyFont="1" applyBorder="1"/>
    <xf numFmtId="43" fontId="28" fillId="0" borderId="48" xfId="35" applyNumberFormat="1" applyFont="1" applyBorder="1"/>
    <xf numFmtId="43" fontId="28" fillId="0" borderId="49" xfId="35" applyNumberFormat="1" applyFont="1" applyBorder="1"/>
    <xf numFmtId="43" fontId="27" fillId="0" borderId="48" xfId="35" applyNumberFormat="1" applyFont="1" applyBorder="1"/>
    <xf numFmtId="43" fontId="27" fillId="0" borderId="49" xfId="35" applyNumberFormat="1" applyFont="1" applyBorder="1"/>
    <xf numFmtId="10" fontId="5" fillId="24" borderId="31" xfId="37" applyNumberFormat="1" applyFont="1" applyFill="1" applyBorder="1"/>
    <xf numFmtId="43" fontId="0" fillId="0" borderId="0" xfId="0" applyNumberFormat="1"/>
    <xf numFmtId="0" fontId="6" fillId="24" borderId="39" xfId="0" applyFont="1" applyFill="1" applyBorder="1" applyAlignment="1">
      <alignment wrapText="1"/>
    </xf>
    <xf numFmtId="0" fontId="6" fillId="24" borderId="40" xfId="0" applyFont="1" applyFill="1" applyBorder="1" applyAlignment="1">
      <alignment wrapText="1"/>
    </xf>
    <xf numFmtId="4" fontId="5" fillId="24" borderId="14" xfId="0" applyNumberFormat="1" applyFont="1" applyFill="1" applyBorder="1" applyAlignment="1">
      <alignment horizontal="center" wrapText="1"/>
    </xf>
    <xf numFmtId="4" fontId="0" fillId="0" borderId="0" xfId="0" applyNumberFormat="1"/>
    <xf numFmtId="43" fontId="29" fillId="0" borderId="44" xfId="35" applyNumberFormat="1" applyFont="1" applyFill="1" applyBorder="1"/>
    <xf numFmtId="164" fontId="1" fillId="24" borderId="25" xfId="0" applyNumberFormat="1" applyFont="1" applyFill="1" applyBorder="1"/>
    <xf numFmtId="4" fontId="5" fillId="0" borderId="0" xfId="0" applyNumberFormat="1" applyFont="1"/>
    <xf numFmtId="165" fontId="1" fillId="24" borderId="25" xfId="0" applyNumberFormat="1" applyFont="1" applyFill="1" applyBorder="1"/>
    <xf numFmtId="0" fontId="6" fillId="24" borderId="11" xfId="0" applyFont="1" applyFill="1" applyBorder="1" applyAlignment="1">
      <alignment horizontal="center"/>
    </xf>
    <xf numFmtId="4" fontId="30" fillId="0" borderId="0" xfId="0" applyNumberFormat="1" applyFont="1"/>
    <xf numFmtId="4" fontId="1" fillId="24" borderId="18" xfId="0" applyNumberFormat="1" applyFont="1" applyFill="1" applyBorder="1"/>
    <xf numFmtId="10" fontId="1" fillId="24" borderId="31" xfId="37" applyNumberFormat="1" applyFont="1" applyFill="1" applyBorder="1"/>
    <xf numFmtId="4" fontId="1" fillId="24" borderId="27" xfId="0" applyNumberFormat="1" applyFont="1" applyFill="1" applyBorder="1"/>
    <xf numFmtId="10" fontId="1" fillId="24" borderId="28" xfId="37" applyNumberFormat="1" applyFont="1" applyFill="1" applyBorder="1"/>
    <xf numFmtId="4" fontId="1" fillId="24" borderId="19" xfId="0" applyNumberFormat="1" applyFont="1" applyFill="1" applyBorder="1"/>
    <xf numFmtId="10" fontId="1" fillId="24" borderId="35" xfId="37" applyNumberFormat="1" applyFont="1" applyFill="1" applyBorder="1"/>
    <xf numFmtId="0" fontId="1" fillId="24" borderId="0" xfId="0" applyFont="1" applyFill="1"/>
    <xf numFmtId="43" fontId="1" fillId="24" borderId="55" xfId="0" applyNumberFormat="1" applyFont="1" applyFill="1" applyBorder="1" applyAlignment="1">
      <alignment horizontal="right" wrapText="1"/>
    </xf>
    <xf numFmtId="43" fontId="1" fillId="24" borderId="50" xfId="0" applyNumberFormat="1" applyFont="1" applyFill="1" applyBorder="1" applyAlignment="1">
      <alignment horizontal="right" wrapText="1"/>
    </xf>
    <xf numFmtId="43" fontId="1" fillId="24" borderId="36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32" fillId="24" borderId="0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wrapText="1"/>
    </xf>
    <xf numFmtId="0" fontId="6" fillId="24" borderId="5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43" fontId="5" fillId="24" borderId="55" xfId="0" applyNumberFormat="1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left" wrapText="1"/>
    </xf>
    <xf numFmtId="43" fontId="5" fillId="24" borderId="0" xfId="0" applyNumberFormat="1" applyFont="1" applyFill="1" applyBorder="1" applyAlignment="1">
      <alignment horizontal="right" wrapText="1"/>
    </xf>
    <xf numFmtId="0" fontId="5" fillId="24" borderId="30" xfId="0" applyFont="1" applyFill="1" applyBorder="1" applyAlignment="1">
      <alignment horizontal="left" wrapText="1"/>
    </xf>
    <xf numFmtId="0" fontId="5" fillId="24" borderId="14" xfId="0" applyFont="1" applyFill="1" applyBorder="1" applyAlignment="1">
      <alignment horizontal="left" wrapText="1"/>
    </xf>
    <xf numFmtId="0" fontId="5" fillId="24" borderId="26" xfId="0" applyFont="1" applyFill="1" applyBorder="1" applyAlignment="1">
      <alignment horizontal="left" wrapText="1"/>
    </xf>
    <xf numFmtId="0" fontId="5" fillId="24" borderId="27" xfId="0" applyFont="1" applyFill="1" applyBorder="1" applyAlignment="1">
      <alignment horizontal="left" wrapText="1"/>
    </xf>
    <xf numFmtId="0" fontId="5" fillId="24" borderId="54" xfId="0" applyFont="1" applyFill="1" applyBorder="1" applyAlignment="1">
      <alignment horizontal="left" wrapText="1"/>
    </xf>
    <xf numFmtId="0" fontId="5" fillId="24" borderId="21" xfId="0" applyFont="1" applyFill="1" applyBorder="1" applyAlignment="1">
      <alignment horizontal="left" wrapText="1"/>
    </xf>
    <xf numFmtId="4" fontId="5" fillId="24" borderId="16" xfId="0" applyNumberFormat="1" applyFont="1" applyFill="1" applyBorder="1"/>
    <xf numFmtId="0" fontId="6" fillId="24" borderId="17" xfId="0" applyFont="1" applyFill="1" applyBorder="1" applyAlignment="1">
      <alignment horizontal="left"/>
    </xf>
    <xf numFmtId="0" fontId="6" fillId="24" borderId="20" xfId="0" applyFont="1" applyFill="1" applyBorder="1" applyAlignment="1">
      <alignment horizontal="left"/>
    </xf>
    <xf numFmtId="0" fontId="6" fillId="24" borderId="17" xfId="0" applyFont="1" applyFill="1" applyBorder="1" applyAlignment="1">
      <alignment wrapText="1"/>
    </xf>
    <xf numFmtId="0" fontId="6" fillId="24" borderId="26" xfId="0" applyFont="1" applyFill="1" applyBorder="1" applyAlignment="1">
      <alignment wrapText="1"/>
    </xf>
    <xf numFmtId="0" fontId="6" fillId="24" borderId="17" xfId="0" applyFont="1" applyFill="1" applyBorder="1" applyAlignment="1">
      <alignment horizontal="left" wrapText="1"/>
    </xf>
    <xf numFmtId="0" fontId="6" fillId="24" borderId="26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left"/>
    </xf>
    <xf numFmtId="0" fontId="6" fillId="24" borderId="0" xfId="0" applyNumberFormat="1" applyFont="1" applyFill="1" applyBorder="1" applyAlignment="1">
      <alignment wrapText="1"/>
    </xf>
    <xf numFmtId="165" fontId="1" fillId="24" borderId="0" xfId="0" applyNumberFormat="1" applyFont="1" applyFill="1" applyBorder="1"/>
    <xf numFmtId="0" fontId="6" fillId="24" borderId="32" xfId="0" applyFont="1" applyFill="1" applyBorder="1" applyAlignment="1">
      <alignment horizontal="center"/>
    </xf>
    <xf numFmtId="0" fontId="6" fillId="24" borderId="33" xfId="0" applyNumberFormat="1" applyFont="1" applyFill="1" applyBorder="1" applyAlignment="1">
      <alignment wrapText="1"/>
    </xf>
    <xf numFmtId="4" fontId="1" fillId="24" borderId="33" xfId="0" applyNumberFormat="1" applyFont="1" applyFill="1" applyBorder="1"/>
    <xf numFmtId="10" fontId="1" fillId="24" borderId="34" xfId="37" applyNumberFormat="1" applyFont="1" applyFill="1" applyBorder="1"/>
    <xf numFmtId="0" fontId="5" fillId="24" borderId="60" xfId="0" applyFont="1" applyFill="1" applyBorder="1"/>
    <xf numFmtId="0" fontId="5" fillId="24" borderId="61" xfId="0" applyNumberFormat="1" applyFont="1" applyFill="1" applyBorder="1" applyAlignment="1">
      <alignment wrapText="1"/>
    </xf>
    <xf numFmtId="4" fontId="5" fillId="24" borderId="61" xfId="0" applyNumberFormat="1" applyFont="1" applyFill="1" applyBorder="1"/>
    <xf numFmtId="10" fontId="5" fillId="24" borderId="62" xfId="37" applyNumberFormat="1" applyFont="1" applyFill="1" applyBorder="1"/>
    <xf numFmtId="0" fontId="5" fillId="24" borderId="17" xfId="0" applyFont="1" applyFill="1" applyBorder="1"/>
    <xf numFmtId="0" fontId="5" fillId="24" borderId="18" xfId="0" applyNumberFormat="1" applyFont="1" applyFill="1" applyBorder="1" applyAlignment="1">
      <alignment wrapText="1"/>
    </xf>
    <xf numFmtId="4" fontId="5" fillId="24" borderId="18" xfId="0" applyNumberFormat="1" applyFont="1" applyFill="1" applyBorder="1"/>
    <xf numFmtId="0" fontId="6" fillId="24" borderId="26" xfId="0" applyFont="1" applyFill="1" applyBorder="1" applyAlignment="1">
      <alignment horizontal="left"/>
    </xf>
    <xf numFmtId="0" fontId="5" fillId="24" borderId="39" xfId="0" applyNumberFormat="1" applyFont="1" applyFill="1" applyBorder="1" applyAlignment="1">
      <alignment wrapText="1"/>
    </xf>
    <xf numFmtId="4" fontId="1" fillId="24" borderId="55" xfId="0" applyNumberFormat="1" applyFont="1" applyFill="1" applyBorder="1"/>
    <xf numFmtId="0" fontId="5" fillId="24" borderId="14" xfId="0" applyNumberFormat="1" applyFont="1" applyFill="1" applyBorder="1" applyAlignment="1">
      <alignment wrapText="1"/>
    </xf>
    <xf numFmtId="4" fontId="5" fillId="24" borderId="14" xfId="0" applyNumberFormat="1" applyFont="1" applyFill="1" applyBorder="1" applyAlignment="1">
      <alignment horizontal="right" wrapText="1"/>
    </xf>
    <xf numFmtId="0" fontId="5" fillId="24" borderId="23" xfId="0" applyFont="1" applyFill="1" applyBorder="1" applyAlignment="1">
      <alignment wrapText="1"/>
    </xf>
    <xf numFmtId="0" fontId="6" fillId="24" borderId="32" xfId="0" applyFont="1" applyFill="1" applyBorder="1" applyAlignment="1">
      <alignment horizontal="left"/>
    </xf>
    <xf numFmtId="0" fontId="5" fillId="24" borderId="17" xfId="0" applyFont="1" applyFill="1" applyBorder="1" applyAlignment="1">
      <alignment horizontal="left"/>
    </xf>
    <xf numFmtId="0" fontId="5" fillId="24" borderId="60" xfId="0" applyFont="1" applyFill="1" applyBorder="1" applyAlignment="1">
      <alignment horizontal="left"/>
    </xf>
    <xf numFmtId="0" fontId="5" fillId="24" borderId="32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43" fontId="5" fillId="24" borderId="12" xfId="0" applyNumberFormat="1" applyFont="1" applyFill="1" applyBorder="1" applyAlignment="1">
      <alignment horizontal="right" wrapText="1"/>
    </xf>
    <xf numFmtId="164" fontId="1" fillId="24" borderId="50" xfId="0" applyNumberFormat="1" applyFont="1" applyFill="1" applyBorder="1"/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4" fontId="1" fillId="0" borderId="0" xfId="0" applyNumberFormat="1" applyFont="1"/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0" fontId="27" fillId="0" borderId="0" xfId="35" applyNumberFormat="1" applyFont="1"/>
    <xf numFmtId="0" fontId="0" fillId="0" borderId="0" xfId="0" applyFill="1"/>
    <xf numFmtId="0" fontId="5" fillId="0" borderId="0" xfId="0" applyFont="1" applyFill="1"/>
    <xf numFmtId="4" fontId="0" fillId="0" borderId="0" xfId="0" applyNumberFormat="1" applyFill="1"/>
    <xf numFmtId="4" fontId="5" fillId="0" borderId="0" xfId="0" applyNumberFormat="1" applyFont="1" applyFill="1"/>
    <xf numFmtId="4" fontId="30" fillId="0" borderId="0" xfId="0" applyNumberFormat="1" applyFont="1" applyFill="1"/>
    <xf numFmtId="4" fontId="5" fillId="0" borderId="16" xfId="0" applyNumberFormat="1" applyFont="1" applyFill="1" applyBorder="1"/>
    <xf numFmtId="4" fontId="5" fillId="0" borderId="24" xfId="0" applyNumberFormat="1" applyFont="1" applyFill="1" applyBorder="1"/>
    <xf numFmtId="4" fontId="1" fillId="0" borderId="55" xfId="0" applyNumberFormat="1" applyFont="1" applyFill="1" applyBorder="1"/>
    <xf numFmtId="43" fontId="30" fillId="0" borderId="0" xfId="0" applyNumberFormat="1" applyFont="1"/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1" fillId="0" borderId="0" xfId="0" applyFont="1"/>
    <xf numFmtId="0" fontId="1" fillId="24" borderId="17" xfId="0" applyFont="1" applyFill="1" applyBorder="1" applyAlignment="1">
      <alignment horizontal="left" wrapText="1"/>
    </xf>
    <xf numFmtId="0" fontId="1" fillId="24" borderId="18" xfId="0" applyFont="1" applyFill="1" applyBorder="1" applyAlignment="1">
      <alignment wrapText="1"/>
    </xf>
    <xf numFmtId="0" fontId="1" fillId="24" borderId="39" xfId="0" applyFont="1" applyFill="1" applyBorder="1" applyAlignment="1">
      <alignment wrapText="1"/>
    </xf>
    <xf numFmtId="0" fontId="1" fillId="24" borderId="26" xfId="0" applyFont="1" applyFill="1" applyBorder="1" applyAlignment="1">
      <alignment horizontal="left" wrapText="1"/>
    </xf>
    <xf numFmtId="0" fontId="1" fillId="24" borderId="57" xfId="0" applyFont="1" applyFill="1" applyBorder="1" applyAlignment="1">
      <alignment wrapText="1"/>
    </xf>
    <xf numFmtId="0" fontId="1" fillId="24" borderId="20" xfId="0" applyFont="1" applyFill="1" applyBorder="1" applyAlignment="1">
      <alignment horizontal="left" wrapText="1"/>
    </xf>
    <xf numFmtId="0" fontId="1" fillId="24" borderId="40" xfId="0" applyFont="1" applyFill="1" applyBorder="1" applyAlignment="1">
      <alignment wrapText="1"/>
    </xf>
    <xf numFmtId="0" fontId="1" fillId="24" borderId="13" xfId="0" applyFont="1" applyFill="1" applyBorder="1" applyAlignment="1">
      <alignment horizontal="center"/>
    </xf>
    <xf numFmtId="0" fontId="1" fillId="24" borderId="17" xfId="0" applyFont="1" applyFill="1" applyBorder="1" applyAlignment="1">
      <alignment wrapText="1"/>
    </xf>
    <xf numFmtId="0" fontId="1" fillId="24" borderId="26" xfId="0" applyFont="1" applyFill="1" applyBorder="1" applyAlignment="1">
      <alignment wrapText="1"/>
    </xf>
    <xf numFmtId="0" fontId="1" fillId="24" borderId="27" xfId="0" applyFont="1" applyFill="1" applyBorder="1" applyAlignment="1">
      <alignment wrapText="1"/>
    </xf>
    <xf numFmtId="0" fontId="1" fillId="24" borderId="17" xfId="0" applyFont="1" applyFill="1" applyBorder="1" applyAlignment="1">
      <alignment horizontal="left"/>
    </xf>
    <xf numFmtId="0" fontId="1" fillId="24" borderId="18" xfId="0" applyNumberFormat="1" applyFont="1" applyFill="1" applyBorder="1" applyAlignment="1">
      <alignment wrapText="1"/>
    </xf>
    <xf numFmtId="0" fontId="1" fillId="24" borderId="26" xfId="0" applyFont="1" applyFill="1" applyBorder="1" applyAlignment="1">
      <alignment horizontal="left"/>
    </xf>
    <xf numFmtId="0" fontId="1" fillId="24" borderId="27" xfId="0" applyNumberFormat="1" applyFont="1" applyFill="1" applyBorder="1" applyAlignment="1">
      <alignment wrapText="1"/>
    </xf>
    <xf numFmtId="0" fontId="1" fillId="24" borderId="20" xfId="0" applyFont="1" applyFill="1" applyBorder="1" applyAlignment="1">
      <alignment horizontal="left"/>
    </xf>
    <xf numFmtId="0" fontId="1" fillId="24" borderId="19" xfId="0" applyNumberFormat="1" applyFont="1" applyFill="1" applyBorder="1" applyAlignment="1">
      <alignment wrapText="1"/>
    </xf>
    <xf numFmtId="0" fontId="1" fillId="24" borderId="0" xfId="0" applyFont="1" applyFill="1" applyBorder="1" applyAlignment="1">
      <alignment horizontal="left"/>
    </xf>
    <xf numFmtId="0" fontId="1" fillId="24" borderId="0" xfId="0" applyNumberFormat="1" applyFont="1" applyFill="1" applyBorder="1" applyAlignment="1">
      <alignment wrapText="1"/>
    </xf>
    <xf numFmtId="0" fontId="5" fillId="24" borderId="38" xfId="0" applyFont="1" applyFill="1" applyBorder="1" applyAlignment="1">
      <alignment wrapText="1"/>
    </xf>
    <xf numFmtId="0" fontId="6" fillId="24" borderId="87" xfId="0" applyFont="1" applyFill="1" applyBorder="1" applyAlignment="1">
      <alignment wrapText="1"/>
    </xf>
    <xf numFmtId="0" fontId="6" fillId="24" borderId="88" xfId="0" applyFont="1" applyFill="1" applyBorder="1" applyAlignment="1">
      <alignment wrapText="1"/>
    </xf>
    <xf numFmtId="0" fontId="5" fillId="24" borderId="87" xfId="0" applyFont="1" applyFill="1" applyBorder="1" applyAlignment="1">
      <alignment wrapText="1"/>
    </xf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165" fontId="53" fillId="24" borderId="0" xfId="0" applyNumberFormat="1" applyFont="1" applyFill="1" applyBorder="1"/>
    <xf numFmtId="43" fontId="5" fillId="24" borderId="53" xfId="0" applyNumberFormat="1" applyFont="1" applyFill="1" applyBorder="1" applyAlignment="1">
      <alignment horizontal="right" wrapText="1"/>
    </xf>
    <xf numFmtId="43" fontId="5" fillId="24" borderId="51" xfId="0" applyNumberFormat="1" applyFont="1" applyFill="1" applyBorder="1" applyAlignment="1">
      <alignment horizontal="right" wrapText="1"/>
    </xf>
    <xf numFmtId="43" fontId="1" fillId="24" borderId="51" xfId="0" applyNumberFormat="1" applyFont="1" applyFill="1" applyBorder="1" applyAlignment="1">
      <alignment horizontal="right" wrapText="1"/>
    </xf>
    <xf numFmtId="43" fontId="1" fillId="24" borderId="59" xfId="0" applyNumberFormat="1" applyFont="1" applyFill="1" applyBorder="1" applyAlignment="1">
      <alignment horizontal="right" wrapText="1"/>
    </xf>
    <xf numFmtId="43" fontId="5" fillId="24" borderId="59" xfId="0" applyNumberFormat="1" applyFont="1" applyFill="1" applyBorder="1" applyAlignment="1">
      <alignment horizontal="right" wrapText="1"/>
    </xf>
    <xf numFmtId="43" fontId="5" fillId="24" borderId="13" xfId="0" applyNumberFormat="1" applyFont="1" applyFill="1" applyBorder="1" applyAlignment="1">
      <alignment horizontal="right" wrapText="1"/>
    </xf>
    <xf numFmtId="164" fontId="1" fillId="24" borderId="51" xfId="0" applyNumberFormat="1" applyFont="1" applyFill="1" applyBorder="1"/>
    <xf numFmtId="164" fontId="1" fillId="24" borderId="59" xfId="0" applyNumberFormat="1" applyFont="1" applyFill="1" applyBorder="1"/>
    <xf numFmtId="4" fontId="1" fillId="24" borderId="58" xfId="0" applyNumberFormat="1" applyFont="1" applyFill="1" applyBorder="1"/>
    <xf numFmtId="165" fontId="1" fillId="24" borderId="51" xfId="0" applyNumberFormat="1" applyFont="1" applyFill="1" applyBorder="1"/>
    <xf numFmtId="165" fontId="1" fillId="24" borderId="52" xfId="0" applyNumberFormat="1" applyFont="1" applyFill="1" applyBorder="1"/>
    <xf numFmtId="0" fontId="5" fillId="24" borderId="10" xfId="0" applyFont="1" applyFill="1" applyBorder="1" applyAlignment="1">
      <alignment wrapText="1"/>
    </xf>
    <xf numFmtId="4" fontId="1" fillId="24" borderId="86" xfId="0" applyNumberFormat="1" applyFont="1" applyFill="1" applyBorder="1"/>
    <xf numFmtId="0" fontId="5" fillId="24" borderId="10" xfId="0" applyFont="1" applyFill="1" applyBorder="1" applyAlignment="1">
      <alignment wrapText="1"/>
    </xf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4" fontId="52" fillId="24" borderId="24" xfId="0" applyNumberFormat="1" applyFont="1" applyFill="1" applyBorder="1"/>
    <xf numFmtId="0" fontId="1" fillId="24" borderId="11" xfId="0" applyFont="1" applyFill="1" applyBorder="1" applyAlignment="1">
      <alignment horizontal="center"/>
    </xf>
    <xf numFmtId="0" fontId="5" fillId="24" borderId="39" xfId="0" applyFont="1" applyFill="1" applyBorder="1" applyAlignment="1">
      <alignment wrapText="1"/>
    </xf>
    <xf numFmtId="4" fontId="52" fillId="24" borderId="16" xfId="0" applyNumberFormat="1" applyFont="1" applyFill="1" applyBorder="1"/>
    <xf numFmtId="4" fontId="55" fillId="24" borderId="0" xfId="0" applyNumberFormat="1" applyFont="1" applyFill="1"/>
    <xf numFmtId="43" fontId="0" fillId="0" borderId="0" xfId="0" applyNumberFormat="1" applyAlignment="1">
      <alignment horizontal="right"/>
    </xf>
    <xf numFmtId="0" fontId="32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wrapText="1"/>
    </xf>
    <xf numFmtId="43" fontId="55" fillId="24" borderId="0" xfId="0" applyNumberFormat="1" applyFont="1" applyFill="1" applyBorder="1" applyAlignment="1">
      <alignment wrapText="1"/>
    </xf>
    <xf numFmtId="43" fontId="52" fillId="24" borderId="0" xfId="0" applyNumberFormat="1" applyFont="1" applyFill="1" applyBorder="1" applyAlignment="1">
      <alignment horizontal="right" wrapText="1"/>
    </xf>
    <xf numFmtId="43" fontId="5" fillId="24" borderId="23" xfId="0" applyNumberFormat="1" applyFont="1" applyFill="1" applyBorder="1" applyAlignment="1">
      <alignment horizontal="right" wrapText="1"/>
    </xf>
    <xf numFmtId="43" fontId="1" fillId="0" borderId="18" xfId="0" applyNumberFormat="1" applyFont="1" applyFill="1" applyBorder="1" applyAlignment="1">
      <alignment horizontal="right" wrapText="1"/>
    </xf>
    <xf numFmtId="43" fontId="1" fillId="0" borderId="55" xfId="0" applyNumberFormat="1" applyFont="1" applyFill="1" applyBorder="1" applyAlignment="1">
      <alignment horizontal="right" wrapText="1"/>
    </xf>
    <xf numFmtId="43" fontId="1" fillId="24" borderId="18" xfId="0" applyNumberFormat="1" applyFont="1" applyFill="1" applyBorder="1" applyAlignment="1">
      <alignment horizontal="right" wrapText="1"/>
    </xf>
    <xf numFmtId="43" fontId="1" fillId="24" borderId="27" xfId="0" applyNumberFormat="1" applyFont="1" applyFill="1" applyBorder="1" applyAlignment="1">
      <alignment horizontal="right" wrapText="1"/>
    </xf>
    <xf numFmtId="43" fontId="5" fillId="24" borderId="18" xfId="0" applyNumberFormat="1" applyFont="1" applyFill="1" applyBorder="1" applyAlignment="1">
      <alignment horizontal="right" wrapText="1"/>
    </xf>
    <xf numFmtId="43" fontId="1" fillId="24" borderId="19" xfId="0" applyNumberFormat="1" applyFont="1" applyFill="1" applyBorder="1" applyAlignment="1">
      <alignment horizontal="right" wrapText="1"/>
    </xf>
    <xf numFmtId="43" fontId="5" fillId="24" borderId="21" xfId="0" applyNumberFormat="1" applyFont="1" applyFill="1" applyBorder="1" applyAlignment="1">
      <alignment horizontal="right" wrapText="1"/>
    </xf>
    <xf numFmtId="43" fontId="5" fillId="0" borderId="53" xfId="0" applyNumberFormat="1" applyFont="1" applyFill="1" applyBorder="1" applyAlignment="1">
      <alignment horizontal="right" wrapText="1"/>
    </xf>
    <xf numFmtId="43" fontId="5" fillId="0" borderId="37" xfId="0" applyNumberFormat="1" applyFont="1" applyFill="1" applyBorder="1" applyAlignment="1">
      <alignment horizontal="right" wrapText="1"/>
    </xf>
    <xf numFmtId="43" fontId="5" fillId="0" borderId="51" xfId="0" applyNumberFormat="1" applyFont="1" applyFill="1" applyBorder="1" applyAlignment="1">
      <alignment horizontal="right" wrapText="1"/>
    </xf>
    <xf numFmtId="43" fontId="5" fillId="0" borderId="55" xfId="0" applyNumberFormat="1" applyFont="1" applyFill="1" applyBorder="1" applyAlignment="1">
      <alignment horizontal="right" wrapText="1"/>
    </xf>
    <xf numFmtId="43" fontId="5" fillId="0" borderId="25" xfId="0" applyNumberFormat="1" applyFont="1" applyFill="1" applyBorder="1" applyAlignment="1">
      <alignment horizontal="right" wrapText="1"/>
    </xf>
    <xf numFmtId="43" fontId="1" fillId="0" borderId="51" xfId="0" applyNumberFormat="1" applyFont="1" applyFill="1" applyBorder="1" applyAlignment="1">
      <alignment horizontal="right" wrapText="1"/>
    </xf>
    <xf numFmtId="43" fontId="1" fillId="0" borderId="25" xfId="0" applyNumberFormat="1" applyFont="1" applyFill="1" applyBorder="1" applyAlignment="1">
      <alignment horizontal="right" wrapText="1"/>
    </xf>
    <xf numFmtId="43" fontId="1" fillId="0" borderId="59" xfId="0" applyNumberFormat="1" applyFont="1" applyFill="1" applyBorder="1" applyAlignment="1">
      <alignment horizontal="right" wrapText="1"/>
    </xf>
    <xf numFmtId="43" fontId="1" fillId="0" borderId="50" xfId="0" applyNumberFormat="1" applyFont="1" applyFill="1" applyBorder="1" applyAlignment="1">
      <alignment horizontal="right" wrapText="1"/>
    </xf>
    <xf numFmtId="43" fontId="5" fillId="0" borderId="59" xfId="0" applyNumberFormat="1" applyFont="1" applyFill="1" applyBorder="1" applyAlignment="1">
      <alignment horizontal="right" wrapText="1"/>
    </xf>
    <xf numFmtId="43" fontId="5" fillId="0" borderId="50" xfId="0" applyNumberFormat="1" applyFont="1" applyFill="1" applyBorder="1" applyAlignment="1">
      <alignment horizontal="right" wrapText="1"/>
    </xf>
    <xf numFmtId="43" fontId="5" fillId="0" borderId="13" xfId="0" applyNumberFormat="1" applyFont="1" applyFill="1" applyBorder="1" applyAlignment="1">
      <alignment horizontal="right" wrapText="1"/>
    </xf>
    <xf numFmtId="43" fontId="5" fillId="0" borderId="12" xfId="0" applyNumberFormat="1" applyFont="1" applyFill="1" applyBorder="1" applyAlignment="1">
      <alignment horizontal="right" wrapText="1"/>
    </xf>
    <xf numFmtId="164" fontId="1" fillId="0" borderId="51" xfId="0" applyNumberFormat="1" applyFont="1" applyFill="1" applyBorder="1"/>
    <xf numFmtId="164" fontId="1" fillId="0" borderId="25" xfId="0" applyNumberFormat="1" applyFont="1" applyFill="1" applyBorder="1"/>
    <xf numFmtId="164" fontId="1" fillId="0" borderId="59" xfId="0" applyNumberFormat="1" applyFont="1" applyFill="1" applyBorder="1"/>
    <xf numFmtId="164" fontId="1" fillId="0" borderId="50" xfId="0" applyNumberFormat="1" applyFont="1" applyFill="1" applyBorder="1"/>
    <xf numFmtId="4" fontId="1" fillId="0" borderId="58" xfId="0" applyNumberFormat="1" applyFont="1" applyFill="1" applyBorder="1"/>
    <xf numFmtId="165" fontId="1" fillId="0" borderId="50" xfId="0" applyNumberFormat="1" applyFont="1" applyFill="1" applyBorder="1"/>
    <xf numFmtId="0" fontId="1" fillId="0" borderId="51" xfId="0" applyNumberFormat="1" applyFont="1" applyFill="1" applyBorder="1"/>
    <xf numFmtId="165" fontId="1" fillId="0" borderId="31" xfId="0" applyNumberFormat="1" applyFont="1" applyFill="1" applyBorder="1"/>
    <xf numFmtId="165" fontId="1" fillId="0" borderId="52" xfId="0" applyNumberFormat="1" applyFont="1" applyFill="1" applyBorder="1"/>
    <xf numFmtId="165" fontId="1" fillId="0" borderId="35" xfId="0" applyNumberFormat="1" applyFont="1" applyFill="1" applyBorder="1"/>
    <xf numFmtId="43" fontId="5" fillId="0" borderId="21" xfId="0" applyNumberFormat="1" applyFont="1" applyFill="1" applyBorder="1" applyAlignment="1">
      <alignment horizontal="right" wrapText="1"/>
    </xf>
    <xf numFmtId="43" fontId="5" fillId="24" borderId="27" xfId="0" applyNumberFormat="1" applyFont="1" applyFill="1" applyBorder="1" applyAlignment="1">
      <alignment horizontal="right" wrapText="1"/>
    </xf>
    <xf numFmtId="4" fontId="1" fillId="0" borderId="31" xfId="50" applyNumberFormat="1" applyFont="1" applyBorder="1" applyAlignment="1">
      <alignment horizontal="right" vertical="top"/>
    </xf>
    <xf numFmtId="4" fontId="1" fillId="0" borderId="31" xfId="0" applyNumberFormat="1" applyFont="1" applyBorder="1" applyAlignment="1">
      <alignment horizontal="right" vertical="top"/>
    </xf>
    <xf numFmtId="43" fontId="5" fillId="24" borderId="14" xfId="0" applyNumberFormat="1" applyFont="1" applyFill="1" applyBorder="1" applyAlignment="1">
      <alignment horizontal="right" wrapText="1"/>
    </xf>
    <xf numFmtId="43" fontId="5" fillId="24" borderId="80" xfId="0" applyNumberFormat="1" applyFont="1" applyFill="1" applyBorder="1" applyAlignment="1">
      <alignment horizontal="right" wrapText="1"/>
    </xf>
    <xf numFmtId="43" fontId="1" fillId="24" borderId="80" xfId="0" applyNumberFormat="1" applyFont="1" applyFill="1" applyBorder="1" applyAlignment="1">
      <alignment horizontal="right" wrapText="1"/>
    </xf>
    <xf numFmtId="43" fontId="5" fillId="0" borderId="24" xfId="0" applyNumberFormat="1" applyFont="1" applyFill="1" applyBorder="1" applyAlignment="1">
      <alignment horizontal="right" wrapText="1"/>
    </xf>
    <xf numFmtId="43" fontId="1" fillId="0" borderId="36" xfId="0" applyNumberFormat="1" applyFont="1" applyFill="1" applyBorder="1" applyAlignment="1">
      <alignment horizontal="right" wrapText="1"/>
    </xf>
    <xf numFmtId="43" fontId="1" fillId="24" borderId="81" xfId="0" applyNumberFormat="1" applyFont="1" applyFill="1" applyBorder="1" applyAlignment="1">
      <alignment horizontal="right" wrapText="1"/>
    </xf>
    <xf numFmtId="4" fontId="1" fillId="0" borderId="89" xfId="0" applyNumberFormat="1" applyFont="1" applyBorder="1"/>
    <xf numFmtId="43" fontId="5" fillId="24" borderId="37" xfId="0" applyNumberFormat="1" applyFont="1" applyFill="1" applyBorder="1" applyAlignment="1">
      <alignment horizontal="right" wrapText="1"/>
    </xf>
    <xf numFmtId="43" fontId="5" fillId="24" borderId="50" xfId="0" applyNumberFormat="1" applyFont="1" applyFill="1" applyBorder="1" applyAlignment="1">
      <alignment horizontal="right" wrapText="1"/>
    </xf>
    <xf numFmtId="43" fontId="5" fillId="0" borderId="80" xfId="0" applyNumberFormat="1" applyFont="1" applyFill="1" applyBorder="1" applyAlignment="1">
      <alignment horizontal="right" wrapText="1"/>
    </xf>
    <xf numFmtId="43" fontId="1" fillId="0" borderId="80" xfId="0" applyNumberFormat="1" applyFont="1" applyFill="1" applyBorder="1" applyAlignment="1">
      <alignment horizontal="right" wrapText="1"/>
    </xf>
    <xf numFmtId="43" fontId="1" fillId="0" borderId="81" xfId="0" applyNumberFormat="1" applyFont="1" applyFill="1" applyBorder="1" applyAlignment="1">
      <alignment horizontal="right" wrapText="1"/>
    </xf>
    <xf numFmtId="43" fontId="5" fillId="24" borderId="81" xfId="0" applyNumberFormat="1" applyFont="1" applyFill="1" applyBorder="1" applyAlignment="1">
      <alignment horizontal="right" wrapText="1"/>
    </xf>
    <xf numFmtId="0" fontId="1" fillId="24" borderId="51" xfId="0" applyNumberFormat="1" applyFont="1" applyFill="1" applyBorder="1"/>
    <xf numFmtId="165" fontId="1" fillId="24" borderId="36" xfId="0" applyNumberFormat="1" applyFont="1" applyFill="1" applyBorder="1"/>
    <xf numFmtId="165" fontId="1" fillId="0" borderId="25" xfId="0" applyNumberFormat="1" applyFont="1" applyFill="1" applyBorder="1"/>
    <xf numFmtId="164" fontId="1" fillId="24" borderId="85" xfId="0" applyNumberFormat="1" applyFont="1" applyFill="1" applyBorder="1"/>
    <xf numFmtId="165" fontId="1" fillId="24" borderId="86" xfId="0" applyNumberFormat="1" applyFont="1" applyFill="1" applyBorder="1"/>
    <xf numFmtId="165" fontId="1" fillId="24" borderId="31" xfId="0" applyNumberFormat="1" applyFont="1" applyFill="1" applyBorder="1"/>
    <xf numFmtId="166" fontId="1" fillId="0" borderId="25" xfId="0" applyNumberFormat="1" applyFont="1" applyFill="1" applyBorder="1" applyAlignment="1">
      <alignment horizontal="right" wrapText="1"/>
    </xf>
    <xf numFmtId="164" fontId="1" fillId="0" borderId="81" xfId="0" applyNumberFormat="1" applyFont="1" applyBorder="1"/>
    <xf numFmtId="164" fontId="1" fillId="0" borderId="80" xfId="0" applyNumberFormat="1" applyFont="1" applyBorder="1"/>
    <xf numFmtId="164" fontId="1" fillId="0" borderId="0" xfId="0" applyNumberFormat="1" applyFont="1"/>
    <xf numFmtId="164" fontId="1" fillId="0" borderId="19" xfId="0" applyNumberFormat="1" applyFont="1" applyBorder="1"/>
    <xf numFmtId="164" fontId="1" fillId="24" borderId="83" xfId="0" applyNumberFormat="1" applyFont="1" applyFill="1" applyBorder="1"/>
    <xf numFmtId="165" fontId="1" fillId="24" borderId="82" xfId="0" applyNumberFormat="1" applyFont="1" applyFill="1" applyBorder="1"/>
    <xf numFmtId="166" fontId="1" fillId="24" borderId="35" xfId="0" applyNumberFormat="1" applyFont="1" applyFill="1" applyBorder="1" applyAlignment="1">
      <alignment horizontal="right" wrapText="1"/>
    </xf>
    <xf numFmtId="164" fontId="1" fillId="24" borderId="82" xfId="0" applyNumberFormat="1" applyFont="1" applyFill="1" applyBorder="1"/>
    <xf numFmtId="4" fontId="1" fillId="24" borderId="84" xfId="0" applyNumberFormat="1" applyFont="1" applyFill="1" applyBorder="1"/>
    <xf numFmtId="165" fontId="1" fillId="0" borderId="82" xfId="0" applyNumberFormat="1" applyFont="1" applyFill="1" applyBorder="1"/>
    <xf numFmtId="165" fontId="1" fillId="24" borderId="50" xfId="0" applyNumberFormat="1" applyFont="1" applyFill="1" applyBorder="1"/>
    <xf numFmtId="164" fontId="1" fillId="24" borderId="36" xfId="0" applyNumberFormat="1" applyFont="1" applyFill="1" applyBorder="1"/>
    <xf numFmtId="165" fontId="1" fillId="0" borderId="36" xfId="0" applyNumberFormat="1" applyFont="1" applyFill="1" applyBorder="1"/>
    <xf numFmtId="165" fontId="1" fillId="24" borderId="35" xfId="0" applyNumberFormat="1" applyFont="1" applyFill="1" applyBorder="1"/>
    <xf numFmtId="4" fontId="1" fillId="24" borderId="82" xfId="0" applyNumberFormat="1" applyFont="1" applyFill="1" applyBorder="1"/>
    <xf numFmtId="164" fontId="1" fillId="24" borderId="55" xfId="0" applyNumberFormat="1" applyFont="1" applyFill="1" applyBorder="1"/>
    <xf numFmtId="164" fontId="1" fillId="24" borderId="35" xfId="0" applyNumberFormat="1" applyFont="1" applyFill="1" applyBorder="1"/>
    <xf numFmtId="164" fontId="1" fillId="24" borderId="31" xfId="0" applyNumberFormat="1" applyFont="1" applyFill="1" applyBorder="1"/>
    <xf numFmtId="0" fontId="1" fillId="24" borderId="33" xfId="0" applyNumberFormat="1" applyFont="1" applyFill="1" applyBorder="1" applyAlignment="1">
      <alignment wrapText="1"/>
    </xf>
    <xf numFmtId="0" fontId="1" fillId="24" borderId="32" xfId="0" applyFont="1" applyFill="1" applyBorder="1" applyAlignment="1">
      <alignment horizontal="left"/>
    </xf>
    <xf numFmtId="0" fontId="5" fillId="24" borderId="29" xfId="0" applyFont="1" applyFill="1" applyBorder="1" applyAlignment="1">
      <alignment horizontal="center" wrapText="1"/>
    </xf>
    <xf numFmtId="0" fontId="5" fillId="24" borderId="53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 vertical="center" wrapText="1"/>
    </xf>
    <xf numFmtId="0" fontId="3" fillId="24" borderId="47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7" xfId="0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1" xfId="0" applyFont="1" applyFill="1" applyBorder="1" applyAlignment="1">
      <alignment wrapText="1"/>
    </xf>
    <xf numFmtId="0" fontId="5" fillId="24" borderId="54" xfId="0" applyFont="1" applyFill="1" applyBorder="1" applyAlignment="1">
      <alignment wrapText="1"/>
    </xf>
    <xf numFmtId="0" fontId="5" fillId="24" borderId="5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47" xfId="0" applyFont="1" applyBorder="1" applyAlignment="1">
      <alignment wrapText="1"/>
    </xf>
    <xf numFmtId="0" fontId="5" fillId="24" borderId="1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</cellXfs>
  <cellStyles count="121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e" xfId="27" builtinId="26" customBuiltin="1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e" xfId="34" builtinId="28" customBuiltin="1"/>
    <cellStyle name="Normalny" xfId="0" builtinId="0"/>
    <cellStyle name="Normalny 2" xfId="44"/>
    <cellStyle name="Normalny 3" xfId="50"/>
    <cellStyle name="Normalny 4" xfId="56"/>
    <cellStyle name="Normalny 4 2" xfId="112"/>
    <cellStyle name="Normalny 5" xfId="98"/>
    <cellStyle name="Normalny 5 2" xfId="119"/>
    <cellStyle name="Normalny 6" xfId="101"/>
    <cellStyle name="Normalny_Arkusz1" xfId="35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e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calcChain" Target="calcChain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80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G81"/>
  <sheetViews>
    <sheetView zoomScale="80" zoomScaleNormal="80" workbookViewId="0">
      <selection activeCell="I9" sqref="I9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5.85546875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14.25">
      <c r="B5" s="310" t="s">
        <v>1</v>
      </c>
      <c r="C5" s="310"/>
      <c r="D5" s="310"/>
      <c r="E5" s="310"/>
    </row>
    <row r="6" spans="2:7" ht="14.25" customHeight="1">
      <c r="B6" s="311" t="s">
        <v>84</v>
      </c>
      <c r="C6" s="311"/>
      <c r="D6" s="311"/>
      <c r="E6" s="311"/>
    </row>
    <row r="7" spans="2:7" ht="14.25">
      <c r="B7" s="175"/>
      <c r="C7" s="175"/>
      <c r="D7" s="175"/>
      <c r="E7" s="175"/>
    </row>
    <row r="8" spans="2:7" ht="12.75" customHeight="1">
      <c r="B8" s="313" t="s">
        <v>18</v>
      </c>
      <c r="C8" s="313"/>
      <c r="D8" s="313"/>
      <c r="E8" s="313"/>
    </row>
    <row r="9" spans="2:7" ht="15.75" customHeight="1" thickBot="1">
      <c r="B9" s="312" t="s">
        <v>184</v>
      </c>
      <c r="C9" s="312"/>
      <c r="D9" s="312"/>
      <c r="E9" s="312"/>
    </row>
    <row r="10" spans="2:7" ht="13.5" thickBot="1">
      <c r="B10" s="17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99" t="s">
        <v>190</v>
      </c>
      <c r="D11" s="232">
        <f>D12+D13+D14</f>
        <v>227811051.02999997</v>
      </c>
      <c r="E11" s="9">
        <f>E12+E13+E14</f>
        <v>208134129.55999997</v>
      </c>
    </row>
    <row r="12" spans="2:7">
      <c r="B12" s="112" t="s">
        <v>4</v>
      </c>
      <c r="C12" s="70" t="s">
        <v>5</v>
      </c>
      <c r="D12" s="233">
        <f>237762873.6-9957765.27</f>
        <v>227805108.32999998</v>
      </c>
      <c r="E12" s="234">
        <f>223802800+258599.94+1739400+3.54-17666684.87</f>
        <v>208134118.60999998</v>
      </c>
    </row>
    <row r="13" spans="2:7" ht="12.75" customHeight="1">
      <c r="B13" s="112" t="s">
        <v>6</v>
      </c>
      <c r="C13" s="70" t="s">
        <v>7</v>
      </c>
      <c r="D13" s="235"/>
      <c r="E13" s="87">
        <v>10.95</v>
      </c>
    </row>
    <row r="14" spans="2:7">
      <c r="B14" s="112" t="s">
        <v>8</v>
      </c>
      <c r="C14" s="70" t="s">
        <v>10</v>
      </c>
      <c r="D14" s="235">
        <f>D15</f>
        <v>5942.7</v>
      </c>
      <c r="E14" s="87">
        <f>E15</f>
        <v>0</v>
      </c>
    </row>
    <row r="15" spans="2:7">
      <c r="B15" s="112" t="s">
        <v>187</v>
      </c>
      <c r="C15" s="70" t="s">
        <v>11</v>
      </c>
      <c r="D15" s="235">
        <v>5942.7</v>
      </c>
      <c r="E15" s="87">
        <v>0</v>
      </c>
    </row>
    <row r="16" spans="2:7">
      <c r="B16" s="113" t="s">
        <v>188</v>
      </c>
      <c r="C16" s="96" t="s">
        <v>12</v>
      </c>
      <c r="D16" s="236"/>
      <c r="E16" s="88"/>
    </row>
    <row r="17" spans="2:7">
      <c r="B17" s="10" t="s">
        <v>13</v>
      </c>
      <c r="C17" s="224" t="s">
        <v>65</v>
      </c>
      <c r="D17" s="237">
        <f>SUM(D18:D19)</f>
        <v>692765.75</v>
      </c>
      <c r="E17" s="98">
        <f>SUM(E18:E19)</f>
        <v>458657.23</v>
      </c>
    </row>
    <row r="18" spans="2:7">
      <c r="B18" s="112" t="s">
        <v>4</v>
      </c>
      <c r="C18" s="70" t="s">
        <v>11</v>
      </c>
      <c r="D18" s="236">
        <v>692765.75</v>
      </c>
      <c r="E18" s="88">
        <v>458657.23</v>
      </c>
    </row>
    <row r="19" spans="2:7" ht="15" customHeight="1">
      <c r="B19" s="112" t="s">
        <v>6</v>
      </c>
      <c r="C19" s="70" t="s">
        <v>189</v>
      </c>
      <c r="D19" s="235"/>
      <c r="E19" s="87"/>
    </row>
    <row r="20" spans="2:7" ht="13.5" thickBot="1">
      <c r="B20" s="114" t="s">
        <v>8</v>
      </c>
      <c r="C20" s="71" t="s">
        <v>14</v>
      </c>
      <c r="D20" s="238"/>
      <c r="E20" s="89"/>
    </row>
    <row r="21" spans="2:7" ht="13.5" customHeight="1" thickBot="1">
      <c r="B21" s="317" t="s">
        <v>191</v>
      </c>
      <c r="C21" s="318"/>
      <c r="D21" s="239">
        <f>D11-D17</f>
        <v>227118285.27999997</v>
      </c>
      <c r="E21" s="154">
        <f>E11-E17</f>
        <v>207675472.32999998</v>
      </c>
      <c r="F21" s="79"/>
    </row>
    <row r="22" spans="2:7">
      <c r="B22" s="3"/>
      <c r="C22" s="7"/>
      <c r="D22" s="8"/>
      <c r="E22" s="8"/>
    </row>
    <row r="23" spans="2:7" ht="14.25" customHeight="1">
      <c r="B23" s="313" t="s">
        <v>185</v>
      </c>
      <c r="C23" s="313"/>
      <c r="D23" s="313"/>
      <c r="E23" s="313"/>
    </row>
    <row r="24" spans="2:7" ht="16.5" customHeight="1" thickBot="1">
      <c r="B24" s="312" t="s">
        <v>186</v>
      </c>
      <c r="C24" s="312"/>
      <c r="D24" s="312"/>
      <c r="E24" s="312"/>
    </row>
    <row r="25" spans="2:7" ht="13.5" thickBot="1">
      <c r="B25" s="176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40">
        <v>257333726.93000001</v>
      </c>
      <c r="E26" s="241">
        <f>D21</f>
        <v>227118285.27999997</v>
      </c>
      <c r="F26" s="162"/>
    </row>
    <row r="27" spans="2:7">
      <c r="B27" s="10" t="s">
        <v>17</v>
      </c>
      <c r="C27" s="11" t="s">
        <v>192</v>
      </c>
      <c r="D27" s="242">
        <v>-16502623.090000002</v>
      </c>
      <c r="E27" s="243">
        <f>E28-E32</f>
        <v>-19688554.609999999</v>
      </c>
      <c r="F27" s="164"/>
      <c r="G27" s="69"/>
    </row>
    <row r="28" spans="2:7">
      <c r="B28" s="10" t="s">
        <v>18</v>
      </c>
      <c r="C28" s="11" t="s">
        <v>19</v>
      </c>
      <c r="D28" s="242">
        <v>3163866.92</v>
      </c>
      <c r="E28" s="244">
        <f>SUM(E29:E31)</f>
        <v>3328659</v>
      </c>
      <c r="F28" s="164"/>
    </row>
    <row r="29" spans="2:7">
      <c r="B29" s="110" t="s">
        <v>4</v>
      </c>
      <c r="C29" s="6" t="s">
        <v>20</v>
      </c>
      <c r="D29" s="245">
        <v>2883023.15</v>
      </c>
      <c r="E29" s="246">
        <v>2544756.7999999998</v>
      </c>
      <c r="F29" s="164"/>
    </row>
    <row r="30" spans="2:7">
      <c r="B30" s="110" t="s">
        <v>6</v>
      </c>
      <c r="C30" s="6" t="s">
        <v>21</v>
      </c>
      <c r="D30" s="245"/>
      <c r="E30" s="246"/>
      <c r="F30" s="164"/>
    </row>
    <row r="31" spans="2:7">
      <c r="B31" s="110" t="s">
        <v>8</v>
      </c>
      <c r="C31" s="6" t="s">
        <v>22</v>
      </c>
      <c r="D31" s="245">
        <v>280843.77</v>
      </c>
      <c r="E31" s="246">
        <v>783902.20000000007</v>
      </c>
      <c r="F31" s="164"/>
    </row>
    <row r="32" spans="2:7">
      <c r="B32" s="97" t="s">
        <v>23</v>
      </c>
      <c r="C32" s="12" t="s">
        <v>24</v>
      </c>
      <c r="D32" s="242">
        <v>19666490.010000002</v>
      </c>
      <c r="E32" s="244">
        <f>SUM(E33:E39)</f>
        <v>23017213.609999999</v>
      </c>
      <c r="F32" s="164"/>
    </row>
    <row r="33" spans="2:6">
      <c r="B33" s="110" t="s">
        <v>4</v>
      </c>
      <c r="C33" s="6" t="s">
        <v>25</v>
      </c>
      <c r="D33" s="245">
        <v>17356368.060000002</v>
      </c>
      <c r="E33" s="246">
        <f>13752568.1+7708919.6</f>
        <v>21461487.699999999</v>
      </c>
      <c r="F33" s="164"/>
    </row>
    <row r="34" spans="2:6">
      <c r="B34" s="110" t="s">
        <v>6</v>
      </c>
      <c r="C34" s="6" t="s">
        <v>26</v>
      </c>
      <c r="D34" s="245"/>
      <c r="E34" s="246"/>
      <c r="F34" s="164"/>
    </row>
    <row r="35" spans="2:6">
      <c r="B35" s="110" t="s">
        <v>8</v>
      </c>
      <c r="C35" s="6" t="s">
        <v>27</v>
      </c>
      <c r="D35" s="245">
        <v>1284558.6800000002</v>
      </c>
      <c r="E35" s="246">
        <v>965716.3</v>
      </c>
      <c r="F35" s="164"/>
    </row>
    <row r="36" spans="2:6">
      <c r="B36" s="110" t="s">
        <v>9</v>
      </c>
      <c r="C36" s="6" t="s">
        <v>28</v>
      </c>
      <c r="D36" s="245"/>
      <c r="E36" s="246"/>
      <c r="F36" s="164"/>
    </row>
    <row r="37" spans="2:6" ht="25.5">
      <c r="B37" s="110" t="s">
        <v>29</v>
      </c>
      <c r="C37" s="6" t="s">
        <v>30</v>
      </c>
      <c r="D37" s="245"/>
      <c r="E37" s="246"/>
      <c r="F37" s="164"/>
    </row>
    <row r="38" spans="2:6">
      <c r="B38" s="110" t="s">
        <v>31</v>
      </c>
      <c r="C38" s="6" t="s">
        <v>32</v>
      </c>
      <c r="D38" s="245"/>
      <c r="E38" s="246"/>
      <c r="F38" s="164"/>
    </row>
    <row r="39" spans="2:6">
      <c r="B39" s="111" t="s">
        <v>33</v>
      </c>
      <c r="C39" s="13" t="s">
        <v>34</v>
      </c>
      <c r="D39" s="247">
        <v>1025563.27</v>
      </c>
      <c r="E39" s="248">
        <v>590009.61</v>
      </c>
      <c r="F39" s="164"/>
    </row>
    <row r="40" spans="2:6" ht="13.5" thickBot="1">
      <c r="B40" s="103" t="s">
        <v>35</v>
      </c>
      <c r="C40" s="104" t="s">
        <v>36</v>
      </c>
      <c r="D40" s="249">
        <v>864783.69</v>
      </c>
      <c r="E40" s="250">
        <v>245741.66</v>
      </c>
      <c r="F40" s="162"/>
    </row>
    <row r="41" spans="2:6" ht="13.5" thickBot="1">
      <c r="B41" s="105" t="s">
        <v>37</v>
      </c>
      <c r="C41" s="106" t="s">
        <v>38</v>
      </c>
      <c r="D41" s="251">
        <v>241695887.53</v>
      </c>
      <c r="E41" s="252">
        <f>E26+E27+E40</f>
        <v>207675472.32999995</v>
      </c>
      <c r="F41" s="166"/>
    </row>
    <row r="42" spans="2:6" ht="13.5" customHeight="1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9.5" customHeight="1" thickBot="1">
      <c r="B44" s="312" t="s">
        <v>210</v>
      </c>
      <c r="C44" s="316"/>
      <c r="D44" s="316"/>
      <c r="E44" s="316"/>
    </row>
    <row r="45" spans="2:6" ht="13.5" thickBot="1">
      <c r="B45" s="4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67"/>
      <c r="E46" s="168"/>
    </row>
    <row r="47" spans="2:6">
      <c r="B47" s="108" t="s">
        <v>4</v>
      </c>
      <c r="C47" s="16" t="s">
        <v>40</v>
      </c>
      <c r="D47" s="253">
        <v>11453892.879713135</v>
      </c>
      <c r="E47" s="254">
        <v>10073175.2467</v>
      </c>
    </row>
    <row r="48" spans="2:6">
      <c r="B48" s="129" t="s">
        <v>6</v>
      </c>
      <c r="C48" s="23" t="s">
        <v>41</v>
      </c>
      <c r="D48" s="255">
        <v>10717961.350113895</v>
      </c>
      <c r="E48" s="256">
        <v>9196208.6968099996</v>
      </c>
    </row>
    <row r="49" spans="2:5">
      <c r="B49" s="126" t="s">
        <v>23</v>
      </c>
      <c r="C49" s="130" t="s">
        <v>194</v>
      </c>
      <c r="D49" s="257"/>
      <c r="E49" s="169"/>
    </row>
    <row r="50" spans="2:5">
      <c r="B50" s="108" t="s">
        <v>4</v>
      </c>
      <c r="C50" s="16" t="s">
        <v>40</v>
      </c>
      <c r="D50" s="253">
        <v>22.466922786206901</v>
      </c>
      <c r="E50" s="258">
        <v>22.5468414593803</v>
      </c>
    </row>
    <row r="51" spans="2:5">
      <c r="B51" s="108" t="s">
        <v>6</v>
      </c>
      <c r="C51" s="16" t="s">
        <v>195</v>
      </c>
      <c r="D51" s="259">
        <v>22.344100000000001</v>
      </c>
      <c r="E51" s="260">
        <v>22.381699999999999</v>
      </c>
    </row>
    <row r="52" spans="2:5">
      <c r="B52" s="108" t="s">
        <v>8</v>
      </c>
      <c r="C52" s="16" t="s">
        <v>196</v>
      </c>
      <c r="D52" s="259">
        <v>22.5505</v>
      </c>
      <c r="E52" s="260">
        <v>22.582699999999999</v>
      </c>
    </row>
    <row r="53" spans="2:5" ht="13.5" thickBot="1">
      <c r="B53" s="109" t="s">
        <v>9</v>
      </c>
      <c r="C53" s="18" t="s">
        <v>41</v>
      </c>
      <c r="D53" s="261">
        <v>22.550546660390001</v>
      </c>
      <c r="E53" s="262">
        <v>22.582727206065201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D59+D69</f>
        <v>208134118.60999998</v>
      </c>
      <c r="E58" s="33">
        <f>D58/E21</f>
        <v>1.0022084759208887</v>
      </c>
    </row>
    <row r="59" spans="2:5" ht="25.5">
      <c r="B59" s="129" t="s">
        <v>4</v>
      </c>
      <c r="C59" s="23" t="s">
        <v>44</v>
      </c>
      <c r="D59" s="82">
        <f>225542200-17666684.87</f>
        <v>207875515.13</v>
      </c>
      <c r="E59" s="83">
        <f>D59/E21</f>
        <v>1.0009632471170313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v>0</v>
      </c>
      <c r="E64" s="83">
        <v>0</v>
      </c>
    </row>
    <row r="65" spans="2:5" ht="13.5" customHeight="1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258603.48</v>
      </c>
      <c r="E69" s="81">
        <f>D69/E21</f>
        <v>1.245228803857369E-3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10.95</v>
      </c>
      <c r="E71" s="68">
        <f>D71/E21</f>
        <v>5.2726496187283284E-8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f>D72/E21</f>
        <v>0</v>
      </c>
    </row>
    <row r="73" spans="2:5">
      <c r="B73" s="138" t="s">
        <v>62</v>
      </c>
      <c r="C73" s="25" t="s">
        <v>65</v>
      </c>
      <c r="D73" s="26">
        <f>E17</f>
        <v>458657.23</v>
      </c>
      <c r="E73" s="27">
        <f>D73/E21</f>
        <v>2.2085286473849234E-3</v>
      </c>
    </row>
    <row r="74" spans="2:5">
      <c r="B74" s="136" t="s">
        <v>64</v>
      </c>
      <c r="C74" s="127" t="s">
        <v>66</v>
      </c>
      <c r="D74" s="128">
        <f>D58+D71+D72-D73</f>
        <v>207675472.32999998</v>
      </c>
      <c r="E74" s="68">
        <f>E58+E72-E73</f>
        <v>0.99999994727350372</v>
      </c>
    </row>
    <row r="75" spans="2:5">
      <c r="B75" s="108" t="s">
        <v>4</v>
      </c>
      <c r="C75" s="16" t="s">
        <v>67</v>
      </c>
      <c r="D75" s="80">
        <f>D74</f>
        <v>207675472.32999998</v>
      </c>
      <c r="E75" s="81">
        <f>E74</f>
        <v>0.99999994727350372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7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90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18530686.300000001</v>
      </c>
      <c r="E11" s="9">
        <f>E12+E13+E14</f>
        <v>17156270.519999996</v>
      </c>
    </row>
    <row r="12" spans="2:7">
      <c r="B12" s="112" t="s">
        <v>4</v>
      </c>
      <c r="C12" s="6" t="s">
        <v>5</v>
      </c>
      <c r="D12" s="235">
        <v>18472199.890000001</v>
      </c>
      <c r="E12" s="87">
        <f>17032623.48+352531.04+4.83-288022.37</f>
        <v>17097136.979999997</v>
      </c>
    </row>
    <row r="13" spans="2:7">
      <c r="B13" s="112" t="s">
        <v>6</v>
      </c>
      <c r="C13" s="70" t="s">
        <v>7</v>
      </c>
      <c r="D13" s="235"/>
      <c r="E13" s="87">
        <v>11.81</v>
      </c>
    </row>
    <row r="14" spans="2:7">
      <c r="B14" s="112" t="s">
        <v>8</v>
      </c>
      <c r="C14" s="70" t="s">
        <v>10</v>
      </c>
      <c r="D14" s="235">
        <v>58486.41</v>
      </c>
      <c r="E14" s="87">
        <f>E15</f>
        <v>59121.73</v>
      </c>
    </row>
    <row r="15" spans="2:7">
      <c r="B15" s="112" t="s">
        <v>187</v>
      </c>
      <c r="C15" s="70" t="s">
        <v>11</v>
      </c>
      <c r="D15" s="235">
        <v>58486.41</v>
      </c>
      <c r="E15" s="87">
        <v>59121.73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44781.34</v>
      </c>
      <c r="E17" s="98">
        <f>SUM(E18:E19)</f>
        <v>36499.589999999997</v>
      </c>
    </row>
    <row r="18" spans="2:6">
      <c r="B18" s="112" t="s">
        <v>4</v>
      </c>
      <c r="C18" s="6" t="s">
        <v>11</v>
      </c>
      <c r="D18" s="235">
        <v>44781.34</v>
      </c>
      <c r="E18" s="88">
        <v>36499.589999999997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18485904.960000001</v>
      </c>
      <c r="E21" s="154">
        <f>E11-E17</f>
        <v>17119770.929999996</v>
      </c>
      <c r="F21" s="79"/>
    </row>
    <row r="22" spans="2:6">
      <c r="B22" s="3"/>
      <c r="C22" s="7"/>
      <c r="D22" s="8"/>
      <c r="E22" s="8"/>
    </row>
    <row r="23" spans="2:6" ht="15.75">
      <c r="B23" s="313"/>
      <c r="C23" s="321"/>
      <c r="D23" s="321"/>
      <c r="E23" s="321"/>
    </row>
    <row r="24" spans="2:6" ht="18" customHeight="1" thickBot="1">
      <c r="B24" s="312" t="s">
        <v>186</v>
      </c>
      <c r="C24" s="322"/>
      <c r="D24" s="322"/>
      <c r="E24" s="322"/>
    </row>
    <row r="25" spans="2:6" ht="13.5" thickBot="1">
      <c r="B25" s="9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16687483.48</v>
      </c>
      <c r="E26" s="274">
        <f>D21</f>
        <v>18485904.960000001</v>
      </c>
    </row>
    <row r="27" spans="2:6">
      <c r="B27" s="10" t="s">
        <v>17</v>
      </c>
      <c r="C27" s="11" t="s">
        <v>192</v>
      </c>
      <c r="D27" s="207">
        <v>-476451</v>
      </c>
      <c r="E27" s="243">
        <f>E28-E32</f>
        <v>306306.97999999975</v>
      </c>
      <c r="F27" s="73"/>
    </row>
    <row r="28" spans="2:6">
      <c r="B28" s="10" t="s">
        <v>18</v>
      </c>
      <c r="C28" s="11" t="s">
        <v>19</v>
      </c>
      <c r="D28" s="207">
        <v>2429056.2999999998</v>
      </c>
      <c r="E28" s="244">
        <f>SUM(E29:E31)</f>
        <v>2034626.52</v>
      </c>
      <c r="F28" s="73"/>
    </row>
    <row r="29" spans="2:6">
      <c r="B29" s="110" t="s">
        <v>4</v>
      </c>
      <c r="C29" s="6" t="s">
        <v>20</v>
      </c>
      <c r="D29" s="208">
        <v>1853185.75</v>
      </c>
      <c r="E29" s="246">
        <v>1744887.29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575870.55000000005</v>
      </c>
      <c r="E31" s="246">
        <v>289739.23</v>
      </c>
      <c r="F31" s="73"/>
    </row>
    <row r="32" spans="2:6">
      <c r="B32" s="97" t="s">
        <v>23</v>
      </c>
      <c r="C32" s="12" t="s">
        <v>24</v>
      </c>
      <c r="D32" s="207">
        <v>2905507.3</v>
      </c>
      <c r="E32" s="244">
        <f>SUM(E33:E39)</f>
        <v>1728319.5400000003</v>
      </c>
      <c r="F32" s="73"/>
    </row>
    <row r="33" spans="2:6">
      <c r="B33" s="110" t="s">
        <v>4</v>
      </c>
      <c r="C33" s="6" t="s">
        <v>25</v>
      </c>
      <c r="D33" s="208">
        <v>1927692.89</v>
      </c>
      <c r="E33" s="246">
        <f>1131287.1+225321.8</f>
        <v>1356608.9000000001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277620.49</v>
      </c>
      <c r="E35" s="246">
        <v>253182.13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700193.92</v>
      </c>
      <c r="E39" s="248">
        <v>118528.51</v>
      </c>
      <c r="F39" s="73"/>
    </row>
    <row r="40" spans="2:6" ht="13.5" thickBot="1">
      <c r="B40" s="103" t="s">
        <v>35</v>
      </c>
      <c r="C40" s="104" t="s">
        <v>36</v>
      </c>
      <c r="D40" s="210">
        <v>1916151.6</v>
      </c>
      <c r="E40" s="275">
        <v>-1672441.01</v>
      </c>
    </row>
    <row r="41" spans="2:6" ht="13.5" thickBot="1">
      <c r="B41" s="105" t="s">
        <v>37</v>
      </c>
      <c r="C41" s="106" t="s">
        <v>38</v>
      </c>
      <c r="D41" s="211">
        <v>18127184.080000002</v>
      </c>
      <c r="E41" s="154">
        <f>E26+E27+E40</f>
        <v>17119770.93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7.2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1612649.2980929622</v>
      </c>
      <c r="E47" s="75">
        <v>1597461.52211</v>
      </c>
    </row>
    <row r="48" spans="2:6">
      <c r="B48" s="129" t="s">
        <v>6</v>
      </c>
      <c r="C48" s="23" t="s">
        <v>41</v>
      </c>
      <c r="D48" s="213">
        <v>1570063.0415546973</v>
      </c>
      <c r="E48" s="75">
        <v>1622094.65411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10.3478688762236</v>
      </c>
      <c r="E50" s="75">
        <v>11.572050221037401</v>
      </c>
    </row>
    <row r="51" spans="2:5">
      <c r="B51" s="108" t="s">
        <v>6</v>
      </c>
      <c r="C51" s="16" t="s">
        <v>195</v>
      </c>
      <c r="D51" s="280">
        <v>10.347899999999999</v>
      </c>
      <c r="E51" s="77">
        <v>10.403499999999999</v>
      </c>
    </row>
    <row r="52" spans="2:5" ht="12.75" customHeight="1">
      <c r="B52" s="108" t="s">
        <v>8</v>
      </c>
      <c r="C52" s="16" t="s">
        <v>196</v>
      </c>
      <c r="D52" s="280">
        <v>11.792</v>
      </c>
      <c r="E52" s="77">
        <v>12.1831</v>
      </c>
    </row>
    <row r="53" spans="2:5" ht="13.5" thickBot="1">
      <c r="B53" s="109" t="s">
        <v>9</v>
      </c>
      <c r="C53" s="18" t="s">
        <v>41</v>
      </c>
      <c r="D53" s="216">
        <v>11.5455135241259</v>
      </c>
      <c r="E53" s="281">
        <v>10.554113403094499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17097136.98</v>
      </c>
      <c r="E58" s="33">
        <f>D58/E21</f>
        <v>0.99867790579134841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17032623.48-288022.37</f>
        <v>16744601.110000001</v>
      </c>
      <c r="E64" s="83">
        <f>D64/E21</f>
        <v>0.97808558177945226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352531.04+4.83</f>
        <v>352535.87</v>
      </c>
      <c r="E69" s="81">
        <f>D69/E21</f>
        <v>2.0592324011896115E-2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11.81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59121.73</v>
      </c>
      <c r="E72" s="125">
        <f>D72/E21</f>
        <v>3.4534182870634951E-3</v>
      </c>
    </row>
    <row r="73" spans="2:5">
      <c r="B73" s="24" t="s">
        <v>62</v>
      </c>
      <c r="C73" s="25" t="s">
        <v>65</v>
      </c>
      <c r="D73" s="26">
        <f>E17</f>
        <v>36499.589999999997</v>
      </c>
      <c r="E73" s="27">
        <f>D73/E21</f>
        <v>2.1320139240905136E-3</v>
      </c>
    </row>
    <row r="74" spans="2:5">
      <c r="B74" s="126" t="s">
        <v>64</v>
      </c>
      <c r="C74" s="127" t="s">
        <v>66</v>
      </c>
      <c r="D74" s="128">
        <f>D58+D71+D72-D73</f>
        <v>17119770.93</v>
      </c>
      <c r="E74" s="68">
        <f>E58+E72-E73</f>
        <v>0.99999931015432153</v>
      </c>
    </row>
    <row r="75" spans="2:5">
      <c r="B75" s="15" t="s">
        <v>4</v>
      </c>
      <c r="C75" s="16" t="s">
        <v>67</v>
      </c>
      <c r="D75" s="80">
        <f>D74</f>
        <v>17119770.93</v>
      </c>
      <c r="E75" s="81">
        <f>E74</f>
        <v>0.99999931015432153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14.25">
      <c r="B5" s="310" t="s">
        <v>1</v>
      </c>
      <c r="C5" s="310"/>
      <c r="D5" s="310"/>
      <c r="E5" s="310"/>
    </row>
    <row r="6" spans="2:5" ht="14.25">
      <c r="B6" s="311" t="s">
        <v>222</v>
      </c>
      <c r="C6" s="311"/>
      <c r="D6" s="311"/>
      <c r="E6" s="311"/>
    </row>
    <row r="7" spans="2:5" ht="14.25">
      <c r="B7" s="171"/>
      <c r="C7" s="171"/>
      <c r="D7" s="171"/>
      <c r="E7" s="17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7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0</v>
      </c>
      <c r="E11" s="9">
        <f>E12</f>
        <v>0</v>
      </c>
    </row>
    <row r="12" spans="2:5">
      <c r="B12" s="180" t="s">
        <v>4</v>
      </c>
      <c r="C12" s="181" t="s">
        <v>5</v>
      </c>
      <c r="D12" s="235">
        <v>0</v>
      </c>
      <c r="E12" s="87">
        <f>20.71-20.71</f>
        <v>0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0</v>
      </c>
      <c r="E21" s="154">
        <f>E11</f>
        <v>0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14721.76</v>
      </c>
      <c r="E26" s="274">
        <f>D21</f>
        <v>0</v>
      </c>
    </row>
    <row r="27" spans="2:6">
      <c r="B27" s="10" t="s">
        <v>17</v>
      </c>
      <c r="C27" s="11" t="s">
        <v>192</v>
      </c>
      <c r="D27" s="207">
        <v>-15705.02</v>
      </c>
      <c r="E27" s="243">
        <f>E28-E32</f>
        <v>1.1499999999999999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1.1499999999999999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1.1499999999999999</v>
      </c>
      <c r="F31" s="73"/>
    </row>
    <row r="32" spans="2:6">
      <c r="B32" s="97" t="s">
        <v>23</v>
      </c>
      <c r="C32" s="12" t="s">
        <v>24</v>
      </c>
      <c r="D32" s="207">
        <v>15705.02</v>
      </c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>
        <v>15512.460000000001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17.16</v>
      </c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175.4</v>
      </c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983.26</v>
      </c>
      <c r="E40" s="275">
        <v>-1.1499999999999999</v>
      </c>
    </row>
    <row r="41" spans="2:6" ht="13.5" thickBot="1">
      <c r="B41" s="105" t="s">
        <v>37</v>
      </c>
      <c r="C41" s="106" t="s">
        <v>38</v>
      </c>
      <c r="D41" s="211">
        <v>0</v>
      </c>
      <c r="E41" s="154">
        <f>E26+E27+E40</f>
        <v>0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139.19968</v>
      </c>
      <c r="E47" s="155"/>
    </row>
    <row r="48" spans="2:6">
      <c r="B48" s="193" t="s">
        <v>6</v>
      </c>
      <c r="C48" s="194" t="s">
        <v>41</v>
      </c>
      <c r="D48" s="213"/>
      <c r="E48" s="155"/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105.76</v>
      </c>
      <c r="E50" s="155"/>
    </row>
    <row r="51" spans="2:5">
      <c r="B51" s="191" t="s">
        <v>6</v>
      </c>
      <c r="C51" s="192" t="s">
        <v>195</v>
      </c>
      <c r="D51" s="215">
        <v>105.74</v>
      </c>
      <c r="E51" s="155"/>
    </row>
    <row r="52" spans="2:5">
      <c r="B52" s="191" t="s">
        <v>8</v>
      </c>
      <c r="C52" s="192" t="s">
        <v>196</v>
      </c>
      <c r="D52" s="215">
        <v>117.7</v>
      </c>
      <c r="E52" s="77"/>
    </row>
    <row r="53" spans="2:5" ht="13.5" thickBot="1">
      <c r="B53" s="195" t="s">
        <v>9</v>
      </c>
      <c r="C53" s="196" t="s">
        <v>41</v>
      </c>
      <c r="D53" s="216"/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0</v>
      </c>
      <c r="E64" s="83">
        <f>E58</f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0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14.25">
      <c r="B5" s="310" t="s">
        <v>1</v>
      </c>
      <c r="C5" s="310"/>
      <c r="D5" s="310"/>
      <c r="E5" s="310"/>
    </row>
    <row r="6" spans="2:5" ht="14.25">
      <c r="B6" s="311" t="s">
        <v>228</v>
      </c>
      <c r="C6" s="311"/>
      <c r="D6" s="311"/>
      <c r="E6" s="311"/>
    </row>
    <row r="7" spans="2:5" ht="14.25">
      <c r="B7" s="203"/>
      <c r="C7" s="203"/>
      <c r="D7" s="203"/>
      <c r="E7" s="203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204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6775.97</v>
      </c>
      <c r="E11" s="9">
        <f>E12</f>
        <v>0</v>
      </c>
    </row>
    <row r="12" spans="2:5">
      <c r="B12" s="180" t="s">
        <v>4</v>
      </c>
      <c r="C12" s="181" t="s">
        <v>5</v>
      </c>
      <c r="D12" s="235">
        <v>6775.97</v>
      </c>
      <c r="E12" s="87">
        <v>0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6775.97</v>
      </c>
      <c r="E21" s="154">
        <f>E11</f>
        <v>0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0</v>
      </c>
      <c r="E26" s="274">
        <f>D21</f>
        <v>6775.97</v>
      </c>
    </row>
    <row r="27" spans="2:6">
      <c r="B27" s="10" t="s">
        <v>17</v>
      </c>
      <c r="C27" s="11" t="s">
        <v>192</v>
      </c>
      <c r="D27" s="207">
        <v>57509.689999999995</v>
      </c>
      <c r="E27" s="243">
        <f>E28-E32</f>
        <v>-6782.41</v>
      </c>
      <c r="F27" s="73"/>
    </row>
    <row r="28" spans="2:6">
      <c r="B28" s="10" t="s">
        <v>18</v>
      </c>
      <c r="C28" s="11" t="s">
        <v>19</v>
      </c>
      <c r="D28" s="207">
        <v>84641.29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84641.29</v>
      </c>
      <c r="E31" s="246"/>
      <c r="F31" s="73"/>
    </row>
    <row r="32" spans="2:6">
      <c r="B32" s="97" t="s">
        <v>23</v>
      </c>
      <c r="C32" s="12" t="s">
        <v>24</v>
      </c>
      <c r="D32" s="207">
        <v>27131.599999999999</v>
      </c>
      <c r="E32" s="244">
        <f>SUM(E33:E39)</f>
        <v>6782.41</v>
      </c>
      <c r="F32" s="73"/>
    </row>
    <row r="33" spans="2:6">
      <c r="B33" s="188" t="s">
        <v>4</v>
      </c>
      <c r="C33" s="181" t="s">
        <v>25</v>
      </c>
      <c r="D33" s="208">
        <v>26983.7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6.62</v>
      </c>
      <c r="E35" s="246">
        <v>7.64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141.28</v>
      </c>
      <c r="E37" s="246">
        <v>38.89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6735.88</v>
      </c>
      <c r="F39" s="73"/>
    </row>
    <row r="40" spans="2:6" ht="13.5" thickBot="1">
      <c r="B40" s="103" t="s">
        <v>35</v>
      </c>
      <c r="C40" s="104" t="s">
        <v>36</v>
      </c>
      <c r="D40" s="210">
        <v>215.12</v>
      </c>
      <c r="E40" s="275">
        <v>6.44</v>
      </c>
    </row>
    <row r="41" spans="2:6" ht="13.5" thickBot="1">
      <c r="B41" s="105" t="s">
        <v>37</v>
      </c>
      <c r="C41" s="106" t="s">
        <v>38</v>
      </c>
      <c r="D41" s="211">
        <v>57724.81</v>
      </c>
      <c r="E41" s="154">
        <v>0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/>
      <c r="E47" s="155">
        <v>58.509390000000003</v>
      </c>
    </row>
    <row r="48" spans="2:6">
      <c r="B48" s="193" t="s">
        <v>6</v>
      </c>
      <c r="C48" s="194" t="s">
        <v>41</v>
      </c>
      <c r="D48" s="213">
        <v>501.99849999999998</v>
      </c>
      <c r="E48" s="155"/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/>
      <c r="E50" s="155">
        <v>115.81</v>
      </c>
    </row>
    <row r="51" spans="2:5">
      <c r="B51" s="191" t="s">
        <v>6</v>
      </c>
      <c r="C51" s="192" t="s">
        <v>195</v>
      </c>
      <c r="D51" s="215">
        <v>114.07</v>
      </c>
      <c r="E51" s="155">
        <v>115.81</v>
      </c>
    </row>
    <row r="52" spans="2:5">
      <c r="B52" s="191" t="s">
        <v>8</v>
      </c>
      <c r="C52" s="192" t="s">
        <v>196</v>
      </c>
      <c r="D52" s="215">
        <v>114.99</v>
      </c>
      <c r="E52" s="77">
        <v>116.45</v>
      </c>
    </row>
    <row r="53" spans="2:5" ht="13.5" thickBot="1">
      <c r="B53" s="195" t="s">
        <v>9</v>
      </c>
      <c r="C53" s="196" t="s">
        <v>41</v>
      </c>
      <c r="D53" s="216">
        <v>114.99</v>
      </c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0</v>
      </c>
      <c r="E64" s="83"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124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81884.33</v>
      </c>
      <c r="E11" s="9">
        <f>E12</f>
        <v>41296.839999999997</v>
      </c>
    </row>
    <row r="12" spans="2:7">
      <c r="B12" s="180" t="s">
        <v>4</v>
      </c>
      <c r="C12" s="181" t="s">
        <v>5</v>
      </c>
      <c r="D12" s="235">
        <v>81884.33</v>
      </c>
      <c r="E12" s="87">
        <v>41296.839999999997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81884.33</v>
      </c>
      <c r="E21" s="154">
        <f>E11</f>
        <v>41296.839999999997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81196.12</v>
      </c>
      <c r="E26" s="274">
        <f>D21</f>
        <v>81884.33</v>
      </c>
    </row>
    <row r="27" spans="2:6">
      <c r="B27" s="10" t="s">
        <v>17</v>
      </c>
      <c r="C27" s="11" t="s">
        <v>192</v>
      </c>
      <c r="D27" s="207">
        <v>-8693.6400000000031</v>
      </c>
      <c r="E27" s="243">
        <f>E28-E32</f>
        <v>-34159.189999999995</v>
      </c>
      <c r="F27" s="73"/>
    </row>
    <row r="28" spans="2:6">
      <c r="B28" s="10" t="s">
        <v>18</v>
      </c>
      <c r="C28" s="11" t="s">
        <v>19</v>
      </c>
      <c r="D28" s="207">
        <v>11831.98</v>
      </c>
      <c r="E28" s="244">
        <f>SUM(E29:E31)</f>
        <v>2694.37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11831.98</v>
      </c>
      <c r="E31" s="246">
        <v>2694.37</v>
      </c>
      <c r="F31" s="73"/>
    </row>
    <row r="32" spans="2:6">
      <c r="B32" s="97" t="s">
        <v>23</v>
      </c>
      <c r="C32" s="12" t="s">
        <v>24</v>
      </c>
      <c r="D32" s="207">
        <v>20525.620000000003</v>
      </c>
      <c r="E32" s="244">
        <f>SUM(E33:E39)</f>
        <v>36853.56</v>
      </c>
      <c r="F32" s="73"/>
    </row>
    <row r="33" spans="2:6">
      <c r="B33" s="188" t="s">
        <v>4</v>
      </c>
      <c r="C33" s="181" t="s">
        <v>25</v>
      </c>
      <c r="D33" s="208">
        <v>4646.6400000000003</v>
      </c>
      <c r="E33" s="246">
        <v>12415.03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114.21</v>
      </c>
      <c r="E35" s="246">
        <v>160.16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792.77</v>
      </c>
      <c r="E37" s="246">
        <v>598.76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14972</v>
      </c>
      <c r="E39" s="248">
        <v>23679.61</v>
      </c>
      <c r="F39" s="73"/>
    </row>
    <row r="40" spans="2:6" ht="13.5" thickBot="1">
      <c r="B40" s="103" t="s">
        <v>35</v>
      </c>
      <c r="C40" s="104" t="s">
        <v>36</v>
      </c>
      <c r="D40" s="210">
        <v>10664.93</v>
      </c>
      <c r="E40" s="275">
        <v>-6428.3</v>
      </c>
    </row>
    <row r="41" spans="2:6" ht="13.5" thickBot="1">
      <c r="B41" s="105" t="s">
        <v>37</v>
      </c>
      <c r="C41" s="106" t="s">
        <v>38</v>
      </c>
      <c r="D41" s="211">
        <v>83167.41</v>
      </c>
      <c r="E41" s="154">
        <f>E26+E27+E40</f>
        <v>41296.840000000004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810.50229999999999</v>
      </c>
      <c r="E47" s="155">
        <v>719.92550000000006</v>
      </c>
    </row>
    <row r="48" spans="2:6">
      <c r="B48" s="193" t="s">
        <v>6</v>
      </c>
      <c r="C48" s="194" t="s">
        <v>41</v>
      </c>
      <c r="D48" s="213">
        <v>722.50379999999996</v>
      </c>
      <c r="E48" s="155">
        <v>406.70510000000002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100.18</v>
      </c>
      <c r="E50" s="155">
        <v>113.74</v>
      </c>
    </row>
    <row r="51" spans="2:5">
      <c r="B51" s="191" t="s">
        <v>6</v>
      </c>
      <c r="C51" s="192" t="s">
        <v>195</v>
      </c>
      <c r="D51" s="215">
        <v>100.05</v>
      </c>
      <c r="E51" s="77">
        <v>100.83</v>
      </c>
    </row>
    <row r="52" spans="2:5">
      <c r="B52" s="191" t="s">
        <v>8</v>
      </c>
      <c r="C52" s="192" t="s">
        <v>196</v>
      </c>
      <c r="D52" s="215">
        <v>115.46</v>
      </c>
      <c r="E52" s="77">
        <v>117.6</v>
      </c>
    </row>
    <row r="53" spans="2:5" ht="12.75" customHeight="1" thickBot="1">
      <c r="B53" s="195" t="s">
        <v>9</v>
      </c>
      <c r="C53" s="196" t="s">
        <v>41</v>
      </c>
      <c r="D53" s="216">
        <v>115.11</v>
      </c>
      <c r="E53" s="281">
        <v>101.54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41296.839999999997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41296.839999999997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41296.839999999997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41296.839999999997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L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 customFormat="1">
      <c r="B1" s="1"/>
      <c r="C1" s="1"/>
      <c r="D1" s="2"/>
      <c r="E1" s="2"/>
    </row>
    <row r="2" spans="2:12" customFormat="1" ht="15.75">
      <c r="B2" s="309" t="s">
        <v>0</v>
      </c>
      <c r="C2" s="309"/>
      <c r="D2" s="309"/>
      <c r="E2" s="309"/>
      <c r="H2" s="163"/>
      <c r="I2" s="163"/>
      <c r="J2" s="165"/>
      <c r="L2" s="73"/>
    </row>
    <row r="3" spans="2:12" customFormat="1" ht="15.75">
      <c r="B3" s="309" t="s">
        <v>276</v>
      </c>
      <c r="C3" s="309"/>
      <c r="D3" s="309"/>
      <c r="E3" s="309"/>
      <c r="H3" s="163"/>
      <c r="I3" s="163"/>
      <c r="J3" s="165"/>
    </row>
    <row r="4" spans="2:12" customFormat="1" ht="15">
      <c r="B4" s="147"/>
      <c r="C4" s="147"/>
      <c r="D4" s="147"/>
      <c r="E4" s="147"/>
      <c r="H4" s="162"/>
      <c r="I4" s="162"/>
      <c r="J4" s="165"/>
    </row>
    <row r="5" spans="2:12" customFormat="1" ht="21" customHeight="1">
      <c r="B5" s="310" t="s">
        <v>1</v>
      </c>
      <c r="C5" s="310"/>
      <c r="D5" s="310"/>
      <c r="E5" s="310"/>
    </row>
    <row r="6" spans="2:12" customFormat="1" ht="14.25">
      <c r="B6" s="311" t="s">
        <v>272</v>
      </c>
      <c r="C6" s="311"/>
      <c r="D6" s="311"/>
      <c r="E6" s="311"/>
    </row>
    <row r="7" spans="2:12" customFormat="1" ht="14.25">
      <c r="B7" s="145"/>
      <c r="C7" s="145"/>
      <c r="D7" s="145"/>
      <c r="E7" s="145"/>
    </row>
    <row r="8" spans="2:12" customFormat="1" ht="13.5">
      <c r="B8" s="313" t="s">
        <v>18</v>
      </c>
      <c r="C8" s="315"/>
      <c r="D8" s="315"/>
      <c r="E8" s="315"/>
    </row>
    <row r="9" spans="2:12" customFormat="1" ht="16.5" thickBot="1">
      <c r="B9" s="312" t="s">
        <v>184</v>
      </c>
      <c r="C9" s="312"/>
      <c r="D9" s="312"/>
      <c r="E9" s="312"/>
    </row>
    <row r="10" spans="2:12" customFormat="1" ht="13.5" thickBot="1">
      <c r="B10" s="146"/>
      <c r="C10" s="78" t="s">
        <v>2</v>
      </c>
      <c r="D10" s="72" t="s">
        <v>229</v>
      </c>
      <c r="E10" s="30" t="s">
        <v>232</v>
      </c>
    </row>
    <row r="11" spans="2:12" customFormat="1">
      <c r="B11" s="95" t="s">
        <v>3</v>
      </c>
      <c r="C11" s="134" t="s">
        <v>190</v>
      </c>
      <c r="D11" s="232">
        <v>23977.95</v>
      </c>
      <c r="E11" s="9">
        <f>E12</f>
        <v>20263.87</v>
      </c>
    </row>
    <row r="12" spans="2:12" customFormat="1">
      <c r="B12" s="180" t="s">
        <v>4</v>
      </c>
      <c r="C12" s="181" t="s">
        <v>5</v>
      </c>
      <c r="D12" s="235">
        <v>23977.95</v>
      </c>
      <c r="E12" s="87">
        <v>20263.87</v>
      </c>
    </row>
    <row r="13" spans="2:12" customFormat="1">
      <c r="B13" s="180" t="s">
        <v>6</v>
      </c>
      <c r="C13" s="182" t="s">
        <v>7</v>
      </c>
      <c r="D13" s="235"/>
      <c r="E13" s="87"/>
    </row>
    <row r="14" spans="2:12" customFormat="1">
      <c r="B14" s="180" t="s">
        <v>8</v>
      </c>
      <c r="C14" s="182" t="s">
        <v>10</v>
      </c>
      <c r="D14" s="235"/>
      <c r="E14" s="87"/>
      <c r="G14" s="69"/>
    </row>
    <row r="15" spans="2:12" customFormat="1">
      <c r="B15" s="180" t="s">
        <v>187</v>
      </c>
      <c r="C15" s="182" t="s">
        <v>11</v>
      </c>
      <c r="D15" s="235"/>
      <c r="E15" s="87"/>
    </row>
    <row r="16" spans="2:12" customFormat="1">
      <c r="B16" s="183" t="s">
        <v>188</v>
      </c>
      <c r="C16" s="184" t="s">
        <v>12</v>
      </c>
      <c r="D16" s="236"/>
      <c r="E16" s="88"/>
    </row>
    <row r="17" spans="2:11" customFormat="1">
      <c r="B17" s="10" t="s">
        <v>13</v>
      </c>
      <c r="C17" s="12" t="s">
        <v>65</v>
      </c>
      <c r="D17" s="264"/>
      <c r="E17" s="98"/>
    </row>
    <row r="18" spans="2:11" customFormat="1">
      <c r="B18" s="180" t="s">
        <v>4</v>
      </c>
      <c r="C18" s="181" t="s">
        <v>11</v>
      </c>
      <c r="D18" s="235"/>
      <c r="E18" s="88"/>
    </row>
    <row r="19" spans="2:11" customFormat="1" ht="15" customHeight="1">
      <c r="B19" s="180" t="s">
        <v>6</v>
      </c>
      <c r="C19" s="182" t="s">
        <v>189</v>
      </c>
      <c r="D19" s="235"/>
      <c r="E19" s="87"/>
    </row>
    <row r="20" spans="2:11" customFormat="1" ht="13.5" thickBot="1">
      <c r="B20" s="185" t="s">
        <v>8</v>
      </c>
      <c r="C20" s="186" t="s">
        <v>14</v>
      </c>
      <c r="D20" s="238"/>
      <c r="E20" s="89"/>
    </row>
    <row r="21" spans="2:11" customFormat="1" ht="13.5" thickBot="1">
      <c r="B21" s="319" t="s">
        <v>191</v>
      </c>
      <c r="C21" s="320"/>
      <c r="D21" s="239">
        <v>23977.95</v>
      </c>
      <c r="E21" s="154">
        <f>E11</f>
        <v>20263.87</v>
      </c>
      <c r="F21" s="79"/>
      <c r="G21" s="79"/>
      <c r="H21" s="170"/>
      <c r="J21" s="227"/>
      <c r="K21" s="69"/>
    </row>
    <row r="22" spans="2:11" customFormat="1">
      <c r="B22" s="3"/>
      <c r="C22" s="7"/>
      <c r="D22" s="8"/>
      <c r="E22" s="8"/>
      <c r="G22" s="73"/>
    </row>
    <row r="23" spans="2:11" customFormat="1" ht="13.5">
      <c r="B23" s="313" t="s">
        <v>185</v>
      </c>
      <c r="C23" s="325"/>
      <c r="D23" s="325"/>
      <c r="E23" s="325"/>
      <c r="G23" s="73"/>
    </row>
    <row r="24" spans="2:11" customFormat="1" ht="15.75" customHeight="1" thickBot="1">
      <c r="B24" s="312" t="s">
        <v>186</v>
      </c>
      <c r="C24" s="326"/>
      <c r="D24" s="326"/>
      <c r="E24" s="326"/>
    </row>
    <row r="25" spans="2:11" customFormat="1" ht="13.5" thickBot="1">
      <c r="B25" s="221"/>
      <c r="C25" s="187" t="s">
        <v>2</v>
      </c>
      <c r="D25" s="72" t="s">
        <v>233</v>
      </c>
      <c r="E25" s="30" t="s">
        <v>232</v>
      </c>
    </row>
    <row r="26" spans="2:11" customFormat="1">
      <c r="B26" s="101" t="s">
        <v>15</v>
      </c>
      <c r="C26" s="102" t="s">
        <v>16</v>
      </c>
      <c r="D26" s="206">
        <v>52673.43</v>
      </c>
      <c r="E26" s="274">
        <f>D21</f>
        <v>23977.95</v>
      </c>
      <c r="G26" s="76"/>
    </row>
    <row r="27" spans="2:11" customFormat="1">
      <c r="B27" s="10" t="s">
        <v>17</v>
      </c>
      <c r="C27" s="11" t="s">
        <v>192</v>
      </c>
      <c r="D27" s="207">
        <v>-19685.739999999998</v>
      </c>
      <c r="E27" s="243">
        <f>E28-E32</f>
        <v>-231.11999999999998</v>
      </c>
      <c r="F27" s="73"/>
      <c r="G27" s="76"/>
      <c r="H27" s="73"/>
      <c r="I27" s="73"/>
      <c r="J27" s="76"/>
    </row>
    <row r="28" spans="2:11" customFormat="1">
      <c r="B28" s="10" t="s">
        <v>18</v>
      </c>
      <c r="C28" s="11" t="s">
        <v>19</v>
      </c>
      <c r="D28" s="207"/>
      <c r="E28" s="244">
        <f>SUM(E29:E31)</f>
        <v>0</v>
      </c>
      <c r="F28" s="73"/>
      <c r="G28" s="73"/>
      <c r="H28" s="73"/>
      <c r="I28" s="73"/>
      <c r="J28" s="76"/>
    </row>
    <row r="29" spans="2:11" customFormat="1">
      <c r="B29" s="188" t="s">
        <v>4</v>
      </c>
      <c r="C29" s="181" t="s">
        <v>20</v>
      </c>
      <c r="D29" s="208"/>
      <c r="E29" s="246"/>
      <c r="F29" s="73"/>
      <c r="G29" s="73"/>
      <c r="H29" s="73"/>
      <c r="I29" s="73"/>
      <c r="J29" s="76"/>
    </row>
    <row r="30" spans="2:11" customFormat="1">
      <c r="B30" s="188" t="s">
        <v>6</v>
      </c>
      <c r="C30" s="181" t="s">
        <v>21</v>
      </c>
      <c r="D30" s="208"/>
      <c r="E30" s="246"/>
      <c r="F30" s="73"/>
      <c r="G30" s="73"/>
      <c r="H30" s="73"/>
      <c r="I30" s="73"/>
      <c r="J30" s="76"/>
    </row>
    <row r="31" spans="2:11" customFormat="1">
      <c r="B31" s="188" t="s">
        <v>8</v>
      </c>
      <c r="C31" s="181" t="s">
        <v>22</v>
      </c>
      <c r="D31" s="208"/>
      <c r="E31" s="246"/>
      <c r="F31" s="73"/>
      <c r="G31" s="73"/>
      <c r="H31" s="73"/>
      <c r="I31" s="73"/>
      <c r="J31" s="76"/>
    </row>
    <row r="32" spans="2:11" customFormat="1">
      <c r="B32" s="97" t="s">
        <v>23</v>
      </c>
      <c r="C32" s="12" t="s">
        <v>24</v>
      </c>
      <c r="D32" s="207">
        <v>19685.739999999998</v>
      </c>
      <c r="E32" s="244">
        <f>SUM(E33:E39)</f>
        <v>231.11999999999998</v>
      </c>
      <c r="F32" s="73"/>
      <c r="G32" s="76"/>
      <c r="H32" s="73"/>
      <c r="I32" s="73"/>
      <c r="J32" s="76"/>
    </row>
    <row r="33" spans="2:10" customFormat="1">
      <c r="B33" s="188" t="s">
        <v>4</v>
      </c>
      <c r="C33" s="181" t="s">
        <v>25</v>
      </c>
      <c r="D33" s="208">
        <v>10124.33</v>
      </c>
      <c r="E33" s="246"/>
      <c r="F33" s="73"/>
      <c r="G33" s="73"/>
      <c r="H33" s="73"/>
      <c r="I33" s="73"/>
      <c r="J33" s="76"/>
    </row>
    <row r="34" spans="2:10" customFormat="1">
      <c r="B34" s="188" t="s">
        <v>6</v>
      </c>
      <c r="C34" s="181" t="s">
        <v>26</v>
      </c>
      <c r="D34" s="208"/>
      <c r="E34" s="246"/>
      <c r="F34" s="73"/>
      <c r="G34" s="73"/>
      <c r="H34" s="73"/>
      <c r="I34" s="73"/>
      <c r="J34" s="76"/>
    </row>
    <row r="35" spans="2:10" customFormat="1">
      <c r="B35" s="188" t="s">
        <v>8</v>
      </c>
      <c r="C35" s="181" t="s">
        <v>27</v>
      </c>
      <c r="D35" s="208">
        <v>34.58</v>
      </c>
      <c r="E35" s="246">
        <v>7.7</v>
      </c>
      <c r="F35" s="73"/>
      <c r="G35" s="73"/>
      <c r="H35" s="73"/>
      <c r="I35" s="73"/>
      <c r="J35" s="76"/>
    </row>
    <row r="36" spans="2:10" customFormat="1">
      <c r="B36" s="188" t="s">
        <v>9</v>
      </c>
      <c r="C36" s="181" t="s">
        <v>28</v>
      </c>
      <c r="D36" s="208"/>
      <c r="E36" s="246"/>
      <c r="F36" s="73"/>
      <c r="G36" s="73"/>
      <c r="H36" s="73"/>
      <c r="I36" s="73"/>
      <c r="J36" s="76"/>
    </row>
    <row r="37" spans="2:10" customFormat="1" ht="25.5">
      <c r="B37" s="188" t="s">
        <v>29</v>
      </c>
      <c r="C37" s="181" t="s">
        <v>30</v>
      </c>
      <c r="D37" s="208">
        <v>462.87</v>
      </c>
      <c r="E37" s="246">
        <v>223.42</v>
      </c>
      <c r="F37" s="73"/>
      <c r="G37" s="73"/>
      <c r="H37" s="73"/>
      <c r="I37" s="73"/>
      <c r="J37" s="76"/>
    </row>
    <row r="38" spans="2:10" customFormat="1">
      <c r="B38" s="188" t="s">
        <v>31</v>
      </c>
      <c r="C38" s="181" t="s">
        <v>32</v>
      </c>
      <c r="D38" s="208"/>
      <c r="E38" s="246"/>
      <c r="F38" s="73"/>
      <c r="G38" s="73"/>
      <c r="H38" s="73"/>
      <c r="I38" s="73"/>
      <c r="J38" s="76"/>
    </row>
    <row r="39" spans="2:10" customFormat="1">
      <c r="B39" s="189" t="s">
        <v>33</v>
      </c>
      <c r="C39" s="190" t="s">
        <v>34</v>
      </c>
      <c r="D39" s="209">
        <v>9063.9599999999991</v>
      </c>
      <c r="E39" s="248"/>
      <c r="F39" s="73"/>
      <c r="G39" s="73"/>
      <c r="H39" s="73"/>
      <c r="I39" s="73"/>
      <c r="J39" s="76"/>
    </row>
    <row r="40" spans="2:10" customFormat="1" ht="13.5" thickBot="1">
      <c r="B40" s="103" t="s">
        <v>35</v>
      </c>
      <c r="C40" s="104" t="s">
        <v>36</v>
      </c>
      <c r="D40" s="210">
        <v>7538.88</v>
      </c>
      <c r="E40" s="275">
        <v>-3482.96</v>
      </c>
      <c r="G40" s="76"/>
    </row>
    <row r="41" spans="2:10" customFormat="1" ht="13.5" thickBot="1">
      <c r="B41" s="105" t="s">
        <v>37</v>
      </c>
      <c r="C41" s="106" t="s">
        <v>38</v>
      </c>
      <c r="D41" s="211">
        <v>40526.57</v>
      </c>
      <c r="E41" s="154">
        <f>E26+E27+E40</f>
        <v>20263.870000000003</v>
      </c>
      <c r="F41" s="79"/>
      <c r="G41" s="76"/>
    </row>
    <row r="42" spans="2:10" customFormat="1">
      <c r="B42" s="99"/>
      <c r="C42" s="99"/>
      <c r="D42" s="100"/>
      <c r="E42" s="100"/>
      <c r="F42" s="79"/>
      <c r="G42" s="69"/>
    </row>
    <row r="43" spans="2:10" customFormat="1" ht="13.5">
      <c r="B43" s="314" t="s">
        <v>60</v>
      </c>
      <c r="C43" s="324"/>
      <c r="D43" s="324"/>
      <c r="E43" s="324"/>
      <c r="G43" s="73"/>
    </row>
    <row r="44" spans="2:10" customFormat="1" ht="18" customHeight="1" thickBot="1">
      <c r="B44" s="312" t="s">
        <v>210</v>
      </c>
      <c r="C44" s="323"/>
      <c r="D44" s="323"/>
      <c r="E44" s="323"/>
      <c r="G44" s="73"/>
    </row>
    <row r="45" spans="2:10" customFormat="1" ht="13.5" thickBot="1">
      <c r="B45" s="221"/>
      <c r="C45" s="31" t="s">
        <v>39</v>
      </c>
      <c r="D45" s="72" t="s">
        <v>233</v>
      </c>
      <c r="E45" s="30" t="s">
        <v>232</v>
      </c>
      <c r="G45" s="73"/>
    </row>
    <row r="46" spans="2:10" customFormat="1">
      <c r="B46" s="14" t="s">
        <v>18</v>
      </c>
      <c r="C46" s="32" t="s">
        <v>193</v>
      </c>
      <c r="D46" s="107"/>
      <c r="E46" s="29"/>
      <c r="G46" s="73"/>
    </row>
    <row r="47" spans="2:10" customFormat="1">
      <c r="B47" s="191" t="s">
        <v>4</v>
      </c>
      <c r="C47" s="192" t="s">
        <v>40</v>
      </c>
      <c r="D47" s="212">
        <v>427.44</v>
      </c>
      <c r="E47" s="155">
        <v>160.4091</v>
      </c>
      <c r="G47" s="73"/>
    </row>
    <row r="48" spans="2:10" customFormat="1">
      <c r="B48" s="193" t="s">
        <v>6</v>
      </c>
      <c r="C48" s="194" t="s">
        <v>41</v>
      </c>
      <c r="D48" s="213">
        <v>285.0772</v>
      </c>
      <c r="E48" s="155">
        <v>158.8451</v>
      </c>
      <c r="G48" s="73"/>
    </row>
    <row r="49" spans="2:7" customFormat="1">
      <c r="B49" s="126" t="s">
        <v>23</v>
      </c>
      <c r="C49" s="130" t="s">
        <v>194</v>
      </c>
      <c r="D49" s="214"/>
      <c r="E49" s="155"/>
    </row>
    <row r="50" spans="2:7" customFormat="1">
      <c r="B50" s="191" t="s">
        <v>4</v>
      </c>
      <c r="C50" s="192" t="s">
        <v>40</v>
      </c>
      <c r="D50" s="212">
        <v>123.23</v>
      </c>
      <c r="E50" s="155">
        <v>149.47999999999999</v>
      </c>
      <c r="G50" s="179"/>
    </row>
    <row r="51" spans="2:7" customFormat="1">
      <c r="B51" s="191" t="s">
        <v>6</v>
      </c>
      <c r="C51" s="192" t="s">
        <v>195</v>
      </c>
      <c r="D51" s="215">
        <v>123.23</v>
      </c>
      <c r="E51" s="77">
        <v>126.56</v>
      </c>
      <c r="G51" s="179"/>
    </row>
    <row r="52" spans="2:7" customFormat="1">
      <c r="B52" s="191" t="s">
        <v>8</v>
      </c>
      <c r="C52" s="192" t="s">
        <v>196</v>
      </c>
      <c r="D52" s="215">
        <v>146.72</v>
      </c>
      <c r="E52" s="77">
        <v>156.93</v>
      </c>
    </row>
    <row r="53" spans="2:7" customFormat="1" ht="13.5" customHeight="1" thickBot="1">
      <c r="B53" s="195" t="s">
        <v>9</v>
      </c>
      <c r="C53" s="196" t="s">
        <v>41</v>
      </c>
      <c r="D53" s="216">
        <v>142.16</v>
      </c>
      <c r="E53" s="281">
        <v>127.57</v>
      </c>
    </row>
    <row r="54" spans="2:7" customFormat="1">
      <c r="B54" s="115"/>
      <c r="C54" s="116"/>
      <c r="D54" s="117"/>
      <c r="E54" s="117"/>
    </row>
    <row r="55" spans="2:7" customFormat="1" ht="13.5">
      <c r="B55" s="314" t="s">
        <v>62</v>
      </c>
      <c r="C55" s="315"/>
      <c r="D55" s="315"/>
      <c r="E55" s="315"/>
    </row>
    <row r="56" spans="2:7" customFormat="1" ht="17.25" customHeight="1" thickBot="1">
      <c r="B56" s="312" t="s">
        <v>197</v>
      </c>
      <c r="C56" s="316"/>
      <c r="D56" s="316"/>
      <c r="E56" s="316"/>
    </row>
    <row r="57" spans="2:7" customFormat="1" ht="23.25" thickBot="1">
      <c r="B57" s="307" t="s">
        <v>42</v>
      </c>
      <c r="C57" s="308"/>
      <c r="D57" s="19" t="s">
        <v>211</v>
      </c>
      <c r="E57" s="20" t="s">
        <v>198</v>
      </c>
    </row>
    <row r="58" spans="2:7" customFormat="1">
      <c r="B58" s="21" t="s">
        <v>18</v>
      </c>
      <c r="C58" s="132" t="s">
        <v>43</v>
      </c>
      <c r="D58" s="133">
        <f>D64</f>
        <v>20263.87</v>
      </c>
      <c r="E58" s="33">
        <f>D58/E21</f>
        <v>1</v>
      </c>
    </row>
    <row r="59" spans="2:7" customFormat="1" ht="25.5">
      <c r="B59" s="129" t="s">
        <v>4</v>
      </c>
      <c r="C59" s="23" t="s">
        <v>44</v>
      </c>
      <c r="D59" s="82">
        <v>0</v>
      </c>
      <c r="E59" s="83">
        <v>0</v>
      </c>
    </row>
    <row r="60" spans="2:7" customFormat="1" ht="25.5">
      <c r="B60" s="108" t="s">
        <v>6</v>
      </c>
      <c r="C60" s="16" t="s">
        <v>45</v>
      </c>
      <c r="D60" s="80">
        <v>0</v>
      </c>
      <c r="E60" s="81">
        <v>0</v>
      </c>
    </row>
    <row r="61" spans="2:7" customFormat="1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7" customFormat="1">
      <c r="B62" s="108" t="s">
        <v>9</v>
      </c>
      <c r="C62" s="16" t="s">
        <v>47</v>
      </c>
      <c r="D62" s="80">
        <v>0</v>
      </c>
      <c r="E62" s="81">
        <v>0</v>
      </c>
    </row>
    <row r="63" spans="2:7" customFormat="1">
      <c r="B63" s="108" t="s">
        <v>29</v>
      </c>
      <c r="C63" s="16" t="s">
        <v>48</v>
      </c>
      <c r="D63" s="80">
        <v>0</v>
      </c>
      <c r="E63" s="81">
        <v>0</v>
      </c>
    </row>
    <row r="64" spans="2:7" customFormat="1">
      <c r="B64" s="129" t="s">
        <v>31</v>
      </c>
      <c r="C64" s="23" t="s">
        <v>49</v>
      </c>
      <c r="D64" s="82">
        <f>E21</f>
        <v>20263.87</v>
      </c>
      <c r="E64" s="83">
        <f>E58</f>
        <v>1</v>
      </c>
    </row>
    <row r="65" spans="2:5" customFormat="1">
      <c r="B65" s="129" t="s">
        <v>33</v>
      </c>
      <c r="C65" s="23" t="s">
        <v>199</v>
      </c>
      <c r="D65" s="82">
        <v>0</v>
      </c>
      <c r="E65" s="83">
        <v>0</v>
      </c>
    </row>
    <row r="66" spans="2:5" customFormat="1">
      <c r="B66" s="129" t="s">
        <v>50</v>
      </c>
      <c r="C66" s="23" t="s">
        <v>51</v>
      </c>
      <c r="D66" s="82">
        <v>0</v>
      </c>
      <c r="E66" s="83">
        <v>0</v>
      </c>
    </row>
    <row r="67" spans="2:5" customFormat="1">
      <c r="B67" s="108" t="s">
        <v>52</v>
      </c>
      <c r="C67" s="16" t="s">
        <v>53</v>
      </c>
      <c r="D67" s="80">
        <v>0</v>
      </c>
      <c r="E67" s="81">
        <v>0</v>
      </c>
    </row>
    <row r="68" spans="2:5" customFormat="1">
      <c r="B68" s="108" t="s">
        <v>54</v>
      </c>
      <c r="C68" s="16" t="s">
        <v>55</v>
      </c>
      <c r="D68" s="80">
        <v>0</v>
      </c>
      <c r="E68" s="81">
        <v>0</v>
      </c>
    </row>
    <row r="69" spans="2:5" customFormat="1">
      <c r="B69" s="108" t="s">
        <v>56</v>
      </c>
      <c r="C69" s="16" t="s">
        <v>57</v>
      </c>
      <c r="D69" s="80">
        <v>0</v>
      </c>
      <c r="E69" s="81">
        <v>0</v>
      </c>
    </row>
    <row r="70" spans="2:5" customFormat="1">
      <c r="B70" s="135" t="s">
        <v>58</v>
      </c>
      <c r="C70" s="119" t="s">
        <v>59</v>
      </c>
      <c r="D70" s="120">
        <v>0</v>
      </c>
      <c r="E70" s="121">
        <v>0</v>
      </c>
    </row>
    <row r="71" spans="2:5" customFormat="1">
      <c r="B71" s="136" t="s">
        <v>23</v>
      </c>
      <c r="C71" s="127" t="s">
        <v>61</v>
      </c>
      <c r="D71" s="128">
        <v>0</v>
      </c>
      <c r="E71" s="68">
        <v>0</v>
      </c>
    </row>
    <row r="72" spans="2:5" customFormat="1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 customFormat="1">
      <c r="B73" s="138" t="s">
        <v>62</v>
      </c>
      <c r="C73" s="25" t="s">
        <v>65</v>
      </c>
      <c r="D73" s="26">
        <v>0</v>
      </c>
      <c r="E73" s="27">
        <v>0</v>
      </c>
    </row>
    <row r="74" spans="2:5" customFormat="1">
      <c r="B74" s="136" t="s">
        <v>64</v>
      </c>
      <c r="C74" s="127" t="s">
        <v>66</v>
      </c>
      <c r="D74" s="128">
        <f>D58</f>
        <v>20263.87</v>
      </c>
      <c r="E74" s="68">
        <f>E58+E72-E73</f>
        <v>1</v>
      </c>
    </row>
    <row r="75" spans="2:5" customFormat="1">
      <c r="B75" s="108" t="s">
        <v>4</v>
      </c>
      <c r="C75" s="16" t="s">
        <v>67</v>
      </c>
      <c r="D75" s="80">
        <f>D74</f>
        <v>20263.87</v>
      </c>
      <c r="E75" s="81">
        <f>E74</f>
        <v>1</v>
      </c>
    </row>
    <row r="76" spans="2:5" customFormat="1">
      <c r="B76" s="108" t="s">
        <v>6</v>
      </c>
      <c r="C76" s="16" t="s">
        <v>200</v>
      </c>
      <c r="D76" s="80">
        <v>0</v>
      </c>
      <c r="E76" s="81">
        <v>0</v>
      </c>
    </row>
    <row r="77" spans="2:5" customFormat="1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09" t="s">
        <v>0</v>
      </c>
      <c r="C2" s="309"/>
      <c r="D2" s="309"/>
      <c r="E2" s="309"/>
      <c r="G2" s="73"/>
    </row>
    <row r="3" spans="2:7" customFormat="1" ht="15.75">
      <c r="B3" s="309" t="s">
        <v>276</v>
      </c>
      <c r="C3" s="309"/>
      <c r="D3" s="309"/>
      <c r="E3" s="309"/>
    </row>
    <row r="4" spans="2:7" customFormat="1" ht="15">
      <c r="B4" s="153"/>
      <c r="C4" s="153"/>
      <c r="D4" s="153"/>
      <c r="E4" s="153"/>
    </row>
    <row r="5" spans="2:7" customFormat="1" ht="21" customHeight="1">
      <c r="B5" s="310" t="s">
        <v>1</v>
      </c>
      <c r="C5" s="310"/>
      <c r="D5" s="310"/>
      <c r="E5" s="310"/>
    </row>
    <row r="6" spans="2:7" customFormat="1" ht="14.25">
      <c r="B6" s="311" t="s">
        <v>271</v>
      </c>
      <c r="C6" s="311"/>
      <c r="D6" s="311"/>
      <c r="E6" s="311"/>
    </row>
    <row r="7" spans="2:7" customFormat="1" ht="14.25">
      <c r="B7" s="228"/>
      <c r="C7" s="228"/>
      <c r="D7" s="228"/>
      <c r="E7" s="228"/>
    </row>
    <row r="8" spans="2:7" customFormat="1" ht="13.5">
      <c r="B8" s="313" t="s">
        <v>18</v>
      </c>
      <c r="C8" s="315"/>
      <c r="D8" s="315"/>
      <c r="E8" s="315"/>
    </row>
    <row r="9" spans="2:7" customFormat="1" ht="16.5" thickBot="1">
      <c r="B9" s="312" t="s">
        <v>184</v>
      </c>
      <c r="C9" s="312"/>
      <c r="D9" s="312"/>
      <c r="E9" s="312"/>
    </row>
    <row r="10" spans="2:7" customFormat="1" ht="13.5" thickBot="1">
      <c r="B10" s="229"/>
      <c r="C10" s="78" t="s">
        <v>2</v>
      </c>
      <c r="D10" s="72" t="s">
        <v>229</v>
      </c>
      <c r="E10" s="30" t="s">
        <v>232</v>
      </c>
    </row>
    <row r="11" spans="2:7" customFormat="1">
      <c r="B11" s="95" t="s">
        <v>3</v>
      </c>
      <c r="C11" s="134" t="s">
        <v>190</v>
      </c>
      <c r="D11" s="232">
        <v>0</v>
      </c>
      <c r="E11" s="9">
        <f>E12</f>
        <v>25673.83</v>
      </c>
    </row>
    <row r="12" spans="2:7" customFormat="1">
      <c r="B12" s="180" t="s">
        <v>4</v>
      </c>
      <c r="C12" s="181" t="s">
        <v>5</v>
      </c>
      <c r="D12" s="235">
        <v>0</v>
      </c>
      <c r="E12" s="87">
        <v>25673.83</v>
      </c>
    </row>
    <row r="13" spans="2:7" customFormat="1">
      <c r="B13" s="180" t="s">
        <v>6</v>
      </c>
      <c r="C13" s="182" t="s">
        <v>7</v>
      </c>
      <c r="D13" s="235"/>
      <c r="E13" s="87"/>
    </row>
    <row r="14" spans="2:7" customFormat="1">
      <c r="B14" s="180" t="s">
        <v>8</v>
      </c>
      <c r="C14" s="182" t="s">
        <v>10</v>
      </c>
      <c r="D14" s="235"/>
      <c r="E14" s="87"/>
    </row>
    <row r="15" spans="2:7" customFormat="1">
      <c r="B15" s="180" t="s">
        <v>187</v>
      </c>
      <c r="C15" s="182" t="s">
        <v>11</v>
      </c>
      <c r="D15" s="235"/>
      <c r="E15" s="87"/>
    </row>
    <row r="16" spans="2:7" customFormat="1">
      <c r="B16" s="183" t="s">
        <v>188</v>
      </c>
      <c r="C16" s="184" t="s">
        <v>12</v>
      </c>
      <c r="D16" s="236"/>
      <c r="E16" s="88"/>
    </row>
    <row r="17" spans="2:6" customFormat="1">
      <c r="B17" s="10" t="s">
        <v>13</v>
      </c>
      <c r="C17" s="12" t="s">
        <v>65</v>
      </c>
      <c r="D17" s="264"/>
      <c r="E17" s="98"/>
    </row>
    <row r="18" spans="2:6" customFormat="1">
      <c r="B18" s="180" t="s">
        <v>4</v>
      </c>
      <c r="C18" s="181" t="s">
        <v>11</v>
      </c>
      <c r="D18" s="235"/>
      <c r="E18" s="88"/>
    </row>
    <row r="19" spans="2:6" customFormat="1" ht="15" customHeight="1">
      <c r="B19" s="180" t="s">
        <v>6</v>
      </c>
      <c r="C19" s="182" t="s">
        <v>189</v>
      </c>
      <c r="D19" s="235"/>
      <c r="E19" s="87"/>
    </row>
    <row r="20" spans="2:6" customFormat="1" ht="13.5" thickBot="1">
      <c r="B20" s="185" t="s">
        <v>8</v>
      </c>
      <c r="C20" s="186" t="s">
        <v>14</v>
      </c>
      <c r="D20" s="238"/>
      <c r="E20" s="89"/>
    </row>
    <row r="21" spans="2:6" customFormat="1" ht="13.5" thickBot="1">
      <c r="B21" s="319" t="s">
        <v>191</v>
      </c>
      <c r="C21" s="320"/>
      <c r="D21" s="239">
        <v>0</v>
      </c>
      <c r="E21" s="154">
        <f>E11</f>
        <v>25673.83</v>
      </c>
      <c r="F21" s="79"/>
    </row>
    <row r="22" spans="2:6" customFormat="1">
      <c r="B22" s="3"/>
      <c r="C22" s="7"/>
      <c r="D22" s="8"/>
      <c r="E22" s="8"/>
    </row>
    <row r="23" spans="2:6" customFormat="1" ht="13.5">
      <c r="B23" s="313" t="s">
        <v>185</v>
      </c>
      <c r="C23" s="325"/>
      <c r="D23" s="325"/>
      <c r="E23" s="325"/>
    </row>
    <row r="24" spans="2:6" customFormat="1" ht="15.75" customHeight="1" thickBot="1">
      <c r="B24" s="312" t="s">
        <v>186</v>
      </c>
      <c r="C24" s="326"/>
      <c r="D24" s="326"/>
      <c r="E24" s="326"/>
    </row>
    <row r="25" spans="2:6" customFormat="1" ht="13.5" thickBot="1">
      <c r="B25" s="229"/>
      <c r="C25" s="187" t="s">
        <v>2</v>
      </c>
      <c r="D25" s="72" t="s">
        <v>233</v>
      </c>
      <c r="E25" s="30" t="s">
        <v>232</v>
      </c>
    </row>
    <row r="26" spans="2:6" customFormat="1">
      <c r="B26" s="101" t="s">
        <v>15</v>
      </c>
      <c r="C26" s="102" t="s">
        <v>16</v>
      </c>
      <c r="D26" s="206"/>
      <c r="E26" s="274">
        <f>D21</f>
        <v>0</v>
      </c>
    </row>
    <row r="27" spans="2:6" customFormat="1">
      <c r="B27" s="10" t="s">
        <v>17</v>
      </c>
      <c r="C27" s="11" t="s">
        <v>192</v>
      </c>
      <c r="D27" s="207"/>
      <c r="E27" s="243">
        <f>E28-E32</f>
        <v>26812.170000000002</v>
      </c>
      <c r="F27" s="73"/>
    </row>
    <row r="28" spans="2:6" customFormat="1">
      <c r="B28" s="10" t="s">
        <v>18</v>
      </c>
      <c r="C28" s="11" t="s">
        <v>19</v>
      </c>
      <c r="D28" s="207"/>
      <c r="E28" s="244">
        <f>SUM(E29:E31)</f>
        <v>26932.45</v>
      </c>
      <c r="F28" s="73"/>
    </row>
    <row r="29" spans="2:6" customFormat="1">
      <c r="B29" s="188" t="s">
        <v>4</v>
      </c>
      <c r="C29" s="181" t="s">
        <v>20</v>
      </c>
      <c r="D29" s="208"/>
      <c r="E29" s="246"/>
      <c r="F29" s="73"/>
    </row>
    <row r="30" spans="2:6" customFormat="1">
      <c r="B30" s="188" t="s">
        <v>6</v>
      </c>
      <c r="C30" s="181" t="s">
        <v>21</v>
      </c>
      <c r="D30" s="208"/>
      <c r="E30" s="246"/>
      <c r="F30" s="73"/>
    </row>
    <row r="31" spans="2:6" customFormat="1">
      <c r="B31" s="188" t="s">
        <v>8</v>
      </c>
      <c r="C31" s="181" t="s">
        <v>22</v>
      </c>
      <c r="D31" s="208"/>
      <c r="E31" s="246">
        <v>26932.45</v>
      </c>
      <c r="F31" s="73"/>
    </row>
    <row r="32" spans="2:6" customFormat="1">
      <c r="B32" s="97" t="s">
        <v>23</v>
      </c>
      <c r="C32" s="12" t="s">
        <v>24</v>
      </c>
      <c r="D32" s="207"/>
      <c r="E32" s="244">
        <f>SUM(E33:E39)</f>
        <v>120.28</v>
      </c>
      <c r="F32" s="73"/>
    </row>
    <row r="33" spans="2:6" customFormat="1">
      <c r="B33" s="188" t="s">
        <v>4</v>
      </c>
      <c r="C33" s="181" t="s">
        <v>25</v>
      </c>
      <c r="D33" s="208"/>
      <c r="E33" s="246"/>
      <c r="F33" s="73"/>
    </row>
    <row r="34" spans="2:6" customFormat="1">
      <c r="B34" s="188" t="s">
        <v>6</v>
      </c>
      <c r="C34" s="181" t="s">
        <v>26</v>
      </c>
      <c r="D34" s="208"/>
      <c r="E34" s="246"/>
      <c r="F34" s="73"/>
    </row>
    <row r="35" spans="2:6" customFormat="1">
      <c r="B35" s="188" t="s">
        <v>8</v>
      </c>
      <c r="C35" s="181" t="s">
        <v>27</v>
      </c>
      <c r="D35" s="208"/>
      <c r="E35" s="246">
        <v>7.53</v>
      </c>
      <c r="F35" s="73"/>
    </row>
    <row r="36" spans="2:6" customFormat="1">
      <c r="B36" s="188" t="s">
        <v>9</v>
      </c>
      <c r="C36" s="181" t="s">
        <v>28</v>
      </c>
      <c r="D36" s="208"/>
      <c r="E36" s="246"/>
      <c r="F36" s="73"/>
    </row>
    <row r="37" spans="2:6" customFormat="1" ht="25.5">
      <c r="B37" s="188" t="s">
        <v>29</v>
      </c>
      <c r="C37" s="181" t="s">
        <v>30</v>
      </c>
      <c r="D37" s="208"/>
      <c r="E37" s="246">
        <v>112.75</v>
      </c>
      <c r="F37" s="73"/>
    </row>
    <row r="38" spans="2:6" customFormat="1">
      <c r="B38" s="188" t="s">
        <v>31</v>
      </c>
      <c r="C38" s="181" t="s">
        <v>32</v>
      </c>
      <c r="D38" s="208"/>
      <c r="E38" s="246"/>
      <c r="F38" s="73"/>
    </row>
    <row r="39" spans="2:6" customFormat="1">
      <c r="B39" s="189" t="s">
        <v>33</v>
      </c>
      <c r="C39" s="190" t="s">
        <v>34</v>
      </c>
      <c r="D39" s="209"/>
      <c r="E39" s="248"/>
      <c r="F39" s="73"/>
    </row>
    <row r="40" spans="2:6" customFormat="1" ht="13.5" thickBot="1">
      <c r="B40" s="103" t="s">
        <v>35</v>
      </c>
      <c r="C40" s="104" t="s">
        <v>36</v>
      </c>
      <c r="D40" s="210"/>
      <c r="E40" s="275">
        <v>-1138.3399999999999</v>
      </c>
    </row>
    <row r="41" spans="2:6" customFormat="1" ht="13.5" thickBot="1">
      <c r="B41" s="105" t="s">
        <v>37</v>
      </c>
      <c r="C41" s="106" t="s">
        <v>38</v>
      </c>
      <c r="D41" s="211"/>
      <c r="E41" s="154">
        <f>E26+E27+E40</f>
        <v>25673.83</v>
      </c>
      <c r="F41" s="79"/>
    </row>
    <row r="42" spans="2:6" customFormat="1">
      <c r="B42" s="99"/>
      <c r="C42" s="99"/>
      <c r="D42" s="100"/>
      <c r="E42" s="100"/>
      <c r="F42" s="79"/>
    </row>
    <row r="43" spans="2:6" customFormat="1" ht="13.5">
      <c r="B43" s="314" t="s">
        <v>60</v>
      </c>
      <c r="C43" s="324"/>
      <c r="D43" s="324"/>
      <c r="E43" s="324"/>
    </row>
    <row r="44" spans="2:6" customFormat="1" ht="18" customHeight="1" thickBot="1">
      <c r="B44" s="312" t="s">
        <v>210</v>
      </c>
      <c r="C44" s="323"/>
      <c r="D44" s="323"/>
      <c r="E44" s="323"/>
    </row>
    <row r="45" spans="2:6" customFormat="1" ht="13.5" thickBot="1">
      <c r="B45" s="229"/>
      <c r="C45" s="31" t="s">
        <v>39</v>
      </c>
      <c r="D45" s="72" t="s">
        <v>233</v>
      </c>
      <c r="E45" s="30" t="s">
        <v>232</v>
      </c>
    </row>
    <row r="46" spans="2:6" customFormat="1">
      <c r="B46" s="14" t="s">
        <v>18</v>
      </c>
      <c r="C46" s="32" t="s">
        <v>193</v>
      </c>
      <c r="D46" s="107"/>
      <c r="E46" s="29"/>
    </row>
    <row r="47" spans="2:6" customFormat="1">
      <c r="B47" s="191" t="s">
        <v>4</v>
      </c>
      <c r="C47" s="192" t="s">
        <v>40</v>
      </c>
      <c r="D47" s="212"/>
      <c r="E47" s="155">
        <v>160.4091</v>
      </c>
    </row>
    <row r="48" spans="2:6" customFormat="1">
      <c r="B48" s="193" t="s">
        <v>6</v>
      </c>
      <c r="C48" s="194" t="s">
        <v>41</v>
      </c>
      <c r="D48" s="213"/>
      <c r="E48" s="155">
        <v>201.28440000000001</v>
      </c>
    </row>
    <row r="49" spans="2:5" customFormat="1">
      <c r="B49" s="126" t="s">
        <v>23</v>
      </c>
      <c r="C49" s="130" t="s">
        <v>194</v>
      </c>
      <c r="D49" s="214"/>
      <c r="E49" s="155"/>
    </row>
    <row r="50" spans="2:5" customFormat="1">
      <c r="B50" s="191" t="s">
        <v>4</v>
      </c>
      <c r="C50" s="192" t="s">
        <v>40</v>
      </c>
      <c r="D50" s="212"/>
      <c r="E50" s="155">
        <v>149.47999999999999</v>
      </c>
    </row>
    <row r="51" spans="2:5" customFormat="1">
      <c r="B51" s="191" t="s">
        <v>6</v>
      </c>
      <c r="C51" s="192" t="s">
        <v>195</v>
      </c>
      <c r="D51" s="215"/>
      <c r="E51" s="77">
        <v>127.35</v>
      </c>
    </row>
    <row r="52" spans="2:5" customFormat="1">
      <c r="B52" s="191" t="s">
        <v>8</v>
      </c>
      <c r="C52" s="192" t="s">
        <v>196</v>
      </c>
      <c r="D52" s="215"/>
      <c r="E52" s="77">
        <v>136.74</v>
      </c>
    </row>
    <row r="53" spans="2:5" customFormat="1" ht="13.5" customHeight="1" thickBot="1">
      <c r="B53" s="195" t="s">
        <v>9</v>
      </c>
      <c r="C53" s="196" t="s">
        <v>41</v>
      </c>
      <c r="D53" s="216"/>
      <c r="E53" s="281">
        <v>127.55</v>
      </c>
    </row>
    <row r="54" spans="2:5" customFormat="1">
      <c r="B54" s="115"/>
      <c r="C54" s="116"/>
      <c r="D54" s="117"/>
      <c r="E54" s="117"/>
    </row>
    <row r="55" spans="2:5" customFormat="1" ht="13.5">
      <c r="B55" s="314" t="s">
        <v>62</v>
      </c>
      <c r="C55" s="315"/>
      <c r="D55" s="315"/>
      <c r="E55" s="315"/>
    </row>
    <row r="56" spans="2:5" customFormat="1" ht="17.25" customHeight="1" thickBot="1">
      <c r="B56" s="312" t="s">
        <v>197</v>
      </c>
      <c r="C56" s="316"/>
      <c r="D56" s="316"/>
      <c r="E56" s="316"/>
    </row>
    <row r="57" spans="2:5" customFormat="1" ht="23.25" thickBot="1">
      <c r="B57" s="307" t="s">
        <v>42</v>
      </c>
      <c r="C57" s="308"/>
      <c r="D57" s="19" t="s">
        <v>211</v>
      </c>
      <c r="E57" s="20" t="s">
        <v>198</v>
      </c>
    </row>
    <row r="58" spans="2:5" customFormat="1">
      <c r="B58" s="21" t="s">
        <v>18</v>
      </c>
      <c r="C58" s="132" t="s">
        <v>43</v>
      </c>
      <c r="D58" s="133">
        <f>D64</f>
        <v>25673.83</v>
      </c>
      <c r="E58" s="33">
        <f>D58/E21</f>
        <v>1</v>
      </c>
    </row>
    <row r="59" spans="2:5" customFormat="1" ht="25.5">
      <c r="B59" s="129" t="s">
        <v>4</v>
      </c>
      <c r="C59" s="23" t="s">
        <v>44</v>
      </c>
      <c r="D59" s="82">
        <v>0</v>
      </c>
      <c r="E59" s="83">
        <v>0</v>
      </c>
    </row>
    <row r="60" spans="2:5" customFormat="1" ht="25.5">
      <c r="B60" s="108" t="s">
        <v>6</v>
      </c>
      <c r="C60" s="16" t="s">
        <v>45</v>
      </c>
      <c r="D60" s="80">
        <v>0</v>
      </c>
      <c r="E60" s="81">
        <v>0</v>
      </c>
    </row>
    <row r="61" spans="2:5" customFormat="1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 customFormat="1">
      <c r="B62" s="108" t="s">
        <v>9</v>
      </c>
      <c r="C62" s="16" t="s">
        <v>47</v>
      </c>
      <c r="D62" s="80">
        <v>0</v>
      </c>
      <c r="E62" s="81">
        <v>0</v>
      </c>
    </row>
    <row r="63" spans="2:5" customFormat="1">
      <c r="B63" s="108" t="s">
        <v>29</v>
      </c>
      <c r="C63" s="16" t="s">
        <v>48</v>
      </c>
      <c r="D63" s="80">
        <v>0</v>
      </c>
      <c r="E63" s="81">
        <v>0</v>
      </c>
    </row>
    <row r="64" spans="2:5" customFormat="1">
      <c r="B64" s="129" t="s">
        <v>31</v>
      </c>
      <c r="C64" s="23" t="s">
        <v>49</v>
      </c>
      <c r="D64" s="82">
        <f>E21</f>
        <v>25673.83</v>
      </c>
      <c r="E64" s="83">
        <f>E58</f>
        <v>1</v>
      </c>
    </row>
    <row r="65" spans="2:5" customFormat="1">
      <c r="B65" s="129" t="s">
        <v>33</v>
      </c>
      <c r="C65" s="23" t="s">
        <v>199</v>
      </c>
      <c r="D65" s="82">
        <v>0</v>
      </c>
      <c r="E65" s="83">
        <v>0</v>
      </c>
    </row>
    <row r="66" spans="2:5" customFormat="1">
      <c r="B66" s="129" t="s">
        <v>50</v>
      </c>
      <c r="C66" s="23" t="s">
        <v>51</v>
      </c>
      <c r="D66" s="82">
        <v>0</v>
      </c>
      <c r="E66" s="83">
        <v>0</v>
      </c>
    </row>
    <row r="67" spans="2:5" customFormat="1">
      <c r="B67" s="108" t="s">
        <v>52</v>
      </c>
      <c r="C67" s="16" t="s">
        <v>53</v>
      </c>
      <c r="D67" s="80">
        <v>0</v>
      </c>
      <c r="E67" s="81">
        <v>0</v>
      </c>
    </row>
    <row r="68" spans="2:5" customFormat="1">
      <c r="B68" s="108" t="s">
        <v>54</v>
      </c>
      <c r="C68" s="16" t="s">
        <v>55</v>
      </c>
      <c r="D68" s="80">
        <v>0</v>
      </c>
      <c r="E68" s="81">
        <v>0</v>
      </c>
    </row>
    <row r="69" spans="2:5" customFormat="1">
      <c r="B69" s="108" t="s">
        <v>56</v>
      </c>
      <c r="C69" s="16" t="s">
        <v>57</v>
      </c>
      <c r="D69" s="80">
        <v>0</v>
      </c>
      <c r="E69" s="81">
        <v>0</v>
      </c>
    </row>
    <row r="70" spans="2:5" customFormat="1">
      <c r="B70" s="135" t="s">
        <v>58</v>
      </c>
      <c r="C70" s="119" t="s">
        <v>59</v>
      </c>
      <c r="D70" s="120">
        <v>0</v>
      </c>
      <c r="E70" s="121">
        <v>0</v>
      </c>
    </row>
    <row r="71" spans="2:5" customFormat="1">
      <c r="B71" s="136" t="s">
        <v>23</v>
      </c>
      <c r="C71" s="127" t="s">
        <v>61</v>
      </c>
      <c r="D71" s="128">
        <v>0</v>
      </c>
      <c r="E71" s="68">
        <v>0</v>
      </c>
    </row>
    <row r="72" spans="2:5" customFormat="1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 customFormat="1">
      <c r="B73" s="138" t="s">
        <v>62</v>
      </c>
      <c r="C73" s="25" t="s">
        <v>65</v>
      </c>
      <c r="D73" s="26">
        <v>0</v>
      </c>
      <c r="E73" s="27">
        <v>0</v>
      </c>
    </row>
    <row r="74" spans="2:5" customFormat="1">
      <c r="B74" s="136" t="s">
        <v>64</v>
      </c>
      <c r="C74" s="127" t="s">
        <v>66</v>
      </c>
      <c r="D74" s="128">
        <f>D58</f>
        <v>25673.83</v>
      </c>
      <c r="E74" s="68">
        <f>E58+E72-E73</f>
        <v>1</v>
      </c>
    </row>
    <row r="75" spans="2:5" customFormat="1">
      <c r="B75" s="108" t="s">
        <v>4</v>
      </c>
      <c r="C75" s="16" t="s">
        <v>67</v>
      </c>
      <c r="D75" s="80">
        <f>D74</f>
        <v>25673.83</v>
      </c>
      <c r="E75" s="81">
        <f>E74</f>
        <v>1</v>
      </c>
    </row>
    <row r="76" spans="2:5" customFormat="1">
      <c r="B76" s="108" t="s">
        <v>6</v>
      </c>
      <c r="C76" s="16" t="s">
        <v>200</v>
      </c>
      <c r="D76" s="80">
        <v>0</v>
      </c>
      <c r="E76" s="81">
        <v>0</v>
      </c>
    </row>
    <row r="77" spans="2:5" customFormat="1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241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62665.32</v>
      </c>
      <c r="E11" s="9">
        <f>E12</f>
        <v>79929.820000000007</v>
      </c>
    </row>
    <row r="12" spans="2:5">
      <c r="B12" s="180" t="s">
        <v>4</v>
      </c>
      <c r="C12" s="181" t="s">
        <v>5</v>
      </c>
      <c r="D12" s="235">
        <v>62665.32</v>
      </c>
      <c r="E12" s="87">
        <v>79929.820000000007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62665.32</v>
      </c>
      <c r="E21" s="154">
        <f>E11</f>
        <v>79929.820000000007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7702.11</v>
      </c>
      <c r="E26" s="274">
        <f>D21</f>
        <v>62665.32</v>
      </c>
    </row>
    <row r="27" spans="2:6">
      <c r="B27" s="10" t="s">
        <v>17</v>
      </c>
      <c r="C27" s="11" t="s">
        <v>192</v>
      </c>
      <c r="D27" s="207">
        <v>41266.049999999988</v>
      </c>
      <c r="E27" s="243">
        <f>E28-E32</f>
        <v>24751.190000000002</v>
      </c>
      <c r="F27" s="73"/>
    </row>
    <row r="28" spans="2:6">
      <c r="B28" s="10" t="s">
        <v>18</v>
      </c>
      <c r="C28" s="11" t="s">
        <v>19</v>
      </c>
      <c r="D28" s="207">
        <v>69047.489999999991</v>
      </c>
      <c r="E28" s="244">
        <f>SUM(E29:E31)</f>
        <v>43722.560000000005</v>
      </c>
      <c r="F28" s="73"/>
    </row>
    <row r="29" spans="2:6">
      <c r="B29" s="188" t="s">
        <v>4</v>
      </c>
      <c r="C29" s="181" t="s">
        <v>20</v>
      </c>
      <c r="D29" s="208">
        <v>4027.22</v>
      </c>
      <c r="E29" s="246">
        <v>9849.76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65020.27</v>
      </c>
      <c r="E31" s="246">
        <v>33872.800000000003</v>
      </c>
      <c r="F31" s="73"/>
    </row>
    <row r="32" spans="2:6">
      <c r="B32" s="97" t="s">
        <v>23</v>
      </c>
      <c r="C32" s="12" t="s">
        <v>24</v>
      </c>
      <c r="D32" s="207">
        <v>27781.439999999999</v>
      </c>
      <c r="E32" s="244">
        <f>SUM(E33:E39)</f>
        <v>18971.370000000003</v>
      </c>
      <c r="F32" s="73"/>
    </row>
    <row r="33" spans="2:6">
      <c r="B33" s="188" t="s">
        <v>4</v>
      </c>
      <c r="C33" s="181" t="s">
        <v>25</v>
      </c>
      <c r="D33" s="208">
        <v>289.14</v>
      </c>
      <c r="E33" s="246">
        <v>2411.48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153.5</v>
      </c>
      <c r="E35" s="246">
        <v>266.74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345.8</v>
      </c>
      <c r="E37" s="246">
        <v>541.97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26993</v>
      </c>
      <c r="E39" s="248">
        <v>15751.18</v>
      </c>
      <c r="F39" s="73"/>
    </row>
    <row r="40" spans="2:6" ht="13.5" thickBot="1">
      <c r="B40" s="103" t="s">
        <v>35</v>
      </c>
      <c r="C40" s="104" t="s">
        <v>36</v>
      </c>
      <c r="D40" s="210">
        <v>6656.56</v>
      </c>
      <c r="E40" s="275">
        <v>-7486.69</v>
      </c>
    </row>
    <row r="41" spans="2:6" ht="13.5" thickBot="1">
      <c r="B41" s="105" t="s">
        <v>37</v>
      </c>
      <c r="C41" s="106" t="s">
        <v>38</v>
      </c>
      <c r="D41" s="211">
        <v>55624.719999999987</v>
      </c>
      <c r="E41" s="154">
        <f>E26+E27+E40</f>
        <v>79929.820000000007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1199.7049999999999</v>
      </c>
      <c r="E47" s="155">
        <v>7942.3720000000003</v>
      </c>
    </row>
    <row r="48" spans="2:6">
      <c r="B48" s="193" t="s">
        <v>6</v>
      </c>
      <c r="C48" s="194" t="s">
        <v>41</v>
      </c>
      <c r="D48" s="213">
        <v>7578.3</v>
      </c>
      <c r="E48" s="155">
        <v>10743.254999999999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6.42</v>
      </c>
      <c r="E50" s="155">
        <v>7.89</v>
      </c>
    </row>
    <row r="51" spans="2:5">
      <c r="B51" s="191" t="s">
        <v>6</v>
      </c>
      <c r="C51" s="192" t="s">
        <v>195</v>
      </c>
      <c r="D51" s="215">
        <v>6.42</v>
      </c>
      <c r="E51" s="77">
        <v>7.34</v>
      </c>
    </row>
    <row r="52" spans="2:5">
      <c r="B52" s="191" t="s">
        <v>8</v>
      </c>
      <c r="C52" s="192" t="s">
        <v>196</v>
      </c>
      <c r="D52" s="215">
        <v>7.45</v>
      </c>
      <c r="E52" s="77">
        <v>8.6999999999999993</v>
      </c>
    </row>
    <row r="53" spans="2:5" ht="13.5" customHeight="1" thickBot="1">
      <c r="B53" s="195" t="s">
        <v>9</v>
      </c>
      <c r="C53" s="196" t="s">
        <v>41</v>
      </c>
      <c r="D53" s="216">
        <v>7.34</v>
      </c>
      <c r="E53" s="281">
        <v>7.44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79929.820000000007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79929.820000000007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79929.820000000007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79929.820000000007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242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51498.74</v>
      </c>
      <c r="E11" s="9">
        <f>E12</f>
        <v>36567.93</v>
      </c>
    </row>
    <row r="12" spans="2:7">
      <c r="B12" s="180" t="s">
        <v>4</v>
      </c>
      <c r="C12" s="181" t="s">
        <v>5</v>
      </c>
      <c r="D12" s="235">
        <v>51498.74</v>
      </c>
      <c r="E12" s="87">
        <v>36567.93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51498.74</v>
      </c>
      <c r="E21" s="154">
        <f>E11</f>
        <v>36567.93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51862.78</v>
      </c>
      <c r="E26" s="274">
        <f>D21</f>
        <v>51498.74</v>
      </c>
    </row>
    <row r="27" spans="2:6">
      <c r="B27" s="10" t="s">
        <v>17</v>
      </c>
      <c r="C27" s="11" t="s">
        <v>192</v>
      </c>
      <c r="D27" s="207">
        <v>-515.6</v>
      </c>
      <c r="E27" s="243">
        <f>E28-E32</f>
        <v>-13957.369999999999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515.6</v>
      </c>
      <c r="E32" s="244">
        <f>SUM(E33:E39)</f>
        <v>13957.369999999999</v>
      </c>
      <c r="F32" s="73"/>
    </row>
    <row r="33" spans="2:6">
      <c r="B33" s="188" t="s">
        <v>4</v>
      </c>
      <c r="C33" s="181" t="s">
        <v>25</v>
      </c>
      <c r="D33" s="208"/>
      <c r="E33" s="246">
        <v>13462.57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147.9</v>
      </c>
      <c r="E35" s="246">
        <v>147.74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367.7</v>
      </c>
      <c r="E37" s="246">
        <v>347.06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1647.84</v>
      </c>
      <c r="E40" s="275">
        <v>-973.44</v>
      </c>
    </row>
    <row r="41" spans="2:6" ht="13.5" thickBot="1">
      <c r="B41" s="105" t="s">
        <v>37</v>
      </c>
      <c r="C41" s="106" t="s">
        <v>38</v>
      </c>
      <c r="D41" s="211">
        <v>52995.02</v>
      </c>
      <c r="E41" s="154">
        <f>E26+E27+E40</f>
        <v>36567.929999999993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5165.616</v>
      </c>
      <c r="E47" s="155">
        <v>4826.4989999999998</v>
      </c>
    </row>
    <row r="48" spans="2:6">
      <c r="B48" s="193" t="s">
        <v>6</v>
      </c>
      <c r="C48" s="194" t="s">
        <v>41</v>
      </c>
      <c r="D48" s="213">
        <v>5115.3490000000002</v>
      </c>
      <c r="E48" s="155">
        <v>3499.3229999999999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10.039999999999999</v>
      </c>
      <c r="E50" s="155">
        <v>10.67</v>
      </c>
    </row>
    <row r="51" spans="2:5">
      <c r="B51" s="191" t="s">
        <v>6</v>
      </c>
      <c r="C51" s="192" t="s">
        <v>195</v>
      </c>
      <c r="D51" s="215">
        <v>10.039999999999999</v>
      </c>
      <c r="E51" s="155">
        <v>10.32</v>
      </c>
    </row>
    <row r="52" spans="2:5">
      <c r="B52" s="191" t="s">
        <v>8</v>
      </c>
      <c r="C52" s="192" t="s">
        <v>196</v>
      </c>
      <c r="D52" s="215">
        <v>10.47</v>
      </c>
      <c r="E52" s="77">
        <v>10.87</v>
      </c>
    </row>
    <row r="53" spans="2:5" ht="12.75" customHeight="1" thickBot="1">
      <c r="B53" s="195" t="s">
        <v>9</v>
      </c>
      <c r="C53" s="196" t="s">
        <v>41</v>
      </c>
      <c r="D53" s="216">
        <v>10.36</v>
      </c>
      <c r="E53" s="281">
        <v>10.45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36567.93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36567.93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36567.93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36567.93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243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4421637.0599999996</v>
      </c>
      <c r="E11" s="9">
        <f>E12</f>
        <v>2473069.46</v>
      </c>
    </row>
    <row r="12" spans="2:7">
      <c r="B12" s="180" t="s">
        <v>4</v>
      </c>
      <c r="C12" s="181" t="s">
        <v>5</v>
      </c>
      <c r="D12" s="235">
        <v>4421637.0599999996</v>
      </c>
      <c r="E12" s="87">
        <v>2473069.46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4421637.0599999996</v>
      </c>
      <c r="E21" s="154">
        <f>E11</f>
        <v>2473069.46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8930425.0099999998</v>
      </c>
      <c r="E26" s="274">
        <f>D21</f>
        <v>4421637.0599999996</v>
      </c>
    </row>
    <row r="27" spans="2:6">
      <c r="B27" s="10" t="s">
        <v>17</v>
      </c>
      <c r="C27" s="11" t="s">
        <v>192</v>
      </c>
      <c r="D27" s="207">
        <v>-4822692.34</v>
      </c>
      <c r="E27" s="243">
        <f>E28-E32</f>
        <v>-1825987.23</v>
      </c>
      <c r="F27" s="73"/>
    </row>
    <row r="28" spans="2:6">
      <c r="B28" s="10" t="s">
        <v>18</v>
      </c>
      <c r="C28" s="11" t="s">
        <v>19</v>
      </c>
      <c r="D28" s="207">
        <v>191048.5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191048.5</v>
      </c>
      <c r="E31" s="246"/>
      <c r="F31" s="73"/>
    </row>
    <row r="32" spans="2:6">
      <c r="B32" s="97" t="s">
        <v>23</v>
      </c>
      <c r="C32" s="12" t="s">
        <v>24</v>
      </c>
      <c r="D32" s="207">
        <v>5013740.84</v>
      </c>
      <c r="E32" s="244">
        <f>SUM(E33:E39)</f>
        <v>1825987.23</v>
      </c>
      <c r="F32" s="73"/>
    </row>
    <row r="33" spans="2:6">
      <c r="B33" s="188" t="s">
        <v>4</v>
      </c>
      <c r="C33" s="181" t="s">
        <v>25</v>
      </c>
      <c r="D33" s="208">
        <v>379857.96</v>
      </c>
      <c r="E33" s="246">
        <v>695068.11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2762.18</v>
      </c>
      <c r="E35" s="246">
        <v>2499.6799999999998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65486.96</v>
      </c>
      <c r="E37" s="246">
        <v>29812.51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4565633.74</v>
      </c>
      <c r="E39" s="248">
        <v>1098606.93</v>
      </c>
      <c r="F39" s="73"/>
    </row>
    <row r="40" spans="2:6" ht="13.5" thickBot="1">
      <c r="B40" s="103" t="s">
        <v>35</v>
      </c>
      <c r="C40" s="104" t="s">
        <v>36</v>
      </c>
      <c r="D40" s="210">
        <v>192844.08</v>
      </c>
      <c r="E40" s="275">
        <v>-122580.37</v>
      </c>
    </row>
    <row r="41" spans="2:6" ht="13.5" thickBot="1">
      <c r="B41" s="105" t="s">
        <v>37</v>
      </c>
      <c r="C41" s="106" t="s">
        <v>38</v>
      </c>
      <c r="D41" s="211">
        <v>4300576.75</v>
      </c>
      <c r="E41" s="154">
        <f>E26+E27+E40</f>
        <v>2473069.4599999995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496686.59700000001</v>
      </c>
      <c r="E47" s="155">
        <v>237978.31299999999</v>
      </c>
    </row>
    <row r="48" spans="2:6">
      <c r="B48" s="193" t="s">
        <v>6</v>
      </c>
      <c r="C48" s="194" t="s">
        <v>41</v>
      </c>
      <c r="D48" s="213">
        <v>234108.696</v>
      </c>
      <c r="E48" s="155">
        <v>138160.30499999999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17.98</v>
      </c>
      <c r="E50" s="155">
        <v>18.579999999999998</v>
      </c>
    </row>
    <row r="51" spans="2:5">
      <c r="B51" s="191" t="s">
        <v>6</v>
      </c>
      <c r="C51" s="192" t="s">
        <v>195</v>
      </c>
      <c r="D51" s="215">
        <v>17.98</v>
      </c>
      <c r="E51" s="155">
        <v>17.89</v>
      </c>
    </row>
    <row r="52" spans="2:5">
      <c r="B52" s="191" t="s">
        <v>8</v>
      </c>
      <c r="C52" s="192" t="s">
        <v>196</v>
      </c>
      <c r="D52" s="215">
        <v>18.399999999999999</v>
      </c>
      <c r="E52" s="77">
        <v>18.66</v>
      </c>
    </row>
    <row r="53" spans="2:5" ht="12.75" customHeight="1" thickBot="1">
      <c r="B53" s="195" t="s">
        <v>9</v>
      </c>
      <c r="C53" s="196" t="s">
        <v>41</v>
      </c>
      <c r="D53" s="216">
        <v>18.37</v>
      </c>
      <c r="E53" s="281">
        <v>17.899999999999999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2473069.46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2473069.46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2473069.46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2473069.46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244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293037.65000000002</v>
      </c>
      <c r="E11" s="9">
        <f>E12</f>
        <v>426603.55</v>
      </c>
    </row>
    <row r="12" spans="2:7">
      <c r="B12" s="180" t="s">
        <v>4</v>
      </c>
      <c r="C12" s="181" t="s">
        <v>5</v>
      </c>
      <c r="D12" s="235">
        <v>293037.65000000002</v>
      </c>
      <c r="E12" s="87">
        <v>426603.55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293037.65000000002</v>
      </c>
      <c r="E21" s="154">
        <f>E11</f>
        <v>426603.55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493752.73</v>
      </c>
      <c r="E26" s="274">
        <f>D21</f>
        <v>293037.65000000002</v>
      </c>
    </row>
    <row r="27" spans="2:6">
      <c r="B27" s="10" t="s">
        <v>17</v>
      </c>
      <c r="C27" s="11" t="s">
        <v>192</v>
      </c>
      <c r="D27" s="207">
        <v>-97131.56</v>
      </c>
      <c r="E27" s="243">
        <f>E28-E32</f>
        <v>130001.29999999999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173407.65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173407.65</v>
      </c>
      <c r="F31" s="73"/>
    </row>
    <row r="32" spans="2:6">
      <c r="B32" s="97" t="s">
        <v>23</v>
      </c>
      <c r="C32" s="12" t="s">
        <v>24</v>
      </c>
      <c r="D32" s="207">
        <v>97131.56</v>
      </c>
      <c r="E32" s="244">
        <f>SUM(E33:E39)</f>
        <v>43406.350000000006</v>
      </c>
      <c r="F32" s="73"/>
    </row>
    <row r="33" spans="2:6">
      <c r="B33" s="188" t="s">
        <v>4</v>
      </c>
      <c r="C33" s="181" t="s">
        <v>25</v>
      </c>
      <c r="D33" s="208">
        <v>50544</v>
      </c>
      <c r="E33" s="246">
        <v>39787.11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939.83</v>
      </c>
      <c r="E35" s="246">
        <v>1014.83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3105.44</v>
      </c>
      <c r="E37" s="246">
        <v>2604.41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42542.29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4684.3599999999997</v>
      </c>
      <c r="E40" s="275">
        <v>3564.6</v>
      </c>
    </row>
    <row r="41" spans="2:6" ht="13.5" thickBot="1">
      <c r="B41" s="105" t="s">
        <v>37</v>
      </c>
      <c r="C41" s="106" t="s">
        <v>38</v>
      </c>
      <c r="D41" s="211">
        <v>401305.52999999997</v>
      </c>
      <c r="E41" s="154">
        <f>E26+E27+E40</f>
        <v>426603.55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40907.434000000001</v>
      </c>
      <c r="E47" s="155">
        <v>23727.744999999999</v>
      </c>
    </row>
    <row r="48" spans="2:6">
      <c r="B48" s="193" t="s">
        <v>6</v>
      </c>
      <c r="C48" s="194" t="s">
        <v>41</v>
      </c>
      <c r="D48" s="213">
        <v>32893.896000000001</v>
      </c>
      <c r="E48" s="155">
        <v>34210.389000000003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12.07</v>
      </c>
      <c r="E50" s="155">
        <v>12.35</v>
      </c>
    </row>
    <row r="51" spans="2:5">
      <c r="B51" s="191" t="s">
        <v>6</v>
      </c>
      <c r="C51" s="192" t="s">
        <v>195</v>
      </c>
      <c r="D51" s="215">
        <v>12.07</v>
      </c>
      <c r="E51" s="155">
        <v>12.35</v>
      </c>
    </row>
    <row r="52" spans="2:5">
      <c r="B52" s="191" t="s">
        <v>8</v>
      </c>
      <c r="C52" s="192" t="s">
        <v>196</v>
      </c>
      <c r="D52" s="215">
        <v>12.2</v>
      </c>
      <c r="E52" s="77">
        <v>12.47</v>
      </c>
    </row>
    <row r="53" spans="2:5" ht="13.5" customHeight="1" thickBot="1">
      <c r="B53" s="195" t="s">
        <v>9</v>
      </c>
      <c r="C53" s="196" t="s">
        <v>41</v>
      </c>
      <c r="D53" s="216">
        <v>12.2</v>
      </c>
      <c r="E53" s="281">
        <v>12.47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426603.55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426603.55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426603.55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426603.55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245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868336.04</v>
      </c>
      <c r="E11" s="9">
        <f>E12</f>
        <v>844147.52</v>
      </c>
    </row>
    <row r="12" spans="2:7">
      <c r="B12" s="180" t="s">
        <v>4</v>
      </c>
      <c r="C12" s="181" t="s">
        <v>5</v>
      </c>
      <c r="D12" s="235">
        <v>868336.04</v>
      </c>
      <c r="E12" s="87">
        <v>844147.52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868336.04</v>
      </c>
      <c r="E21" s="154">
        <f>E11</f>
        <v>844147.52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1027197.07</v>
      </c>
      <c r="E26" s="274">
        <f>D21</f>
        <v>868336.04</v>
      </c>
    </row>
    <row r="27" spans="2:6">
      <c r="B27" s="10" t="s">
        <v>17</v>
      </c>
      <c r="C27" s="11" t="s">
        <v>192</v>
      </c>
      <c r="D27" s="207">
        <v>-8872.7200000000012</v>
      </c>
      <c r="E27" s="243">
        <f>E28-E32</f>
        <v>-6860.62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8872.7200000000012</v>
      </c>
      <c r="E32" s="244">
        <f>SUM(E33:E39)</f>
        <v>6860.62</v>
      </c>
      <c r="F32" s="73"/>
    </row>
    <row r="33" spans="2:6">
      <c r="B33" s="188" t="s">
        <v>4</v>
      </c>
      <c r="C33" s="181" t="s">
        <v>25</v>
      </c>
      <c r="D33" s="208">
        <v>439.57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51.37</v>
      </c>
      <c r="E35" s="246">
        <v>26.33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8381.7800000000007</v>
      </c>
      <c r="E37" s="246">
        <v>6834.29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31382.03</v>
      </c>
      <c r="E40" s="275">
        <v>-17327.900000000001</v>
      </c>
    </row>
    <row r="41" spans="2:6" ht="13.5" thickBot="1">
      <c r="B41" s="105" t="s">
        <v>37</v>
      </c>
      <c r="C41" s="106" t="s">
        <v>38</v>
      </c>
      <c r="D41" s="211">
        <v>1049706.3799999999</v>
      </c>
      <c r="E41" s="154">
        <f>E26+E27+E40</f>
        <v>844147.52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89789.953999999998</v>
      </c>
      <c r="E47" s="155">
        <v>72482.14</v>
      </c>
    </row>
    <row r="48" spans="2:6">
      <c r="B48" s="193" t="s">
        <v>6</v>
      </c>
      <c r="C48" s="194" t="s">
        <v>41</v>
      </c>
      <c r="D48" s="213">
        <v>89033.62</v>
      </c>
      <c r="E48" s="155">
        <v>71903.536999999997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11.44</v>
      </c>
      <c r="E50" s="155">
        <v>11.98</v>
      </c>
    </row>
    <row r="51" spans="2:5">
      <c r="B51" s="191" t="s">
        <v>6</v>
      </c>
      <c r="C51" s="192" t="s">
        <v>195</v>
      </c>
      <c r="D51" s="215">
        <v>11.44</v>
      </c>
      <c r="E51" s="155">
        <v>11.6</v>
      </c>
    </row>
    <row r="52" spans="2:5">
      <c r="B52" s="191" t="s">
        <v>8</v>
      </c>
      <c r="C52" s="192" t="s">
        <v>196</v>
      </c>
      <c r="D52" s="215">
        <v>12.03</v>
      </c>
      <c r="E52" s="77">
        <v>12.2</v>
      </c>
    </row>
    <row r="53" spans="2:5" ht="13.5" customHeight="1" thickBot="1">
      <c r="B53" s="195" t="s">
        <v>9</v>
      </c>
      <c r="C53" s="196" t="s">
        <v>41</v>
      </c>
      <c r="D53" s="216">
        <v>11.79</v>
      </c>
      <c r="E53" s="281">
        <v>11.74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844147.52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844147.52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844147.52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844147.52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105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499622.63</v>
      </c>
      <c r="E11" s="9">
        <f>E12+E13+E14</f>
        <v>505710.27</v>
      </c>
    </row>
    <row r="12" spans="2:7">
      <c r="B12" s="112" t="s">
        <v>4</v>
      </c>
      <c r="C12" s="6" t="s">
        <v>5</v>
      </c>
      <c r="D12" s="235">
        <v>498350.51</v>
      </c>
      <c r="E12" s="87">
        <f>492018.31+11823.62+0.16-561.35</f>
        <v>503280.74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>
        <v>1272.1199999999999</v>
      </c>
      <c r="E14" s="87">
        <f>E15</f>
        <v>2429.5300000000002</v>
      </c>
    </row>
    <row r="15" spans="2:7">
      <c r="B15" s="112" t="s">
        <v>187</v>
      </c>
      <c r="C15" s="70" t="s">
        <v>11</v>
      </c>
      <c r="D15" s="235">
        <v>1272.1199999999999</v>
      </c>
      <c r="E15" s="87">
        <v>2429.5300000000002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727.82</v>
      </c>
      <c r="E17" s="98">
        <f>E18</f>
        <v>704.75</v>
      </c>
    </row>
    <row r="18" spans="2:6">
      <c r="B18" s="112" t="s">
        <v>4</v>
      </c>
      <c r="C18" s="6" t="s">
        <v>11</v>
      </c>
      <c r="D18" s="235">
        <v>727.82</v>
      </c>
      <c r="E18" s="88">
        <v>704.75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498894.81</v>
      </c>
      <c r="E21" s="154">
        <f>E11-E17</f>
        <v>505005.52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6.5" customHeight="1" thickBot="1">
      <c r="B24" s="312" t="s">
        <v>186</v>
      </c>
      <c r="C24" s="322"/>
      <c r="D24" s="322"/>
      <c r="E24" s="322"/>
    </row>
    <row r="25" spans="2:6" ht="13.5" thickBot="1">
      <c r="B25" s="9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330300.45</v>
      </c>
      <c r="E26" s="274">
        <f>D21</f>
        <v>498894.81</v>
      </c>
    </row>
    <row r="27" spans="2:6">
      <c r="B27" s="10" t="s">
        <v>17</v>
      </c>
      <c r="C27" s="11" t="s">
        <v>192</v>
      </c>
      <c r="D27" s="207">
        <v>63507.48000000001</v>
      </c>
      <c r="E27" s="243">
        <f>E28-E32</f>
        <v>5408.2299999999959</v>
      </c>
      <c r="F27" s="73"/>
    </row>
    <row r="28" spans="2:6">
      <c r="B28" s="10" t="s">
        <v>18</v>
      </c>
      <c r="C28" s="11" t="s">
        <v>19</v>
      </c>
      <c r="D28" s="207">
        <v>84976.760000000009</v>
      </c>
      <c r="E28" s="244">
        <f>SUM(E29:E31)</f>
        <v>83312.689999999988</v>
      </c>
      <c r="F28" s="73"/>
    </row>
    <row r="29" spans="2:6">
      <c r="B29" s="110" t="s">
        <v>4</v>
      </c>
      <c r="C29" s="6" t="s">
        <v>20</v>
      </c>
      <c r="D29" s="208">
        <v>83360.02</v>
      </c>
      <c r="E29" s="246">
        <v>72396.039999999994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1616.74</v>
      </c>
      <c r="E31" s="246">
        <v>10916.65</v>
      </c>
      <c r="F31" s="73"/>
    </row>
    <row r="32" spans="2:6">
      <c r="B32" s="97" t="s">
        <v>23</v>
      </c>
      <c r="C32" s="12" t="s">
        <v>24</v>
      </c>
      <c r="D32" s="207">
        <v>21469.280000000002</v>
      </c>
      <c r="E32" s="244">
        <f>SUM(E33:E39)</f>
        <v>77904.459999999992</v>
      </c>
      <c r="F32" s="73"/>
    </row>
    <row r="33" spans="2:6">
      <c r="B33" s="110" t="s">
        <v>4</v>
      </c>
      <c r="C33" s="6" t="s">
        <v>25</v>
      </c>
      <c r="D33" s="208">
        <v>12874.2</v>
      </c>
      <c r="E33" s="246">
        <f>61232.26+561.35</f>
        <v>61793.61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6318.22</v>
      </c>
      <c r="E35" s="246">
        <v>7104.84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2276.86</v>
      </c>
      <c r="E39" s="248">
        <v>9006.01</v>
      </c>
      <c r="F39" s="73"/>
    </row>
    <row r="40" spans="2:6" ht="13.5" thickBot="1">
      <c r="B40" s="103" t="s">
        <v>35</v>
      </c>
      <c r="C40" s="104" t="s">
        <v>36</v>
      </c>
      <c r="D40" s="210">
        <v>20536.68</v>
      </c>
      <c r="E40" s="275">
        <v>702.48</v>
      </c>
    </row>
    <row r="41" spans="2:6" ht="13.5" thickBot="1">
      <c r="B41" s="105" t="s">
        <v>37</v>
      </c>
      <c r="C41" s="106" t="s">
        <v>38</v>
      </c>
      <c r="D41" s="211">
        <v>414344.61000000004</v>
      </c>
      <c r="E41" s="154">
        <f>E26+E27+E40</f>
        <v>505005.51999999996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6.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31299.363300000001</v>
      </c>
      <c r="E47" s="75">
        <v>42123.054300000003</v>
      </c>
    </row>
    <row r="48" spans="2:6">
      <c r="B48" s="129" t="s">
        <v>6</v>
      </c>
      <c r="C48" s="23" t="s">
        <v>41</v>
      </c>
      <c r="D48" s="213">
        <v>37101.135499999997</v>
      </c>
      <c r="E48" s="75">
        <v>42589.346870000001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10.552944698398999</v>
      </c>
      <c r="E50" s="297">
        <v>11.8437472849636</v>
      </c>
    </row>
    <row r="51" spans="2:5">
      <c r="B51" s="108" t="s">
        <v>6</v>
      </c>
      <c r="C51" s="16" t="s">
        <v>195</v>
      </c>
      <c r="D51" s="280">
        <v>10.552899999999999</v>
      </c>
      <c r="E51" s="285">
        <v>11.4208</v>
      </c>
    </row>
    <row r="52" spans="2:5">
      <c r="B52" s="108" t="s">
        <v>8</v>
      </c>
      <c r="C52" s="16" t="s">
        <v>196</v>
      </c>
      <c r="D52" s="280">
        <v>11.379099999999999</v>
      </c>
      <c r="E52" s="285">
        <v>12.358499999999999</v>
      </c>
    </row>
    <row r="53" spans="2:5" ht="13.5" thickBot="1">
      <c r="B53" s="109" t="s">
        <v>9</v>
      </c>
      <c r="C53" s="18" t="s">
        <v>41</v>
      </c>
      <c r="D53" s="216">
        <v>11.1679765165138</v>
      </c>
      <c r="E53" s="281">
        <v>11.8575549301578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503280.74000000005</v>
      </c>
      <c r="E58" s="33">
        <f>D58/E21</f>
        <v>0.99658463139175202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492018.31-561.35</f>
        <v>491456.96</v>
      </c>
      <c r="E64" s="83">
        <f>D64/E21</f>
        <v>0.9731714615713507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11823.62+0.16</f>
        <v>11823.78</v>
      </c>
      <c r="E69" s="81">
        <f>D69/E21</f>
        <v>2.3413169820401172E-2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0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2429.5300000000002</v>
      </c>
      <c r="E72" s="125">
        <f>D72/E21</f>
        <v>4.8108979086010787E-3</v>
      </c>
    </row>
    <row r="73" spans="2:5">
      <c r="B73" s="24" t="s">
        <v>62</v>
      </c>
      <c r="C73" s="25" t="s">
        <v>65</v>
      </c>
      <c r="D73" s="26">
        <f>E17</f>
        <v>704.75</v>
      </c>
      <c r="E73" s="27">
        <f>D73/E21</f>
        <v>1.3955293003529942E-3</v>
      </c>
    </row>
    <row r="74" spans="2:5">
      <c r="B74" s="126" t="s">
        <v>64</v>
      </c>
      <c r="C74" s="127" t="s">
        <v>66</v>
      </c>
      <c r="D74" s="128">
        <f>D58+D71+D72-D73</f>
        <v>505005.52000000008</v>
      </c>
      <c r="E74" s="68">
        <f>E58+E72-E73</f>
        <v>1.0000000000000002</v>
      </c>
    </row>
    <row r="75" spans="2:5">
      <c r="B75" s="15" t="s">
        <v>4</v>
      </c>
      <c r="C75" s="16" t="s">
        <v>67</v>
      </c>
      <c r="D75" s="80">
        <f>D74</f>
        <v>505005.52000000008</v>
      </c>
      <c r="E75" s="81">
        <f>E74</f>
        <v>1.0000000000000002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246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64398.2</v>
      </c>
      <c r="E11" s="9">
        <f>E12</f>
        <v>67797.55</v>
      </c>
    </row>
    <row r="12" spans="2:7">
      <c r="B12" s="180" t="s">
        <v>4</v>
      </c>
      <c r="C12" s="181" t="s">
        <v>5</v>
      </c>
      <c r="D12" s="235">
        <v>64398.2</v>
      </c>
      <c r="E12" s="87">
        <v>67797.55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64398.2</v>
      </c>
      <c r="E21" s="154">
        <f>E11</f>
        <v>67797.55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121286.87</v>
      </c>
      <c r="E26" s="274">
        <f>D21</f>
        <v>64398.2</v>
      </c>
    </row>
    <row r="27" spans="2:6">
      <c r="B27" s="10" t="s">
        <v>17</v>
      </c>
      <c r="C27" s="11" t="s">
        <v>192</v>
      </c>
      <c r="D27" s="207">
        <v>-35886.340000000004</v>
      </c>
      <c r="E27" s="243">
        <f>E28-E32</f>
        <v>4505.4500000000007</v>
      </c>
      <c r="F27" s="73"/>
    </row>
    <row r="28" spans="2:6">
      <c r="B28" s="10" t="s">
        <v>18</v>
      </c>
      <c r="C28" s="11" t="s">
        <v>19</v>
      </c>
      <c r="D28" s="207">
        <v>56826.46</v>
      </c>
      <c r="E28" s="244">
        <f>SUM(E29:E31)</f>
        <v>22767.18</v>
      </c>
      <c r="F28" s="73"/>
    </row>
    <row r="29" spans="2:6">
      <c r="B29" s="188" t="s">
        <v>4</v>
      </c>
      <c r="C29" s="181" t="s">
        <v>20</v>
      </c>
      <c r="D29" s="208">
        <v>1774.02</v>
      </c>
      <c r="E29" s="246">
        <v>2039.27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55052.44</v>
      </c>
      <c r="E31" s="246">
        <v>20727.91</v>
      </c>
      <c r="F31" s="73"/>
    </row>
    <row r="32" spans="2:6">
      <c r="B32" s="97" t="s">
        <v>23</v>
      </c>
      <c r="C32" s="12" t="s">
        <v>24</v>
      </c>
      <c r="D32" s="207">
        <v>92712.8</v>
      </c>
      <c r="E32" s="244">
        <f>SUM(E33:E39)</f>
        <v>18261.73</v>
      </c>
      <c r="F32" s="73"/>
    </row>
    <row r="33" spans="2:6">
      <c r="B33" s="188" t="s">
        <v>4</v>
      </c>
      <c r="C33" s="181" t="s">
        <v>25</v>
      </c>
      <c r="D33" s="208">
        <v>51992.88</v>
      </c>
      <c r="E33" s="246">
        <v>15732.03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297.01</v>
      </c>
      <c r="E35" s="246">
        <v>348.8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742.69</v>
      </c>
      <c r="E37" s="246">
        <v>418.33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39680.22</v>
      </c>
      <c r="E39" s="248">
        <v>1762.57</v>
      </c>
      <c r="F39" s="73"/>
    </row>
    <row r="40" spans="2:6" ht="13.5" thickBot="1">
      <c r="B40" s="103" t="s">
        <v>35</v>
      </c>
      <c r="C40" s="104" t="s">
        <v>36</v>
      </c>
      <c r="D40" s="210">
        <v>-8514.07</v>
      </c>
      <c r="E40" s="275">
        <v>-1106.0999999999999</v>
      </c>
    </row>
    <row r="41" spans="2:6" ht="13.5" thickBot="1">
      <c r="B41" s="105" t="s">
        <v>37</v>
      </c>
      <c r="C41" s="106" t="s">
        <v>38</v>
      </c>
      <c r="D41" s="211">
        <v>76886.459999999992</v>
      </c>
      <c r="E41" s="154">
        <f>E26+E27+E40</f>
        <v>67797.549999999988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19436.999</v>
      </c>
      <c r="E47" s="155">
        <v>10859.73</v>
      </c>
    </row>
    <row r="48" spans="2:6">
      <c r="B48" s="193" t="s">
        <v>6</v>
      </c>
      <c r="C48" s="194" t="s">
        <v>41</v>
      </c>
      <c r="D48" s="213">
        <v>13488.852000000001</v>
      </c>
      <c r="E48" s="155">
        <v>11569.548000000001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6.24</v>
      </c>
      <c r="E50" s="155">
        <v>5.93</v>
      </c>
    </row>
    <row r="51" spans="2:5">
      <c r="B51" s="191" t="s">
        <v>6</v>
      </c>
      <c r="C51" s="192" t="s">
        <v>195</v>
      </c>
      <c r="D51" s="215">
        <v>5.7</v>
      </c>
      <c r="E51" s="155">
        <v>5.65</v>
      </c>
    </row>
    <row r="52" spans="2:5">
      <c r="B52" s="191" t="s">
        <v>8</v>
      </c>
      <c r="C52" s="192" t="s">
        <v>196</v>
      </c>
      <c r="D52" s="215">
        <v>6.39</v>
      </c>
      <c r="E52" s="155">
        <v>6.1</v>
      </c>
    </row>
    <row r="53" spans="2:5" ht="13.5" customHeight="1" thickBot="1">
      <c r="B53" s="195" t="s">
        <v>9</v>
      </c>
      <c r="C53" s="196" t="s">
        <v>41</v>
      </c>
      <c r="D53" s="216">
        <v>5.7</v>
      </c>
      <c r="E53" s="281">
        <v>5.86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67797.55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67797.55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67797.55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67797.55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247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1659.15</v>
      </c>
      <c r="E11" s="9">
        <f>E12</f>
        <v>1544.95</v>
      </c>
    </row>
    <row r="12" spans="2:5">
      <c r="B12" s="180" t="s">
        <v>4</v>
      </c>
      <c r="C12" s="181" t="s">
        <v>5</v>
      </c>
      <c r="D12" s="235">
        <v>1659.15</v>
      </c>
      <c r="E12" s="87">
        <v>1544.95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1659.15</v>
      </c>
      <c r="E21" s="154">
        <f>E11</f>
        <v>1544.95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1811.58</v>
      </c>
      <c r="E26" s="274">
        <f>D21</f>
        <v>1659.15</v>
      </c>
    </row>
    <row r="27" spans="2:6">
      <c r="B27" s="10" t="s">
        <v>17</v>
      </c>
      <c r="C27" s="11" t="s">
        <v>192</v>
      </c>
      <c r="D27" s="207">
        <v>34220.65</v>
      </c>
      <c r="E27" s="243">
        <f>E28-E32</f>
        <v>106.9</v>
      </c>
      <c r="F27" s="73"/>
    </row>
    <row r="28" spans="2:6">
      <c r="B28" s="10" t="s">
        <v>18</v>
      </c>
      <c r="C28" s="11" t="s">
        <v>19</v>
      </c>
      <c r="D28" s="207">
        <v>34799.67</v>
      </c>
      <c r="E28" s="244">
        <f>SUM(E29:E31)</f>
        <v>106.9</v>
      </c>
      <c r="F28" s="73"/>
    </row>
    <row r="29" spans="2:6">
      <c r="B29" s="188" t="s">
        <v>4</v>
      </c>
      <c r="C29" s="181" t="s">
        <v>20</v>
      </c>
      <c r="D29" s="208">
        <v>139.66999999999999</v>
      </c>
      <c r="E29" s="246">
        <v>106.9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34660</v>
      </c>
      <c r="E31" s="246"/>
      <c r="F31" s="73"/>
    </row>
    <row r="32" spans="2:6">
      <c r="B32" s="97" t="s">
        <v>23</v>
      </c>
      <c r="C32" s="12" t="s">
        <v>24</v>
      </c>
      <c r="D32" s="207">
        <v>579.02</v>
      </c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>
        <v>482.43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17.47</v>
      </c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48.28</v>
      </c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30.84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643.5</v>
      </c>
      <c r="E40" s="275">
        <v>-221.1</v>
      </c>
    </row>
    <row r="41" spans="2:6" ht="13.5" thickBot="1">
      <c r="B41" s="105" t="s">
        <v>37</v>
      </c>
      <c r="C41" s="106" t="s">
        <v>38</v>
      </c>
      <c r="D41" s="211">
        <v>36675.730000000003</v>
      </c>
      <c r="E41" s="154">
        <f>E26+E27+E40</f>
        <v>1544.9500000000003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88.025999999999996</v>
      </c>
      <c r="E47" s="155">
        <v>68.873000000000005</v>
      </c>
    </row>
    <row r="48" spans="2:6">
      <c r="B48" s="193" t="s">
        <v>6</v>
      </c>
      <c r="C48" s="194" t="s">
        <v>41</v>
      </c>
      <c r="D48" s="213">
        <v>1568.009</v>
      </c>
      <c r="E48" s="155">
        <v>73.569000000000003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20.58</v>
      </c>
      <c r="E50" s="155">
        <v>24.09</v>
      </c>
    </row>
    <row r="51" spans="2:5">
      <c r="B51" s="191" t="s">
        <v>6</v>
      </c>
      <c r="C51" s="192" t="s">
        <v>195</v>
      </c>
      <c r="D51" s="215">
        <v>20.58</v>
      </c>
      <c r="E51" s="155">
        <v>20.73</v>
      </c>
    </row>
    <row r="52" spans="2:5">
      <c r="B52" s="191" t="s">
        <v>8</v>
      </c>
      <c r="C52" s="192" t="s">
        <v>196</v>
      </c>
      <c r="D52" s="215">
        <v>23.83</v>
      </c>
      <c r="E52" s="77">
        <v>25.23</v>
      </c>
    </row>
    <row r="53" spans="2:5" ht="14.25" customHeight="1" thickBot="1">
      <c r="B53" s="195" t="s">
        <v>9</v>
      </c>
      <c r="C53" s="196" t="s">
        <v>41</v>
      </c>
      <c r="D53" s="216">
        <v>23.39</v>
      </c>
      <c r="E53" s="281">
        <v>21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1544.95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1544.95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1544.95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1544.95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248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1635799.49</v>
      </c>
      <c r="E11" s="9">
        <f>E12</f>
        <v>1483020.77</v>
      </c>
    </row>
    <row r="12" spans="2:7">
      <c r="B12" s="180" t="s">
        <v>4</v>
      </c>
      <c r="C12" s="181" t="s">
        <v>5</v>
      </c>
      <c r="D12" s="235">
        <v>1635799.49</v>
      </c>
      <c r="E12" s="87">
        <v>1483020.77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1635799.49</v>
      </c>
      <c r="E21" s="154">
        <f>E11</f>
        <v>1483020.77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706836.52</v>
      </c>
      <c r="E26" s="274">
        <f>D21</f>
        <v>1635799.49</v>
      </c>
    </row>
    <row r="27" spans="2:6">
      <c r="B27" s="10" t="s">
        <v>17</v>
      </c>
      <c r="C27" s="11" t="s">
        <v>192</v>
      </c>
      <c r="D27" s="207">
        <v>1114923.2600000002</v>
      </c>
      <c r="E27" s="243">
        <f>E28-E32</f>
        <v>86925.58</v>
      </c>
      <c r="F27" s="73"/>
    </row>
    <row r="28" spans="2:6">
      <c r="B28" s="10" t="s">
        <v>18</v>
      </c>
      <c r="C28" s="11" t="s">
        <v>19</v>
      </c>
      <c r="D28" s="207">
        <v>1378587.85</v>
      </c>
      <c r="E28" s="244">
        <f>SUM(E29:E31)</f>
        <v>100015.6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1378587.85</v>
      </c>
      <c r="E31" s="246">
        <v>100015.6</v>
      </c>
      <c r="F31" s="73"/>
    </row>
    <row r="32" spans="2:6">
      <c r="B32" s="97" t="s">
        <v>23</v>
      </c>
      <c r="C32" s="12" t="s">
        <v>24</v>
      </c>
      <c r="D32" s="207">
        <v>263664.58999999997</v>
      </c>
      <c r="E32" s="244">
        <f>SUM(E33:E39)</f>
        <v>13090.019999999999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3.28</v>
      </c>
      <c r="E35" s="246">
        <v>4.47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7838.54</v>
      </c>
      <c r="E37" s="246">
        <v>13085.55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255822.77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113965.46</v>
      </c>
      <c r="E40" s="275">
        <v>-239704.3</v>
      </c>
    </row>
    <row r="41" spans="2:6" ht="13.5" thickBot="1">
      <c r="B41" s="105" t="s">
        <v>37</v>
      </c>
      <c r="C41" s="106" t="s">
        <v>38</v>
      </c>
      <c r="D41" s="211">
        <v>1935725.2400000002</v>
      </c>
      <c r="E41" s="154">
        <f>E26+E27+E40</f>
        <v>1483020.77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36173.824000000001</v>
      </c>
      <c r="E47" s="155">
        <v>78380.426000000007</v>
      </c>
    </row>
    <row r="48" spans="2:6">
      <c r="B48" s="193" t="s">
        <v>6</v>
      </c>
      <c r="C48" s="194" t="s">
        <v>41</v>
      </c>
      <c r="D48" s="213">
        <v>88672.709000000003</v>
      </c>
      <c r="E48" s="155">
        <v>82390.043000000005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19.54</v>
      </c>
      <c r="E50" s="155">
        <v>20.87</v>
      </c>
    </row>
    <row r="51" spans="2:5">
      <c r="B51" s="191" t="s">
        <v>6</v>
      </c>
      <c r="C51" s="192" t="s">
        <v>195</v>
      </c>
      <c r="D51" s="215">
        <v>19.54</v>
      </c>
      <c r="E51" s="155">
        <v>17.87</v>
      </c>
    </row>
    <row r="52" spans="2:5">
      <c r="B52" s="191" t="s">
        <v>8</v>
      </c>
      <c r="C52" s="192" t="s">
        <v>196</v>
      </c>
      <c r="D52" s="215">
        <v>21.85</v>
      </c>
      <c r="E52" s="77">
        <v>21.65</v>
      </c>
    </row>
    <row r="53" spans="2:5" ht="13.5" customHeight="1" thickBot="1">
      <c r="B53" s="195" t="s">
        <v>9</v>
      </c>
      <c r="C53" s="196" t="s">
        <v>41</v>
      </c>
      <c r="D53" s="216">
        <v>21.83</v>
      </c>
      <c r="E53" s="281">
        <v>18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1483020.77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1483020.77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1483020.77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1483020.77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249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9274.66</v>
      </c>
      <c r="E11" s="9">
        <f>E12</f>
        <v>31156.13</v>
      </c>
    </row>
    <row r="12" spans="2:5">
      <c r="B12" s="180" t="s">
        <v>4</v>
      </c>
      <c r="C12" s="181" t="s">
        <v>5</v>
      </c>
      <c r="D12" s="235">
        <v>9274.66</v>
      </c>
      <c r="E12" s="87">
        <f>31603.02-446.89</f>
        <v>31156.13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9274.66</v>
      </c>
      <c r="E21" s="154">
        <f>E11</f>
        <v>31156.13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7502.16</v>
      </c>
      <c r="E26" s="274">
        <f>D21</f>
        <v>9274.66</v>
      </c>
    </row>
    <row r="27" spans="2:6">
      <c r="B27" s="10" t="s">
        <v>17</v>
      </c>
      <c r="C27" s="11" t="s">
        <v>192</v>
      </c>
      <c r="D27" s="207">
        <v>631.64999999999986</v>
      </c>
      <c r="E27" s="243">
        <f>E28-E32</f>
        <v>21548.38</v>
      </c>
      <c r="F27" s="73"/>
    </row>
    <row r="28" spans="2:6">
      <c r="B28" s="10" t="s">
        <v>18</v>
      </c>
      <c r="C28" s="11" t="s">
        <v>19</v>
      </c>
      <c r="D28" s="207">
        <v>1618.08</v>
      </c>
      <c r="E28" s="244">
        <f>SUM(E29:E31)</f>
        <v>22303.32</v>
      </c>
      <c r="F28" s="73"/>
    </row>
    <row r="29" spans="2:6">
      <c r="B29" s="188" t="s">
        <v>4</v>
      </c>
      <c r="C29" s="181" t="s">
        <v>20</v>
      </c>
      <c r="D29" s="208">
        <v>1618.08</v>
      </c>
      <c r="E29" s="246">
        <v>3859.11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18444.21</v>
      </c>
      <c r="F31" s="73"/>
    </row>
    <row r="32" spans="2:6">
      <c r="B32" s="97" t="s">
        <v>23</v>
      </c>
      <c r="C32" s="12" t="s">
        <v>24</v>
      </c>
      <c r="D32" s="207">
        <v>986.43000000000006</v>
      </c>
      <c r="E32" s="244">
        <f>SUM(E33:E39)</f>
        <v>754.94</v>
      </c>
      <c r="F32" s="73"/>
    </row>
    <row r="33" spans="2:6">
      <c r="B33" s="188" t="s">
        <v>4</v>
      </c>
      <c r="C33" s="181" t="s">
        <v>25</v>
      </c>
      <c r="D33" s="208">
        <v>404.04</v>
      </c>
      <c r="E33" s="246">
        <f>15.6+446.89</f>
        <v>462.49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169.16</v>
      </c>
      <c r="E35" s="246">
        <v>138.11000000000001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61.06</v>
      </c>
      <c r="E37" s="246">
        <v>154.34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352.17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168.91</v>
      </c>
      <c r="E40" s="275">
        <v>333.09</v>
      </c>
    </row>
    <row r="41" spans="2:6" ht="13.5" thickBot="1">
      <c r="B41" s="105" t="s">
        <v>37</v>
      </c>
      <c r="C41" s="106" t="s">
        <v>38</v>
      </c>
      <c r="D41" s="211">
        <v>8302.7199999999993</v>
      </c>
      <c r="E41" s="154">
        <f>E26+E27+E40</f>
        <v>31156.13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134.73699999999999</v>
      </c>
      <c r="E47" s="155">
        <v>160.37799999999999</v>
      </c>
    </row>
    <row r="48" spans="2:6">
      <c r="B48" s="193" t="s">
        <v>6</v>
      </c>
      <c r="C48" s="194" t="s">
        <v>41</v>
      </c>
      <c r="D48" s="213">
        <v>146.04599999999999</v>
      </c>
      <c r="E48" s="155">
        <v>539.577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55.68</v>
      </c>
      <c r="E50" s="155">
        <v>57.83</v>
      </c>
    </row>
    <row r="51" spans="2:5">
      <c r="B51" s="191" t="s">
        <v>6</v>
      </c>
      <c r="C51" s="192" t="s">
        <v>195</v>
      </c>
      <c r="D51" s="215">
        <v>55.56</v>
      </c>
      <c r="E51" s="155">
        <v>57.71</v>
      </c>
    </row>
    <row r="52" spans="2:5">
      <c r="B52" s="191" t="s">
        <v>8</v>
      </c>
      <c r="C52" s="192" t="s">
        <v>196</v>
      </c>
      <c r="D52" s="215">
        <v>57.05</v>
      </c>
      <c r="E52" s="77">
        <v>58.86</v>
      </c>
    </row>
    <row r="53" spans="2:5" ht="12.75" customHeight="1" thickBot="1">
      <c r="B53" s="195" t="s">
        <v>9</v>
      </c>
      <c r="C53" s="196" t="s">
        <v>41</v>
      </c>
      <c r="D53" s="216">
        <v>56.85</v>
      </c>
      <c r="E53" s="281">
        <v>58.57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31156.13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31156.13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31156.13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31156.13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250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4175217.15</v>
      </c>
      <c r="E11" s="9">
        <f>E12</f>
        <v>2609685.88</v>
      </c>
    </row>
    <row r="12" spans="2:5">
      <c r="B12" s="180" t="s">
        <v>4</v>
      </c>
      <c r="C12" s="181" t="s">
        <v>5</v>
      </c>
      <c r="D12" s="235">
        <v>4175217.15</v>
      </c>
      <c r="E12" s="87">
        <v>2609685.88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4175217.15</v>
      </c>
      <c r="E21" s="154">
        <f>E11</f>
        <v>2609685.88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5512019.5499999998</v>
      </c>
      <c r="E26" s="274">
        <f>D21</f>
        <v>4175217.15</v>
      </c>
    </row>
    <row r="27" spans="2:6">
      <c r="B27" s="10" t="s">
        <v>17</v>
      </c>
      <c r="C27" s="11" t="s">
        <v>192</v>
      </c>
      <c r="D27" s="207">
        <v>-570645.4800000001</v>
      </c>
      <c r="E27" s="243">
        <f>E28-E32</f>
        <v>-1599533.48</v>
      </c>
      <c r="F27" s="73"/>
    </row>
    <row r="28" spans="2:6">
      <c r="B28" s="10" t="s">
        <v>18</v>
      </c>
      <c r="C28" s="11" t="s">
        <v>19</v>
      </c>
      <c r="D28" s="207">
        <v>642920.85</v>
      </c>
      <c r="E28" s="244">
        <f>SUM(E29:E31)</f>
        <v>28675.85</v>
      </c>
      <c r="F28" s="73"/>
    </row>
    <row r="29" spans="2:6">
      <c r="B29" s="188" t="s">
        <v>4</v>
      </c>
      <c r="C29" s="181" t="s">
        <v>20</v>
      </c>
      <c r="D29" s="208">
        <v>580159.96</v>
      </c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62760.89</v>
      </c>
      <c r="E31" s="246">
        <v>28675.85</v>
      </c>
      <c r="F31" s="73"/>
    </row>
    <row r="32" spans="2:6">
      <c r="B32" s="97" t="s">
        <v>23</v>
      </c>
      <c r="C32" s="12" t="s">
        <v>24</v>
      </c>
      <c r="D32" s="207">
        <v>1213566.33</v>
      </c>
      <c r="E32" s="244">
        <f>SUM(E33:E39)</f>
        <v>1628209.33</v>
      </c>
      <c r="F32" s="73"/>
    </row>
    <row r="33" spans="2:6">
      <c r="B33" s="188" t="s">
        <v>4</v>
      </c>
      <c r="C33" s="181" t="s">
        <v>25</v>
      </c>
      <c r="D33" s="208">
        <v>1080285.24</v>
      </c>
      <c r="E33" s="246">
        <v>1600134.27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941.52</v>
      </c>
      <c r="E35" s="246">
        <v>1770.6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39302.97</v>
      </c>
      <c r="E37" s="246">
        <v>26304.46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93036.6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54724.4</v>
      </c>
      <c r="E40" s="275">
        <v>34002.21</v>
      </c>
    </row>
    <row r="41" spans="2:6" ht="13.5" thickBot="1">
      <c r="B41" s="105" t="s">
        <v>37</v>
      </c>
      <c r="C41" s="106" t="s">
        <v>38</v>
      </c>
      <c r="D41" s="211">
        <v>4996098.47</v>
      </c>
      <c r="E41" s="154">
        <f>E26+E27+E40</f>
        <v>2609685.88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29359.857</v>
      </c>
      <c r="E47" s="155">
        <v>21699.584999999999</v>
      </c>
    </row>
    <row r="48" spans="2:6">
      <c r="B48" s="193" t="s">
        <v>6</v>
      </c>
      <c r="C48" s="194" t="s">
        <v>41</v>
      </c>
      <c r="D48" s="213">
        <v>26320.19</v>
      </c>
      <c r="E48" s="155">
        <v>13435.368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187.74</v>
      </c>
      <c r="E50" s="155">
        <v>192.41</v>
      </c>
    </row>
    <row r="51" spans="2:5">
      <c r="B51" s="191" t="s">
        <v>6</v>
      </c>
      <c r="C51" s="192" t="s">
        <v>195</v>
      </c>
      <c r="D51" s="215">
        <v>187.68</v>
      </c>
      <c r="E51" s="155">
        <v>192.41</v>
      </c>
    </row>
    <row r="52" spans="2:5">
      <c r="B52" s="191" t="s">
        <v>8</v>
      </c>
      <c r="C52" s="192" t="s">
        <v>196</v>
      </c>
      <c r="D52" s="215">
        <v>189.85</v>
      </c>
      <c r="E52" s="77">
        <v>194.29</v>
      </c>
    </row>
    <row r="53" spans="2:5" ht="12.75" customHeight="1" thickBot="1">
      <c r="B53" s="195" t="s">
        <v>9</v>
      </c>
      <c r="C53" s="196" t="s">
        <v>41</v>
      </c>
      <c r="D53" s="216">
        <v>189.82</v>
      </c>
      <c r="E53" s="281">
        <v>194.24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2609685.88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2609685.88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2609685.88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2609685.88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251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6918174.9500000002</v>
      </c>
      <c r="E11" s="9">
        <f>E12</f>
        <v>9926494.1500000004</v>
      </c>
    </row>
    <row r="12" spans="2:7">
      <c r="B12" s="180" t="s">
        <v>4</v>
      </c>
      <c r="C12" s="181" t="s">
        <v>5</v>
      </c>
      <c r="D12" s="235">
        <v>6918174.9500000002</v>
      </c>
      <c r="E12" s="87">
        <v>9926494.1500000004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6918174.9500000002</v>
      </c>
      <c r="E21" s="154">
        <f>E11</f>
        <v>9926494.1500000004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11855300.560000001</v>
      </c>
      <c r="E26" s="274">
        <f>D21</f>
        <v>6918174.9500000002</v>
      </c>
    </row>
    <row r="27" spans="2:6">
      <c r="B27" s="10" t="s">
        <v>17</v>
      </c>
      <c r="C27" s="11" t="s">
        <v>192</v>
      </c>
      <c r="D27" s="207">
        <v>-2711949.1500000004</v>
      </c>
      <c r="E27" s="243">
        <f>E28-E32</f>
        <v>2910673.91</v>
      </c>
      <c r="F27" s="73"/>
    </row>
    <row r="28" spans="2:6">
      <c r="B28" s="10" t="s">
        <v>18</v>
      </c>
      <c r="C28" s="11" t="s">
        <v>19</v>
      </c>
      <c r="D28" s="207">
        <v>107669.05</v>
      </c>
      <c r="E28" s="244">
        <f>SUM(E29:E31)</f>
        <v>2991012.91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107669.05</v>
      </c>
      <c r="E31" s="246">
        <v>2991012.91</v>
      </c>
      <c r="F31" s="73"/>
    </row>
    <row r="32" spans="2:6">
      <c r="B32" s="97" t="s">
        <v>23</v>
      </c>
      <c r="C32" s="12" t="s">
        <v>24</v>
      </c>
      <c r="D32" s="207">
        <v>2819618.2</v>
      </c>
      <c r="E32" s="244">
        <f>SUM(E33:E39)</f>
        <v>80339</v>
      </c>
      <c r="F32" s="73"/>
    </row>
    <row r="33" spans="2:6">
      <c r="B33" s="188" t="s">
        <v>4</v>
      </c>
      <c r="C33" s="181" t="s">
        <v>25</v>
      </c>
      <c r="D33" s="208">
        <v>181969.91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24045.15</v>
      </c>
      <c r="E35" s="246">
        <v>15310.14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82303.14</v>
      </c>
      <c r="E37" s="246">
        <v>65028.86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2531300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133339.60999999999</v>
      </c>
      <c r="E40" s="275">
        <v>97645.29</v>
      </c>
    </row>
    <row r="41" spans="2:6" ht="13.5" thickBot="1">
      <c r="B41" s="105" t="s">
        <v>37</v>
      </c>
      <c r="C41" s="106" t="s">
        <v>38</v>
      </c>
      <c r="D41" s="211">
        <v>9276691.0199999996</v>
      </c>
      <c r="E41" s="154">
        <f>E26+E27+E40</f>
        <v>9926494.1499999985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1107972.0149999999</v>
      </c>
      <c r="E47" s="155">
        <v>629497.26599999995</v>
      </c>
    </row>
    <row r="48" spans="2:6">
      <c r="B48" s="193" t="s">
        <v>6</v>
      </c>
      <c r="C48" s="194" t="s">
        <v>41</v>
      </c>
      <c r="D48" s="213">
        <v>855783.304</v>
      </c>
      <c r="E48" s="155">
        <v>892670.33700000006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10.7</v>
      </c>
      <c r="E50" s="155">
        <v>10.99</v>
      </c>
    </row>
    <row r="51" spans="2:5">
      <c r="B51" s="191" t="s">
        <v>6</v>
      </c>
      <c r="C51" s="192" t="s">
        <v>195</v>
      </c>
      <c r="D51" s="215">
        <v>10.69</v>
      </c>
      <c r="E51" s="155">
        <v>10.99</v>
      </c>
    </row>
    <row r="52" spans="2:5">
      <c r="B52" s="191" t="s">
        <v>8</v>
      </c>
      <c r="C52" s="192" t="s">
        <v>196</v>
      </c>
      <c r="D52" s="215">
        <v>10.84</v>
      </c>
      <c r="E52" s="77">
        <v>11.13</v>
      </c>
    </row>
    <row r="53" spans="2:5" ht="12.75" customHeight="1" thickBot="1">
      <c r="B53" s="195" t="s">
        <v>9</v>
      </c>
      <c r="C53" s="196" t="s">
        <v>41</v>
      </c>
      <c r="D53" s="216">
        <v>10.84</v>
      </c>
      <c r="E53" s="281">
        <v>11.12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9926494.1500000004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9926494.1500000004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9926494.1500000004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9926494.1500000004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252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218290.53</v>
      </c>
      <c r="E11" s="9">
        <f>E12</f>
        <v>204521.14</v>
      </c>
    </row>
    <row r="12" spans="2:7">
      <c r="B12" s="180" t="s">
        <v>4</v>
      </c>
      <c r="C12" s="181" t="s">
        <v>5</v>
      </c>
      <c r="D12" s="235">
        <v>218290.53</v>
      </c>
      <c r="E12" s="87">
        <v>204521.14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218290.53</v>
      </c>
      <c r="E21" s="154">
        <f>E11</f>
        <v>204521.14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207633.79</v>
      </c>
      <c r="E26" s="274">
        <f>D21</f>
        <v>218290.53</v>
      </c>
    </row>
    <row r="27" spans="2:6">
      <c r="B27" s="10" t="s">
        <v>17</v>
      </c>
      <c r="C27" s="11" t="s">
        <v>192</v>
      </c>
      <c r="D27" s="207">
        <v>-1731.24</v>
      </c>
      <c r="E27" s="243">
        <f>E28-E32</f>
        <v>-1706.87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1731.24</v>
      </c>
      <c r="E32" s="244">
        <f>SUM(E33:E39)</f>
        <v>1706.87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1731.24</v>
      </c>
      <c r="E37" s="246">
        <v>1706.87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12302.61</v>
      </c>
      <c r="E40" s="275">
        <v>-12062.52</v>
      </c>
    </row>
    <row r="41" spans="2:6" ht="13.5" thickBot="1">
      <c r="B41" s="105" t="s">
        <v>37</v>
      </c>
      <c r="C41" s="106" t="s">
        <v>38</v>
      </c>
      <c r="D41" s="211">
        <v>218205.16000000003</v>
      </c>
      <c r="E41" s="154">
        <f>E26+E27+E40</f>
        <v>204521.14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18118.132000000001</v>
      </c>
      <c r="E47" s="286">
        <v>17848.776000000002</v>
      </c>
    </row>
    <row r="48" spans="2:6">
      <c r="B48" s="193" t="s">
        <v>6</v>
      </c>
      <c r="C48" s="194" t="s">
        <v>41</v>
      </c>
      <c r="D48" s="213">
        <v>17974.065999999999</v>
      </c>
      <c r="E48" s="155">
        <v>17707.457999999999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11.46</v>
      </c>
      <c r="E50" s="77">
        <v>12.23</v>
      </c>
    </row>
    <row r="51" spans="2:5">
      <c r="B51" s="191" t="s">
        <v>6</v>
      </c>
      <c r="C51" s="192" t="s">
        <v>195</v>
      </c>
      <c r="D51" s="215">
        <v>11.45</v>
      </c>
      <c r="E51" s="77">
        <v>11.51</v>
      </c>
    </row>
    <row r="52" spans="2:5">
      <c r="B52" s="191" t="s">
        <v>8</v>
      </c>
      <c r="C52" s="192" t="s">
        <v>196</v>
      </c>
      <c r="D52" s="215">
        <v>12.21</v>
      </c>
      <c r="E52" s="77">
        <v>12.4</v>
      </c>
    </row>
    <row r="53" spans="2:5" ht="14.25" customHeight="1" thickBot="1">
      <c r="B53" s="195" t="s">
        <v>9</v>
      </c>
      <c r="C53" s="196" t="s">
        <v>41</v>
      </c>
      <c r="D53" s="216">
        <v>12.14</v>
      </c>
      <c r="E53" s="281">
        <v>11.55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204521.14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204521.14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204521.14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204521.14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253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493751.96</v>
      </c>
      <c r="E11" s="9">
        <f>E12</f>
        <v>381491.72</v>
      </c>
    </row>
    <row r="12" spans="2:7">
      <c r="B12" s="180" t="s">
        <v>4</v>
      </c>
      <c r="C12" s="181" t="s">
        <v>5</v>
      </c>
      <c r="D12" s="235">
        <v>493751.96</v>
      </c>
      <c r="E12" s="87">
        <v>381491.72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493751.96</v>
      </c>
      <c r="E21" s="154">
        <f>E11</f>
        <v>381491.72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649190.99</v>
      </c>
      <c r="E26" s="274">
        <f>D21</f>
        <v>493751.96</v>
      </c>
    </row>
    <row r="27" spans="2:6">
      <c r="B27" s="10" t="s">
        <v>17</v>
      </c>
      <c r="C27" s="11" t="s">
        <v>192</v>
      </c>
      <c r="D27" s="207">
        <v>-147804.52999999997</v>
      </c>
      <c r="E27" s="243">
        <f>E28-E32</f>
        <v>-117228.20000000003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39647.360000000001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39647.360000000001</v>
      </c>
      <c r="F31" s="73"/>
    </row>
    <row r="32" spans="2:6">
      <c r="B32" s="97" t="s">
        <v>23</v>
      </c>
      <c r="C32" s="12" t="s">
        <v>24</v>
      </c>
      <c r="D32" s="207">
        <v>147804.52999999997</v>
      </c>
      <c r="E32" s="244">
        <f>SUM(E33:E39)</f>
        <v>156875.56000000003</v>
      </c>
      <c r="F32" s="73"/>
    </row>
    <row r="33" spans="2:6">
      <c r="B33" s="188" t="s">
        <v>4</v>
      </c>
      <c r="C33" s="181" t="s">
        <v>25</v>
      </c>
      <c r="D33" s="208">
        <v>127349.04</v>
      </c>
      <c r="E33" s="246">
        <v>152488.6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1497.28</v>
      </c>
      <c r="E35" s="246">
        <v>1297.1400000000001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4711.57</v>
      </c>
      <c r="E37" s="246">
        <v>3089.82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14246.64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12214.66</v>
      </c>
      <c r="E40" s="275">
        <v>4967.96</v>
      </c>
    </row>
    <row r="41" spans="2:6" ht="13.5" thickBot="1">
      <c r="B41" s="105" t="s">
        <v>37</v>
      </c>
      <c r="C41" s="106" t="s">
        <v>38</v>
      </c>
      <c r="D41" s="211">
        <v>513601.12</v>
      </c>
      <c r="E41" s="154">
        <f>E26+E27+E40</f>
        <v>381491.72000000003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55486.409</v>
      </c>
      <c r="E47" s="155">
        <v>40805.947</v>
      </c>
    </row>
    <row r="48" spans="2:6">
      <c r="B48" s="193" t="s">
        <v>6</v>
      </c>
      <c r="C48" s="194" t="s">
        <v>41</v>
      </c>
      <c r="D48" s="213">
        <v>43015.169179229481</v>
      </c>
      <c r="E48" s="155">
        <v>31116.78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11.7</v>
      </c>
      <c r="E50" s="155">
        <v>12.1</v>
      </c>
    </row>
    <row r="51" spans="2:5">
      <c r="B51" s="191" t="s">
        <v>6</v>
      </c>
      <c r="C51" s="192" t="s">
        <v>195</v>
      </c>
      <c r="D51" s="215">
        <v>11.67</v>
      </c>
      <c r="E51" s="155">
        <v>12.07</v>
      </c>
    </row>
    <row r="52" spans="2:5">
      <c r="B52" s="191" t="s">
        <v>8</v>
      </c>
      <c r="C52" s="192" t="s">
        <v>196</v>
      </c>
      <c r="D52" s="215">
        <v>11.98</v>
      </c>
      <c r="E52" s="77">
        <v>12.31</v>
      </c>
    </row>
    <row r="53" spans="2:5" ht="13.5" customHeight="1" thickBot="1">
      <c r="B53" s="195" t="s">
        <v>9</v>
      </c>
      <c r="C53" s="196" t="s">
        <v>41</v>
      </c>
      <c r="D53" s="216">
        <v>11.94</v>
      </c>
      <c r="E53" s="281">
        <v>12.26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381491.72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381491.72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381491.72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381491.72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254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1189.1300000000001</v>
      </c>
      <c r="E11" s="9">
        <f>E12</f>
        <v>1022.82</v>
      </c>
    </row>
    <row r="12" spans="2:7">
      <c r="B12" s="180" t="s">
        <v>4</v>
      </c>
      <c r="C12" s="181" t="s">
        <v>5</v>
      </c>
      <c r="D12" s="235">
        <v>1189.1300000000001</v>
      </c>
      <c r="E12" s="87">
        <v>1022.82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1189.1300000000001</v>
      </c>
      <c r="E21" s="154">
        <f>E11</f>
        <v>1022.82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983.32</v>
      </c>
      <c r="E26" s="274">
        <f>D21</f>
        <v>1189.1300000000001</v>
      </c>
    </row>
    <row r="27" spans="2:6">
      <c r="B27" s="10" t="s">
        <v>17</v>
      </c>
      <c r="C27" s="11" t="s">
        <v>192</v>
      </c>
      <c r="D27" s="207">
        <v>0</v>
      </c>
      <c r="E27" s="243">
        <f>E28-E32</f>
        <v>0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0</v>
      </c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154.88</v>
      </c>
      <c r="E40" s="275">
        <v>-166.31</v>
      </c>
    </row>
    <row r="41" spans="2:6" ht="13.5" thickBot="1">
      <c r="B41" s="105" t="s">
        <v>37</v>
      </c>
      <c r="C41" s="106" t="s">
        <v>38</v>
      </c>
      <c r="D41" s="211">
        <v>1138.2</v>
      </c>
      <c r="E41" s="154">
        <f>E26+E27+E40</f>
        <v>1022.8200000000002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103.94499999999999</v>
      </c>
      <c r="E47" s="155">
        <v>103.94499999999999</v>
      </c>
    </row>
    <row r="48" spans="2:6">
      <c r="B48" s="193" t="s">
        <v>6</v>
      </c>
      <c r="C48" s="194" t="s">
        <v>41</v>
      </c>
      <c r="D48" s="213">
        <v>103.94499999999999</v>
      </c>
      <c r="E48" s="155">
        <v>103.94499999999999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9.4600000000000009</v>
      </c>
      <c r="E50" s="155">
        <v>11.44</v>
      </c>
    </row>
    <row r="51" spans="2:5">
      <c r="B51" s="191" t="s">
        <v>6</v>
      </c>
      <c r="C51" s="192" t="s">
        <v>195</v>
      </c>
      <c r="D51" s="215">
        <v>9.4600000000000009</v>
      </c>
      <c r="E51" s="155">
        <v>9.7100000000000009</v>
      </c>
    </row>
    <row r="52" spans="2:5">
      <c r="B52" s="191" t="s">
        <v>8</v>
      </c>
      <c r="C52" s="192" t="s">
        <v>196</v>
      </c>
      <c r="D52" s="215">
        <v>11.11</v>
      </c>
      <c r="E52" s="77">
        <v>11.92</v>
      </c>
    </row>
    <row r="53" spans="2:5" ht="12.75" customHeight="1" thickBot="1">
      <c r="B53" s="195" t="s">
        <v>9</v>
      </c>
      <c r="C53" s="196" t="s">
        <v>41</v>
      </c>
      <c r="D53" s="216">
        <v>10.95</v>
      </c>
      <c r="E53" s="281">
        <v>9.84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1022.82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1022.82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1022.82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1022.82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7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255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8.5</v>
      </c>
      <c r="E11" s="9">
        <f>E12</f>
        <v>0</v>
      </c>
    </row>
    <row r="12" spans="2:7">
      <c r="B12" s="180" t="s">
        <v>4</v>
      </c>
      <c r="C12" s="181" t="s">
        <v>5</v>
      </c>
      <c r="D12" s="235">
        <v>8.5</v>
      </c>
      <c r="E12" s="87">
        <v>0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8.5</v>
      </c>
      <c r="E21" s="154">
        <f>E11</f>
        <v>0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41653.760000000002</v>
      </c>
      <c r="E26" s="274">
        <f>D21</f>
        <v>8.5</v>
      </c>
    </row>
    <row r="27" spans="2:6">
      <c r="B27" s="10" t="s">
        <v>17</v>
      </c>
      <c r="C27" s="11" t="s">
        <v>192</v>
      </c>
      <c r="D27" s="207">
        <v>-41768.97</v>
      </c>
      <c r="E27" s="243">
        <f>E28-E32</f>
        <v>-8.36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41768.97</v>
      </c>
      <c r="E32" s="244">
        <f>SUM(E33:E39)</f>
        <v>8.36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21.25</v>
      </c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121.41</v>
      </c>
      <c r="E37" s="246">
        <v>8.36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41626.31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123.58</v>
      </c>
      <c r="E40" s="275">
        <v>-0.14000000000000001</v>
      </c>
    </row>
    <row r="41" spans="2:6" ht="13.5" thickBot="1">
      <c r="B41" s="105" t="s">
        <v>37</v>
      </c>
      <c r="C41" s="106" t="s">
        <v>38</v>
      </c>
      <c r="D41" s="211">
        <v>8.3700000000008714</v>
      </c>
      <c r="E41" s="154">
        <v>0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359.95299999999997</v>
      </c>
      <c r="E47" s="155">
        <v>7.6999999999999999E-2</v>
      </c>
    </row>
    <row r="48" spans="2:6">
      <c r="B48" s="193" t="s">
        <v>6</v>
      </c>
      <c r="C48" s="194" t="s">
        <v>41</v>
      </c>
      <c r="D48" s="213">
        <v>7.6999999999999999E-2</v>
      </c>
      <c r="E48" s="155"/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115.72</v>
      </c>
      <c r="E50" s="155">
        <v>110.33</v>
      </c>
    </row>
    <row r="51" spans="2:5">
      <c r="B51" s="191" t="s">
        <v>6</v>
      </c>
      <c r="C51" s="192" t="s">
        <v>195</v>
      </c>
      <c r="D51" s="215">
        <v>107.9</v>
      </c>
      <c r="E51" s="77">
        <v>103.89</v>
      </c>
    </row>
    <row r="52" spans="2:5">
      <c r="B52" s="191" t="s">
        <v>8</v>
      </c>
      <c r="C52" s="192" t="s">
        <v>196</v>
      </c>
      <c r="D52" s="215">
        <v>120.05</v>
      </c>
      <c r="E52" s="77">
        <v>115.21</v>
      </c>
    </row>
    <row r="53" spans="2:5" ht="13.5" customHeight="1" thickBot="1">
      <c r="B53" s="195" t="s">
        <v>9</v>
      </c>
      <c r="C53" s="196" t="s">
        <v>41</v>
      </c>
      <c r="D53" s="216">
        <v>108.69</v>
      </c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0</v>
      </c>
      <c r="E64" s="83"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106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707284.82</v>
      </c>
      <c r="E11" s="9">
        <f>E12+E13+E14</f>
        <v>834252.21</v>
      </c>
    </row>
    <row r="12" spans="2:7">
      <c r="B12" s="112" t="s">
        <v>4</v>
      </c>
      <c r="C12" s="6" t="s">
        <v>5</v>
      </c>
      <c r="D12" s="235">
        <v>705844.2699999999</v>
      </c>
      <c r="E12" s="87">
        <f>810097.65+30653.35+0.42-8099.78</f>
        <v>832651.64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>
        <v>1440.55</v>
      </c>
      <c r="E14" s="87">
        <f>E15</f>
        <v>1600.57</v>
      </c>
    </row>
    <row r="15" spans="2:7">
      <c r="B15" s="112" t="s">
        <v>187</v>
      </c>
      <c r="C15" s="70" t="s">
        <v>11</v>
      </c>
      <c r="D15" s="235">
        <v>1440.55</v>
      </c>
      <c r="E15" s="87">
        <v>1600.57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546.63</v>
      </c>
      <c r="E17" s="98">
        <f>SUM(E18:E19)</f>
        <v>580.44000000000005</v>
      </c>
    </row>
    <row r="18" spans="2:6">
      <c r="B18" s="112" t="s">
        <v>4</v>
      </c>
      <c r="C18" s="6" t="s">
        <v>11</v>
      </c>
      <c r="D18" s="235">
        <v>546.63</v>
      </c>
      <c r="E18" s="88">
        <v>580.44000000000005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706738.19</v>
      </c>
      <c r="E21" s="154">
        <f>E11-E17</f>
        <v>833671.77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8" customHeight="1" thickBot="1">
      <c r="B24" s="312" t="s">
        <v>186</v>
      </c>
      <c r="C24" s="322"/>
      <c r="D24" s="322"/>
      <c r="E24" s="322"/>
    </row>
    <row r="25" spans="2:6" ht="13.5" thickBot="1">
      <c r="B25" s="9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442386.37</v>
      </c>
      <c r="E26" s="274">
        <f>D21</f>
        <v>706738.19</v>
      </c>
    </row>
    <row r="27" spans="2:6">
      <c r="B27" s="10" t="s">
        <v>17</v>
      </c>
      <c r="C27" s="11" t="s">
        <v>192</v>
      </c>
      <c r="D27" s="207">
        <v>174438.21</v>
      </c>
      <c r="E27" s="243">
        <f>E28-E32</f>
        <v>148264.85999999999</v>
      </c>
      <c r="F27" s="73"/>
    </row>
    <row r="28" spans="2:6">
      <c r="B28" s="10" t="s">
        <v>18</v>
      </c>
      <c r="C28" s="11" t="s">
        <v>19</v>
      </c>
      <c r="D28" s="207">
        <v>254301.94</v>
      </c>
      <c r="E28" s="244">
        <f>SUM(E29:E31)</f>
        <v>238305.38999999998</v>
      </c>
      <c r="F28" s="73"/>
    </row>
    <row r="29" spans="2:6">
      <c r="B29" s="110" t="s">
        <v>4</v>
      </c>
      <c r="C29" s="6" t="s">
        <v>20</v>
      </c>
      <c r="D29" s="208">
        <v>193148.32</v>
      </c>
      <c r="E29" s="246">
        <v>238305.38999999998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61153.62</v>
      </c>
      <c r="E31" s="246"/>
      <c r="F31" s="73"/>
    </row>
    <row r="32" spans="2:6">
      <c r="B32" s="97" t="s">
        <v>23</v>
      </c>
      <c r="C32" s="12" t="s">
        <v>24</v>
      </c>
      <c r="D32" s="207">
        <v>79863.73000000001</v>
      </c>
      <c r="E32" s="244">
        <f>SUM(E33:E39)</f>
        <v>90040.53</v>
      </c>
      <c r="F32" s="73"/>
    </row>
    <row r="33" spans="2:6">
      <c r="B33" s="110" t="s">
        <v>4</v>
      </c>
      <c r="C33" s="6" t="s">
        <v>25</v>
      </c>
      <c r="D33" s="208">
        <v>24781.16</v>
      </c>
      <c r="E33" s="246">
        <f>44710.09+8043.35</f>
        <v>52753.439999999995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8845.1400000000012</v>
      </c>
      <c r="E35" s="246">
        <v>11367.95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46237.43</v>
      </c>
      <c r="E39" s="248">
        <v>25919.14</v>
      </c>
      <c r="F39" s="73"/>
    </row>
    <row r="40" spans="2:6" ht="13.5" thickBot="1">
      <c r="B40" s="103" t="s">
        <v>35</v>
      </c>
      <c r="C40" s="104" t="s">
        <v>36</v>
      </c>
      <c r="D40" s="210">
        <v>10337.91</v>
      </c>
      <c r="E40" s="275">
        <v>-21331.279999999999</v>
      </c>
    </row>
    <row r="41" spans="2:6" ht="13.5" thickBot="1">
      <c r="B41" s="105" t="s">
        <v>37</v>
      </c>
      <c r="C41" s="106" t="s">
        <v>38</v>
      </c>
      <c r="D41" s="211">
        <v>627162.49</v>
      </c>
      <c r="E41" s="154">
        <f>E26+E27+E40</f>
        <v>833671.7699999999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5.7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44020.316299999999</v>
      </c>
      <c r="E47" s="75">
        <v>68120.478900000002</v>
      </c>
    </row>
    <row r="48" spans="2:6">
      <c r="B48" s="129" t="s">
        <v>6</v>
      </c>
      <c r="C48" s="23" t="s">
        <v>41</v>
      </c>
      <c r="D48" s="213">
        <v>61167.87660713942</v>
      </c>
      <c r="E48" s="75">
        <v>82504.041740000001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10.049595366232699</v>
      </c>
      <c r="E50" s="75">
        <v>10.374827080678999</v>
      </c>
    </row>
    <row r="51" spans="2:5">
      <c r="B51" s="108" t="s">
        <v>6</v>
      </c>
      <c r="C51" s="16" t="s">
        <v>195</v>
      </c>
      <c r="D51" s="280">
        <v>10.0487</v>
      </c>
      <c r="E51" s="77">
        <v>10.1046</v>
      </c>
    </row>
    <row r="52" spans="2:5" ht="12" customHeight="1">
      <c r="B52" s="108" t="s">
        <v>8</v>
      </c>
      <c r="C52" s="16" t="s">
        <v>196</v>
      </c>
      <c r="D52" s="280">
        <v>10.2804</v>
      </c>
      <c r="E52" s="77">
        <v>10.4094</v>
      </c>
    </row>
    <row r="53" spans="2:5" ht="13.5" thickBot="1">
      <c r="B53" s="109" t="s">
        <v>9</v>
      </c>
      <c r="C53" s="18" t="s">
        <v>41</v>
      </c>
      <c r="D53" s="216">
        <v>10.2531348934679</v>
      </c>
      <c r="E53" s="281">
        <v>10.104617330340201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832651.64</v>
      </c>
      <c r="E58" s="33">
        <f>D58/E21</f>
        <v>0.99877634095730505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810097.65-8099.78</f>
        <v>801997.87</v>
      </c>
      <c r="E64" s="83">
        <f>D64/E21</f>
        <v>0.96200674997067492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30653.35+0.42</f>
        <v>30653.769999999997</v>
      </c>
      <c r="E69" s="81">
        <f>D69/E21</f>
        <v>3.6769590986630143E-2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0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1600.57</v>
      </c>
      <c r="E72" s="125">
        <f>D72/E21</f>
        <v>1.9199042807938667E-3</v>
      </c>
    </row>
    <row r="73" spans="2:5">
      <c r="B73" s="24" t="s">
        <v>62</v>
      </c>
      <c r="C73" s="25" t="s">
        <v>65</v>
      </c>
      <c r="D73" s="26">
        <f>E17</f>
        <v>580.44000000000005</v>
      </c>
      <c r="E73" s="27">
        <f>D73/E21</f>
        <v>6.9624523809892237E-4</v>
      </c>
    </row>
    <row r="74" spans="2:5">
      <c r="B74" s="126" t="s">
        <v>64</v>
      </c>
      <c r="C74" s="127" t="s">
        <v>66</v>
      </c>
      <c r="D74" s="128">
        <f>D58+D71+D72-D73</f>
        <v>833671.77</v>
      </c>
      <c r="E74" s="68">
        <f>E58+E72-E73</f>
        <v>1</v>
      </c>
    </row>
    <row r="75" spans="2:5">
      <c r="B75" s="15" t="s">
        <v>4</v>
      </c>
      <c r="C75" s="16" t="s">
        <v>67</v>
      </c>
      <c r="D75" s="80">
        <f>D74</f>
        <v>833671.77</v>
      </c>
      <c r="E75" s="81">
        <f>E74</f>
        <v>1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256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46258.73</v>
      </c>
      <c r="E11" s="9">
        <f>E12</f>
        <v>246992.5</v>
      </c>
    </row>
    <row r="12" spans="2:7">
      <c r="B12" s="180" t="s">
        <v>4</v>
      </c>
      <c r="C12" s="181" t="s">
        <v>5</v>
      </c>
      <c r="D12" s="235">
        <v>46258.73</v>
      </c>
      <c r="E12" s="87">
        <v>246992.5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46258.73</v>
      </c>
      <c r="E21" s="154">
        <f>E11</f>
        <v>246992.5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235662.23</v>
      </c>
      <c r="E26" s="274">
        <f>D21</f>
        <v>46258.73</v>
      </c>
    </row>
    <row r="27" spans="2:6">
      <c r="B27" s="10" t="s">
        <v>17</v>
      </c>
      <c r="C27" s="11" t="s">
        <v>192</v>
      </c>
      <c r="D27" s="207">
        <v>-6530.8</v>
      </c>
      <c r="E27" s="243">
        <f>E28-E32</f>
        <v>198267.43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200031.24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200031.24</v>
      </c>
      <c r="F31" s="73"/>
    </row>
    <row r="32" spans="2:6">
      <c r="B32" s="97" t="s">
        <v>23</v>
      </c>
      <c r="C32" s="12" t="s">
        <v>24</v>
      </c>
      <c r="D32" s="207">
        <v>6530.8</v>
      </c>
      <c r="E32" s="244">
        <f>SUM(E33:E39)</f>
        <v>1763.81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107.21</v>
      </c>
      <c r="E35" s="246">
        <v>77.95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1840.66</v>
      </c>
      <c r="E37" s="246">
        <v>1685.86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4582.93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-1066.8900000000001</v>
      </c>
      <c r="E40" s="275">
        <v>2466.34</v>
      </c>
    </row>
    <row r="41" spans="2:6" ht="13.5" thickBot="1">
      <c r="B41" s="105" t="s">
        <v>37</v>
      </c>
      <c r="C41" s="106" t="s">
        <v>38</v>
      </c>
      <c r="D41" s="211">
        <v>228064.54</v>
      </c>
      <c r="E41" s="154">
        <f>E26+E27+E40</f>
        <v>246992.5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4701.0219999999999</v>
      </c>
      <c r="E47" s="155">
        <v>918.92600000000004</v>
      </c>
    </row>
    <row r="48" spans="2:6">
      <c r="B48" s="193" t="s">
        <v>6</v>
      </c>
      <c r="C48" s="194" t="s">
        <v>41</v>
      </c>
      <c r="D48" s="213">
        <v>4569.5159999999996</v>
      </c>
      <c r="E48" s="155">
        <v>4776.4939999999997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50.13</v>
      </c>
      <c r="E50" s="155">
        <v>50.34</v>
      </c>
    </row>
    <row r="51" spans="2:5">
      <c r="B51" s="191" t="s">
        <v>6</v>
      </c>
      <c r="C51" s="192" t="s">
        <v>195</v>
      </c>
      <c r="D51" s="215">
        <v>48.21</v>
      </c>
      <c r="E51" s="155">
        <v>48.14</v>
      </c>
    </row>
    <row r="52" spans="2:5">
      <c r="B52" s="191" t="s">
        <v>8</v>
      </c>
      <c r="C52" s="192" t="s">
        <v>196</v>
      </c>
      <c r="D52" s="215">
        <v>51.87</v>
      </c>
      <c r="E52" s="77">
        <v>53.25</v>
      </c>
    </row>
    <row r="53" spans="2:5" ht="13.5" customHeight="1" thickBot="1">
      <c r="B53" s="195" t="s">
        <v>9</v>
      </c>
      <c r="C53" s="196" t="s">
        <v>41</v>
      </c>
      <c r="D53" s="216">
        <v>49.91</v>
      </c>
      <c r="E53" s="281">
        <v>51.71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246992.5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246992.5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246992.5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246992.5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257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239155.88</v>
      </c>
      <c r="E11" s="9">
        <f>E12</f>
        <v>425874.59</v>
      </c>
    </row>
    <row r="12" spans="2:5">
      <c r="B12" s="180" t="s">
        <v>4</v>
      </c>
      <c r="C12" s="181" t="s">
        <v>5</v>
      </c>
      <c r="D12" s="235">
        <v>239155.88</v>
      </c>
      <c r="E12" s="87">
        <v>425874.59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239155.88</v>
      </c>
      <c r="E21" s="154">
        <f>E11</f>
        <v>425874.59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227802.52</v>
      </c>
      <c r="E26" s="274">
        <f>D21</f>
        <v>239155.88</v>
      </c>
    </row>
    <row r="27" spans="2:6">
      <c r="B27" s="10" t="s">
        <v>17</v>
      </c>
      <c r="C27" s="11" t="s">
        <v>192</v>
      </c>
      <c r="D27" s="207">
        <v>-18225.85999999987</v>
      </c>
      <c r="E27" s="243">
        <f>E28-E32</f>
        <v>189677.28999999998</v>
      </c>
      <c r="F27" s="73"/>
    </row>
    <row r="28" spans="2:6">
      <c r="B28" s="10" t="s">
        <v>18</v>
      </c>
      <c r="C28" s="11" t="s">
        <v>19</v>
      </c>
      <c r="D28" s="207">
        <v>1237794.1000000001</v>
      </c>
      <c r="E28" s="244">
        <f>SUM(E29:E31)</f>
        <v>200031.24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1237794.1000000001</v>
      </c>
      <c r="E31" s="246">
        <v>200031.24</v>
      </c>
      <c r="F31" s="73"/>
    </row>
    <row r="32" spans="2:6">
      <c r="B32" s="97" t="s">
        <v>23</v>
      </c>
      <c r="C32" s="12" t="s">
        <v>24</v>
      </c>
      <c r="D32" s="207">
        <v>1256019.96</v>
      </c>
      <c r="E32" s="244">
        <f>SUM(E33:E39)</f>
        <v>10353.950000000001</v>
      </c>
      <c r="F32" s="73"/>
    </row>
    <row r="33" spans="2:6">
      <c r="B33" s="188" t="s">
        <v>4</v>
      </c>
      <c r="C33" s="181" t="s">
        <v>25</v>
      </c>
      <c r="D33" s="208">
        <v>44304.42</v>
      </c>
      <c r="E33" s="246">
        <v>6978.95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572.84</v>
      </c>
      <c r="E35" s="246">
        <v>439.16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5667.69</v>
      </c>
      <c r="E37" s="246">
        <v>2935.84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1205475.01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27161.51</v>
      </c>
      <c r="E40" s="275">
        <v>-2958.58</v>
      </c>
    </row>
    <row r="41" spans="2:6" ht="13.5" thickBot="1">
      <c r="B41" s="105" t="s">
        <v>37</v>
      </c>
      <c r="C41" s="106" t="s">
        <v>38</v>
      </c>
      <c r="D41" s="211">
        <v>236738.17000000013</v>
      </c>
      <c r="E41" s="154">
        <f>E26+E27+E40</f>
        <v>425874.58999999997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12421.075000000001</v>
      </c>
      <c r="E47" s="155">
        <v>12183.183000000001</v>
      </c>
    </row>
    <row r="48" spans="2:6">
      <c r="B48" s="193" t="s">
        <v>6</v>
      </c>
      <c r="C48" s="194" t="s">
        <v>41</v>
      </c>
      <c r="D48" s="213">
        <v>12559.054</v>
      </c>
      <c r="E48" s="155">
        <v>21673.007000000001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18.34</v>
      </c>
      <c r="E50" s="155">
        <v>19.63</v>
      </c>
    </row>
    <row r="51" spans="2:5">
      <c r="B51" s="191" t="s">
        <v>6</v>
      </c>
      <c r="C51" s="192" t="s">
        <v>195</v>
      </c>
      <c r="D51" s="215">
        <v>18.34</v>
      </c>
      <c r="E51" s="77">
        <v>19.11</v>
      </c>
    </row>
    <row r="52" spans="2:5">
      <c r="B52" s="191" t="s">
        <v>8</v>
      </c>
      <c r="C52" s="192" t="s">
        <v>196</v>
      </c>
      <c r="D52" s="215">
        <v>19.079999999999998</v>
      </c>
      <c r="E52" s="77">
        <v>20.03</v>
      </c>
    </row>
    <row r="53" spans="2:5" ht="12.75" customHeight="1" thickBot="1">
      <c r="B53" s="195" t="s">
        <v>9</v>
      </c>
      <c r="C53" s="196" t="s">
        <v>41</v>
      </c>
      <c r="D53" s="216">
        <v>18.850000000000001</v>
      </c>
      <c r="E53" s="281">
        <v>19.649999999999999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425874.59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425874.59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425874.59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425874.59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258</v>
      </c>
      <c r="C6" s="311"/>
      <c r="D6" s="311"/>
      <c r="E6" s="311"/>
    </row>
    <row r="7" spans="2:7" ht="14.25">
      <c r="B7" s="171"/>
      <c r="C7" s="171"/>
      <c r="D7" s="171"/>
      <c r="E7" s="171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72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1524917.53</v>
      </c>
      <c r="E11" s="9">
        <f>E12</f>
        <v>1691304.88</v>
      </c>
    </row>
    <row r="12" spans="2:7">
      <c r="B12" s="180" t="s">
        <v>4</v>
      </c>
      <c r="C12" s="181" t="s">
        <v>5</v>
      </c>
      <c r="D12" s="235">
        <v>1524917.53</v>
      </c>
      <c r="E12" s="87">
        <v>1691304.88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1524917.53</v>
      </c>
      <c r="E21" s="154">
        <f>E11</f>
        <v>1691304.88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54466.05</v>
      </c>
      <c r="E26" s="274">
        <f>D21</f>
        <v>1524917.53</v>
      </c>
    </row>
    <row r="27" spans="2:6">
      <c r="B27" s="10" t="s">
        <v>17</v>
      </c>
      <c r="C27" s="11" t="s">
        <v>192</v>
      </c>
      <c r="D27" s="207">
        <v>1663190.21</v>
      </c>
      <c r="E27" s="243">
        <f>E28-E32</f>
        <v>186567.08000000002</v>
      </c>
      <c r="F27" s="73"/>
    </row>
    <row r="28" spans="2:6">
      <c r="B28" s="10" t="s">
        <v>18</v>
      </c>
      <c r="C28" s="11" t="s">
        <v>19</v>
      </c>
      <c r="D28" s="207">
        <v>1965704.35</v>
      </c>
      <c r="E28" s="244">
        <f>SUM(E29:E31)</f>
        <v>200031.22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1965704.35</v>
      </c>
      <c r="E31" s="246">
        <v>200031.22</v>
      </c>
      <c r="F31" s="73"/>
    </row>
    <row r="32" spans="2:6">
      <c r="B32" s="97" t="s">
        <v>23</v>
      </c>
      <c r="C32" s="12" t="s">
        <v>24</v>
      </c>
      <c r="D32" s="207">
        <v>302514.14</v>
      </c>
      <c r="E32" s="244">
        <f>SUM(E33:E39)</f>
        <v>13464.14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159.01</v>
      </c>
      <c r="E35" s="246">
        <v>139.33000000000001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6551.33</v>
      </c>
      <c r="E37" s="246">
        <v>13324.81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295803.8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24375.439999999999</v>
      </c>
      <c r="E40" s="275">
        <v>-20179.73</v>
      </c>
    </row>
    <row r="41" spans="2:6" ht="13.5" thickBot="1">
      <c r="B41" s="105" t="s">
        <v>37</v>
      </c>
      <c r="C41" s="106" t="s">
        <v>38</v>
      </c>
      <c r="D41" s="211">
        <v>1742031.7</v>
      </c>
      <c r="E41" s="154">
        <f>E26+E27+E40</f>
        <v>1691304.8800000001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4815.7430000000004</v>
      </c>
      <c r="E47" s="155">
        <v>121798.52499999999</v>
      </c>
    </row>
    <row r="48" spans="2:6">
      <c r="B48" s="193" t="s">
        <v>6</v>
      </c>
      <c r="C48" s="194" t="s">
        <v>41</v>
      </c>
      <c r="D48" s="213">
        <v>144807.29</v>
      </c>
      <c r="E48" s="155">
        <v>136175.916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11.31</v>
      </c>
      <c r="E50" s="155">
        <v>12.52</v>
      </c>
    </row>
    <row r="51" spans="2:5">
      <c r="B51" s="191" t="s">
        <v>6</v>
      </c>
      <c r="C51" s="192" t="s">
        <v>195</v>
      </c>
      <c r="D51" s="215">
        <v>11.31</v>
      </c>
      <c r="E51" s="77">
        <v>11.97</v>
      </c>
    </row>
    <row r="52" spans="2:5">
      <c r="B52" s="191" t="s">
        <v>8</v>
      </c>
      <c r="C52" s="192" t="s">
        <v>196</v>
      </c>
      <c r="D52" s="215">
        <v>12.38</v>
      </c>
      <c r="E52" s="77">
        <v>13.06</v>
      </c>
    </row>
    <row r="53" spans="2:5" ht="13.5" thickBot="1">
      <c r="B53" s="195" t="s">
        <v>9</v>
      </c>
      <c r="C53" s="196" t="s">
        <v>41</v>
      </c>
      <c r="D53" s="216">
        <v>12.03</v>
      </c>
      <c r="E53" s="281">
        <v>12.42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1691304.88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1691304.88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1691304.88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1691304.88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259</v>
      </c>
      <c r="C6" s="311"/>
      <c r="D6" s="311"/>
      <c r="E6" s="311"/>
    </row>
    <row r="7" spans="2:7" ht="14.25">
      <c r="B7" s="203"/>
      <c r="C7" s="203"/>
      <c r="D7" s="203"/>
      <c r="E7" s="203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204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1373697.16</v>
      </c>
      <c r="E11" s="9">
        <f>E12</f>
        <v>1431972.25</v>
      </c>
    </row>
    <row r="12" spans="2:7">
      <c r="B12" s="180" t="s">
        <v>4</v>
      </c>
      <c r="C12" s="181" t="s">
        <v>5</v>
      </c>
      <c r="D12" s="235">
        <v>1373697.16</v>
      </c>
      <c r="E12" s="87">
        <v>1431972.25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1373697.16</v>
      </c>
      <c r="E21" s="154">
        <f>E11</f>
        <v>1431972.25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0</v>
      </c>
      <c r="E26" s="274">
        <f>D21</f>
        <v>1373697.16</v>
      </c>
    </row>
    <row r="27" spans="2:6">
      <c r="B27" s="10" t="s">
        <v>17</v>
      </c>
      <c r="C27" s="11" t="s">
        <v>192</v>
      </c>
      <c r="D27" s="207">
        <v>1156339.5899999999</v>
      </c>
      <c r="E27" s="243">
        <f>E28-E32</f>
        <v>117847.7</v>
      </c>
      <c r="F27" s="73"/>
    </row>
    <row r="28" spans="2:6">
      <c r="B28" s="10" t="s">
        <v>18</v>
      </c>
      <c r="C28" s="11" t="s">
        <v>19</v>
      </c>
      <c r="D28" s="207">
        <v>2608460.88</v>
      </c>
      <c r="E28" s="244">
        <f>SUM(E29:E31)</f>
        <v>200031.28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2608460.88</v>
      </c>
      <c r="E31" s="246">
        <v>200031.28</v>
      </c>
      <c r="F31" s="73"/>
    </row>
    <row r="32" spans="2:6">
      <c r="B32" s="97" t="s">
        <v>23</v>
      </c>
      <c r="C32" s="12" t="s">
        <v>24</v>
      </c>
      <c r="D32" s="207">
        <v>1452121.29</v>
      </c>
      <c r="E32" s="244">
        <f>SUM(E33:E39)</f>
        <v>82183.58</v>
      </c>
      <c r="F32" s="73"/>
    </row>
    <row r="33" spans="2:6">
      <c r="B33" s="188" t="s">
        <v>4</v>
      </c>
      <c r="C33" s="181" t="s">
        <v>25</v>
      </c>
      <c r="D33" s="208"/>
      <c r="E33" s="246">
        <v>70301.73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83.08</v>
      </c>
      <c r="E35" s="246">
        <v>125.72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5352.49</v>
      </c>
      <c r="E37" s="246">
        <v>11756.13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1446685.72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21443.33</v>
      </c>
      <c r="E40" s="275">
        <v>-59572.61</v>
      </c>
    </row>
    <row r="41" spans="2:6" ht="13.5" thickBot="1">
      <c r="B41" s="105" t="s">
        <v>37</v>
      </c>
      <c r="C41" s="106" t="s">
        <v>38</v>
      </c>
      <c r="D41" s="211">
        <v>1177782.92</v>
      </c>
      <c r="E41" s="154">
        <f>E26+E27+E40</f>
        <v>1431972.2499999998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/>
      <c r="E47" s="155">
        <v>117410.014</v>
      </c>
    </row>
    <row r="48" spans="2:6">
      <c r="B48" s="193" t="s">
        <v>6</v>
      </c>
      <c r="C48" s="194" t="s">
        <v>41</v>
      </c>
      <c r="D48" s="213">
        <v>102505.041</v>
      </c>
      <c r="E48" s="155">
        <v>127286.42200000001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/>
      <c r="E50" s="155">
        <v>11.7</v>
      </c>
    </row>
    <row r="51" spans="2:5">
      <c r="B51" s="191" t="s">
        <v>6</v>
      </c>
      <c r="C51" s="192" t="s">
        <v>195</v>
      </c>
      <c r="D51" s="215">
        <v>11.37</v>
      </c>
      <c r="E51" s="77">
        <v>11.24</v>
      </c>
    </row>
    <row r="52" spans="2:5">
      <c r="B52" s="191" t="s">
        <v>8</v>
      </c>
      <c r="C52" s="192" t="s">
        <v>196</v>
      </c>
      <c r="D52" s="215">
        <v>12.38</v>
      </c>
      <c r="E52" s="77">
        <v>11.81</v>
      </c>
    </row>
    <row r="53" spans="2:5" ht="13.5" thickBot="1">
      <c r="B53" s="195" t="s">
        <v>9</v>
      </c>
      <c r="C53" s="196" t="s">
        <v>41</v>
      </c>
      <c r="D53" s="216">
        <v>11.49</v>
      </c>
      <c r="E53" s="281">
        <v>11.25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1431972.25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1431972.25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1431972.25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1431972.25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260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19781.22</v>
      </c>
      <c r="E11" s="9">
        <f>E12</f>
        <v>19143.61</v>
      </c>
    </row>
    <row r="12" spans="2:5">
      <c r="B12" s="180" t="s">
        <v>4</v>
      </c>
      <c r="C12" s="181" t="s">
        <v>5</v>
      </c>
      <c r="D12" s="235">
        <v>19781.22</v>
      </c>
      <c r="E12" s="87">
        <f>19321.65-178.04</f>
        <v>19143.61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19781.22</v>
      </c>
      <c r="E21" s="154">
        <f>E11</f>
        <v>19143.61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54766.2</v>
      </c>
      <c r="E26" s="274">
        <f>D21</f>
        <v>19781.22</v>
      </c>
    </row>
    <row r="27" spans="2:6">
      <c r="B27" s="10" t="s">
        <v>17</v>
      </c>
      <c r="C27" s="11" t="s">
        <v>192</v>
      </c>
      <c r="D27" s="207">
        <v>-26828.37</v>
      </c>
      <c r="E27" s="243">
        <f>E28-E32</f>
        <v>1005.9700000000003</v>
      </c>
      <c r="F27" s="73"/>
    </row>
    <row r="28" spans="2:6">
      <c r="B28" s="10" t="s">
        <v>18</v>
      </c>
      <c r="C28" s="11" t="s">
        <v>19</v>
      </c>
      <c r="D28" s="207">
        <v>1457.5900000000001</v>
      </c>
      <c r="E28" s="244">
        <f>SUM(E29:E31)</f>
        <v>3231.42</v>
      </c>
      <c r="F28" s="73"/>
    </row>
    <row r="29" spans="2:6">
      <c r="B29" s="188" t="s">
        <v>4</v>
      </c>
      <c r="C29" s="181" t="s">
        <v>20</v>
      </c>
      <c r="D29" s="208">
        <v>983.2</v>
      </c>
      <c r="E29" s="246">
        <v>1318.58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474.39</v>
      </c>
      <c r="E31" s="246">
        <v>1912.84</v>
      </c>
      <c r="F31" s="73"/>
    </row>
    <row r="32" spans="2:6">
      <c r="B32" s="97" t="s">
        <v>23</v>
      </c>
      <c r="C32" s="12" t="s">
        <v>24</v>
      </c>
      <c r="D32" s="207">
        <v>28285.96</v>
      </c>
      <c r="E32" s="244">
        <f>SUM(E33:E39)</f>
        <v>2225.4499999999998</v>
      </c>
      <c r="F32" s="73"/>
    </row>
    <row r="33" spans="2:6">
      <c r="B33" s="188" t="s">
        <v>4</v>
      </c>
      <c r="C33" s="181" t="s">
        <v>25</v>
      </c>
      <c r="D33" s="208"/>
      <c r="E33" s="246">
        <v>178.04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144.62</v>
      </c>
      <c r="E35" s="246">
        <v>119.7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294.58</v>
      </c>
      <c r="E37" s="246">
        <v>148.4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27846.76</v>
      </c>
      <c r="E39" s="248">
        <v>1779.31</v>
      </c>
      <c r="F39" s="73"/>
    </row>
    <row r="40" spans="2:6" ht="13.5" thickBot="1">
      <c r="B40" s="103" t="s">
        <v>35</v>
      </c>
      <c r="C40" s="104" t="s">
        <v>36</v>
      </c>
      <c r="D40" s="210">
        <v>1937.77</v>
      </c>
      <c r="E40" s="275">
        <v>-1643.58</v>
      </c>
    </row>
    <row r="41" spans="2:6" ht="13.5" thickBot="1">
      <c r="B41" s="105" t="s">
        <v>37</v>
      </c>
      <c r="C41" s="106" t="s">
        <v>38</v>
      </c>
      <c r="D41" s="211">
        <v>29875.599999999999</v>
      </c>
      <c r="E41" s="154">
        <f>E26+E27+E40</f>
        <v>19143.61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500.834</v>
      </c>
      <c r="E47" s="155">
        <v>168.99799999999999</v>
      </c>
    </row>
    <row r="48" spans="2:6">
      <c r="B48" s="193" t="s">
        <v>6</v>
      </c>
      <c r="C48" s="194" t="s">
        <v>41</v>
      </c>
      <c r="D48" s="213">
        <v>264.012</v>
      </c>
      <c r="E48" s="155">
        <v>176.87899999999999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109.35</v>
      </c>
      <c r="E50" s="155">
        <v>117.05</v>
      </c>
    </row>
    <row r="51" spans="2:5">
      <c r="B51" s="191" t="s">
        <v>6</v>
      </c>
      <c r="C51" s="192" t="s">
        <v>195</v>
      </c>
      <c r="D51" s="215">
        <v>108.03</v>
      </c>
      <c r="E51" s="155">
        <v>105.39</v>
      </c>
    </row>
    <row r="52" spans="2:5">
      <c r="B52" s="191" t="s">
        <v>8</v>
      </c>
      <c r="C52" s="192" t="s">
        <v>196</v>
      </c>
      <c r="D52" s="215">
        <v>115.54</v>
      </c>
      <c r="E52" s="77">
        <v>125.74</v>
      </c>
    </row>
    <row r="53" spans="2:5" ht="13.5" customHeight="1" thickBot="1">
      <c r="B53" s="195" t="s">
        <v>9</v>
      </c>
      <c r="C53" s="196" t="s">
        <v>41</v>
      </c>
      <c r="D53" s="216">
        <v>113.16</v>
      </c>
      <c r="E53" s="281">
        <v>108.23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19143.61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19143.61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19143.61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19143.61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G81"/>
  <sheetViews>
    <sheetView topLeftCell="A4"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261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456609.17</v>
      </c>
      <c r="E11" s="9">
        <f>E12</f>
        <v>508610.41000000003</v>
      </c>
    </row>
    <row r="12" spans="2:7">
      <c r="B12" s="180" t="s">
        <v>4</v>
      </c>
      <c r="C12" s="181" t="s">
        <v>5</v>
      </c>
      <c r="D12" s="235">
        <v>456609.17</v>
      </c>
      <c r="E12" s="87">
        <f>509926.7-1316.29</f>
        <v>508610.41000000003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456609.17</v>
      </c>
      <c r="E21" s="154">
        <f>E11</f>
        <v>508610.41000000003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388105.74</v>
      </c>
      <c r="E26" s="274">
        <f>D21</f>
        <v>456609.17</v>
      </c>
    </row>
    <row r="27" spans="2:6">
      <c r="B27" s="10" t="s">
        <v>17</v>
      </c>
      <c r="C27" s="11" t="s">
        <v>192</v>
      </c>
      <c r="D27" s="207">
        <v>71000.569999999992</v>
      </c>
      <c r="E27" s="243">
        <f>E28-E32</f>
        <v>45268.15</v>
      </c>
      <c r="F27" s="73"/>
    </row>
    <row r="28" spans="2:6">
      <c r="B28" s="10" t="s">
        <v>18</v>
      </c>
      <c r="C28" s="11" t="s">
        <v>19</v>
      </c>
      <c r="D28" s="207">
        <v>154781.96</v>
      </c>
      <c r="E28" s="244">
        <f>SUM(E29:E31)</f>
        <v>57315.61</v>
      </c>
      <c r="F28" s="73"/>
    </row>
    <row r="29" spans="2:6">
      <c r="B29" s="188" t="s">
        <v>4</v>
      </c>
      <c r="C29" s="181" t="s">
        <v>20</v>
      </c>
      <c r="D29" s="208">
        <v>14960.9</v>
      </c>
      <c r="E29" s="246">
        <v>16870.099999999999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139821.06</v>
      </c>
      <c r="E31" s="246">
        <v>40445.51</v>
      </c>
      <c r="F31" s="73"/>
    </row>
    <row r="32" spans="2:6">
      <c r="B32" s="97" t="s">
        <v>23</v>
      </c>
      <c r="C32" s="12" t="s">
        <v>24</v>
      </c>
      <c r="D32" s="207">
        <v>83781.39</v>
      </c>
      <c r="E32" s="244">
        <f>SUM(E33:E39)</f>
        <v>12047.46</v>
      </c>
      <c r="F32" s="73"/>
    </row>
    <row r="33" spans="2:6">
      <c r="B33" s="188" t="s">
        <v>4</v>
      </c>
      <c r="C33" s="181" t="s">
        <v>25</v>
      </c>
      <c r="D33" s="208">
        <v>36513.03</v>
      </c>
      <c r="E33" s="246">
        <f>3008.93+1316.29</f>
        <v>4325.2199999999993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1541.03</v>
      </c>
      <c r="E35" s="246">
        <v>1535.71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3252.37</v>
      </c>
      <c r="E37" s="246">
        <v>3751.69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42474.96</v>
      </c>
      <c r="E39" s="248">
        <v>2434.84</v>
      </c>
      <c r="F39" s="73"/>
    </row>
    <row r="40" spans="2:6" ht="13.5" thickBot="1">
      <c r="B40" s="103" t="s">
        <v>35</v>
      </c>
      <c r="C40" s="104" t="s">
        <v>36</v>
      </c>
      <c r="D40" s="210">
        <v>13549.56</v>
      </c>
      <c r="E40" s="275">
        <v>6733.09</v>
      </c>
    </row>
    <row r="41" spans="2:6" ht="13.5" thickBot="1">
      <c r="B41" s="105" t="s">
        <v>37</v>
      </c>
      <c r="C41" s="106" t="s">
        <v>38</v>
      </c>
      <c r="D41" s="211">
        <v>472655.87</v>
      </c>
      <c r="E41" s="154">
        <f>E26+E27+E40</f>
        <v>508610.41000000003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1941.8879999999999</v>
      </c>
      <c r="E47" s="155">
        <v>2186.3020000000001</v>
      </c>
    </row>
    <row r="48" spans="2:6">
      <c r="B48" s="193" t="s">
        <v>6</v>
      </c>
      <c r="C48" s="194" t="s">
        <v>41</v>
      </c>
      <c r="D48" s="213">
        <v>2297.904</v>
      </c>
      <c r="E48" s="155">
        <v>2408.837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199.86</v>
      </c>
      <c r="E50" s="155">
        <v>208.85</v>
      </c>
    </row>
    <row r="51" spans="2:5">
      <c r="B51" s="191" t="s">
        <v>6</v>
      </c>
      <c r="C51" s="192" t="s">
        <v>195</v>
      </c>
      <c r="D51" s="215">
        <v>199.12</v>
      </c>
      <c r="E51" s="155">
        <v>207.65</v>
      </c>
    </row>
    <row r="52" spans="2:5">
      <c r="B52" s="191" t="s">
        <v>8</v>
      </c>
      <c r="C52" s="192" t="s">
        <v>196</v>
      </c>
      <c r="D52" s="215">
        <v>206.64</v>
      </c>
      <c r="E52" s="77">
        <v>212.52</v>
      </c>
    </row>
    <row r="53" spans="2:5" ht="13.5" thickBot="1">
      <c r="B53" s="195" t="s">
        <v>9</v>
      </c>
      <c r="C53" s="196" t="s">
        <v>41</v>
      </c>
      <c r="D53" s="216">
        <v>205.69</v>
      </c>
      <c r="E53" s="281">
        <v>211.69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508610.41000000003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24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508610.41000000003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508610.41000000003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508610.41000000003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262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247550.44</v>
      </c>
      <c r="E11" s="9">
        <f>E12</f>
        <v>213451.71</v>
      </c>
    </row>
    <row r="12" spans="2:7">
      <c r="B12" s="180" t="s">
        <v>4</v>
      </c>
      <c r="C12" s="181" t="s">
        <v>5</v>
      </c>
      <c r="D12" s="235">
        <v>247550.44</v>
      </c>
      <c r="E12" s="87">
        <f>216283.68-2831.97</f>
        <v>213451.71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247550.44</v>
      </c>
      <c r="E21" s="154">
        <f>E11-E17</f>
        <v>213451.71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186439.65999999997</v>
      </c>
      <c r="E26" s="274">
        <f>D21</f>
        <v>247550.44</v>
      </c>
    </row>
    <row r="27" spans="2:6">
      <c r="B27" s="10" t="s">
        <v>17</v>
      </c>
      <c r="C27" s="11" t="s">
        <v>192</v>
      </c>
      <c r="D27" s="207">
        <v>-3636.3399999999965</v>
      </c>
      <c r="E27" s="243">
        <f>E28-E32</f>
        <v>-28096.78</v>
      </c>
      <c r="F27" s="73"/>
    </row>
    <row r="28" spans="2:6">
      <c r="B28" s="10" t="s">
        <v>18</v>
      </c>
      <c r="C28" s="11" t="s">
        <v>19</v>
      </c>
      <c r="D28" s="207">
        <v>17289.27</v>
      </c>
      <c r="E28" s="244">
        <f>SUM(E29:E31)</f>
        <v>27316.949999999997</v>
      </c>
      <c r="F28" s="73"/>
    </row>
    <row r="29" spans="2:6">
      <c r="B29" s="188" t="s">
        <v>4</v>
      </c>
      <c r="C29" s="181" t="s">
        <v>20</v>
      </c>
      <c r="D29" s="208">
        <v>16820.98</v>
      </c>
      <c r="E29" s="246">
        <v>18242.46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468.29</v>
      </c>
      <c r="E31" s="246">
        <v>9074.49</v>
      </c>
      <c r="F31" s="73"/>
    </row>
    <row r="32" spans="2:6">
      <c r="B32" s="97" t="s">
        <v>23</v>
      </c>
      <c r="C32" s="12" t="s">
        <v>24</v>
      </c>
      <c r="D32" s="207">
        <v>20925.609999999997</v>
      </c>
      <c r="E32" s="244">
        <f>SUM(E33:E39)</f>
        <v>55413.729999999996</v>
      </c>
      <c r="F32" s="73"/>
    </row>
    <row r="33" spans="2:6">
      <c r="B33" s="188" t="s">
        <v>4</v>
      </c>
      <c r="C33" s="181" t="s">
        <v>25</v>
      </c>
      <c r="D33" s="208">
        <v>18270.149999999998</v>
      </c>
      <c r="E33" s="246">
        <f>23791.07+2645.24</f>
        <v>26436.309999999998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1932.68</v>
      </c>
      <c r="E35" s="246">
        <v>1576.01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722.78</v>
      </c>
      <c r="E37" s="246">
        <v>819.53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26581.88</v>
      </c>
      <c r="F39" s="73"/>
    </row>
    <row r="40" spans="2:6" ht="13.5" thickBot="1">
      <c r="B40" s="103" t="s">
        <v>35</v>
      </c>
      <c r="C40" s="104" t="s">
        <v>36</v>
      </c>
      <c r="D40" s="210">
        <v>11158.56</v>
      </c>
      <c r="E40" s="275">
        <v>-6001.95</v>
      </c>
    </row>
    <row r="41" spans="2:6" ht="13.5" thickBot="1">
      <c r="B41" s="105" t="s">
        <v>37</v>
      </c>
      <c r="C41" s="106" t="s">
        <v>38</v>
      </c>
      <c r="D41" s="211">
        <v>193961.87999999998</v>
      </c>
      <c r="E41" s="154">
        <f>E26+E27+E40</f>
        <v>213451.71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1232.3330000000001</v>
      </c>
      <c r="E47" s="283">
        <v>1508.626</v>
      </c>
    </row>
    <row r="48" spans="2:6">
      <c r="B48" s="193" t="s">
        <v>6</v>
      </c>
      <c r="C48" s="194" t="s">
        <v>41</v>
      </c>
      <c r="D48" s="213">
        <v>1206.8310104529617</v>
      </c>
      <c r="E48" s="283">
        <v>1334.99099</v>
      </c>
    </row>
    <row r="49" spans="2:5">
      <c r="B49" s="126" t="s">
        <v>23</v>
      </c>
      <c r="C49" s="130" t="s">
        <v>194</v>
      </c>
      <c r="D49" s="214"/>
      <c r="E49" s="218"/>
    </row>
    <row r="50" spans="2:5">
      <c r="B50" s="191" t="s">
        <v>4</v>
      </c>
      <c r="C50" s="192" t="s">
        <v>40</v>
      </c>
      <c r="D50" s="212">
        <v>151.29</v>
      </c>
      <c r="E50" s="284">
        <v>164.09</v>
      </c>
    </row>
    <row r="51" spans="2:5">
      <c r="B51" s="191" t="s">
        <v>6</v>
      </c>
      <c r="C51" s="192" t="s">
        <v>195</v>
      </c>
      <c r="D51" s="215">
        <v>151.12</v>
      </c>
      <c r="E51" s="285">
        <v>159.22999999999999</v>
      </c>
    </row>
    <row r="52" spans="2:5">
      <c r="B52" s="191" t="s">
        <v>8</v>
      </c>
      <c r="C52" s="192" t="s">
        <v>196</v>
      </c>
      <c r="D52" s="215">
        <v>161.47999999999999</v>
      </c>
      <c r="E52" s="285">
        <v>166.89</v>
      </c>
    </row>
    <row r="53" spans="2:5" ht="13.5" customHeight="1" thickBot="1">
      <c r="B53" s="195" t="s">
        <v>9</v>
      </c>
      <c r="C53" s="196" t="s">
        <v>41</v>
      </c>
      <c r="D53" s="216">
        <v>160.72</v>
      </c>
      <c r="E53" s="281">
        <v>159.88999999999999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213451.71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4.2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213451.71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213451.71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213451.71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263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351768.4</v>
      </c>
      <c r="E11" s="9">
        <f>E12</f>
        <v>111613</v>
      </c>
    </row>
    <row r="12" spans="2:7">
      <c r="B12" s="180" t="s">
        <v>4</v>
      </c>
      <c r="C12" s="181" t="s">
        <v>5</v>
      </c>
      <c r="D12" s="235">
        <v>351768.4</v>
      </c>
      <c r="E12" s="87">
        <f>113135.44-1522.44</f>
        <v>111613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351768.4</v>
      </c>
      <c r="E21" s="154">
        <f>E11</f>
        <v>111613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287519.93</v>
      </c>
      <c r="E26" s="274">
        <f>D21</f>
        <v>351768.4</v>
      </c>
    </row>
    <row r="27" spans="2:6">
      <c r="B27" s="10" t="s">
        <v>17</v>
      </c>
      <c r="C27" s="11" t="s">
        <v>192</v>
      </c>
      <c r="D27" s="207">
        <v>14241.73</v>
      </c>
      <c r="E27" s="243">
        <f>E28-E32</f>
        <v>-228753.62</v>
      </c>
      <c r="F27" s="73"/>
    </row>
    <row r="28" spans="2:6">
      <c r="B28" s="10" t="s">
        <v>18</v>
      </c>
      <c r="C28" s="11" t="s">
        <v>19</v>
      </c>
      <c r="D28" s="207">
        <v>32040.579999999998</v>
      </c>
      <c r="E28" s="244">
        <f>SUM(E29:E31)</f>
        <v>9875.7999999999993</v>
      </c>
      <c r="F28" s="73"/>
    </row>
    <row r="29" spans="2:6">
      <c r="B29" s="188" t="s">
        <v>4</v>
      </c>
      <c r="C29" s="181" t="s">
        <v>20</v>
      </c>
      <c r="D29" s="208">
        <v>5381.71</v>
      </c>
      <c r="E29" s="246">
        <v>6074.38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26658.87</v>
      </c>
      <c r="E31" s="246">
        <v>3801.42</v>
      </c>
      <c r="F31" s="73"/>
    </row>
    <row r="32" spans="2:6">
      <c r="B32" s="97" t="s">
        <v>23</v>
      </c>
      <c r="C32" s="12" t="s">
        <v>24</v>
      </c>
      <c r="D32" s="207">
        <v>17798.849999999999</v>
      </c>
      <c r="E32" s="244">
        <f>SUM(E33:E39)</f>
        <v>238629.41999999998</v>
      </c>
      <c r="F32" s="73"/>
    </row>
    <row r="33" spans="2:6">
      <c r="B33" s="188" t="s">
        <v>4</v>
      </c>
      <c r="C33" s="181" t="s">
        <v>25</v>
      </c>
      <c r="D33" s="208">
        <v>999.39</v>
      </c>
      <c r="E33" s="246">
        <f>211167.19+1522.44</f>
        <v>212689.63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292.16000000000003</v>
      </c>
      <c r="E35" s="246">
        <v>378.11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2896.11</v>
      </c>
      <c r="E37" s="246">
        <v>2101.0100000000002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13611.19</v>
      </c>
      <c r="E39" s="248">
        <v>23460.67</v>
      </c>
      <c r="F39" s="73"/>
    </row>
    <row r="40" spans="2:6" ht="13.5" thickBot="1">
      <c r="B40" s="103" t="s">
        <v>35</v>
      </c>
      <c r="C40" s="104" t="s">
        <v>36</v>
      </c>
      <c r="D40" s="210">
        <v>26833</v>
      </c>
      <c r="E40" s="275">
        <v>-11401.78</v>
      </c>
    </row>
    <row r="41" spans="2:6" ht="13.5" thickBot="1">
      <c r="B41" s="105" t="s">
        <v>37</v>
      </c>
      <c r="C41" s="106" t="s">
        <v>38</v>
      </c>
      <c r="D41" s="211">
        <v>328594.65999999997</v>
      </c>
      <c r="E41" s="154">
        <f>E26+E27+E40</f>
        <v>111613.00000000003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2196.8209999999999</v>
      </c>
      <c r="E47" s="155">
        <v>2405.5830000000001</v>
      </c>
    </row>
    <row r="48" spans="2:6">
      <c r="B48" s="193" t="s">
        <v>6</v>
      </c>
      <c r="C48" s="194" t="s">
        <v>41</v>
      </c>
      <c r="D48" s="213">
        <v>2304.4720000000002</v>
      </c>
      <c r="E48" s="155">
        <v>820.476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130.88</v>
      </c>
      <c r="E50" s="155">
        <v>146.22999999999999</v>
      </c>
    </row>
    <row r="51" spans="2:5">
      <c r="B51" s="191" t="s">
        <v>6</v>
      </c>
      <c r="C51" s="192" t="s">
        <v>195</v>
      </c>
      <c r="D51" s="215">
        <v>130.88</v>
      </c>
      <c r="E51" s="155">
        <v>136.83000000000001</v>
      </c>
    </row>
    <row r="52" spans="2:5">
      <c r="B52" s="191" t="s">
        <v>8</v>
      </c>
      <c r="C52" s="192" t="s">
        <v>196</v>
      </c>
      <c r="D52" s="215">
        <v>143.65</v>
      </c>
      <c r="E52" s="77">
        <v>150.63</v>
      </c>
    </row>
    <row r="53" spans="2:5" ht="12.75" customHeight="1" thickBot="1">
      <c r="B53" s="195" t="s">
        <v>9</v>
      </c>
      <c r="C53" s="196" t="s">
        <v>41</v>
      </c>
      <c r="D53" s="216">
        <v>142.59</v>
      </c>
      <c r="E53" s="281">
        <v>137.88999999999999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111613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111613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111613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111613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264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264424.64</v>
      </c>
      <c r="E11" s="9">
        <f>E12</f>
        <v>156915.6</v>
      </c>
    </row>
    <row r="12" spans="2:5">
      <c r="B12" s="180" t="s">
        <v>4</v>
      </c>
      <c r="C12" s="181" t="s">
        <v>5</v>
      </c>
      <c r="D12" s="235">
        <v>264424.64</v>
      </c>
      <c r="E12" s="87">
        <v>156915.6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264424.64</v>
      </c>
      <c r="E21" s="154">
        <f>E11</f>
        <v>156915.6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501075.93</v>
      </c>
      <c r="E26" s="274">
        <f>D21</f>
        <v>264424.64</v>
      </c>
    </row>
    <row r="27" spans="2:6">
      <c r="B27" s="10" t="s">
        <v>17</v>
      </c>
      <c r="C27" s="11" t="s">
        <v>192</v>
      </c>
      <c r="D27" s="207">
        <v>-165656</v>
      </c>
      <c r="E27" s="243">
        <f>E28-E32</f>
        <v>-74057.78</v>
      </c>
      <c r="F27" s="73"/>
    </row>
    <row r="28" spans="2:6">
      <c r="B28" s="10" t="s">
        <v>18</v>
      </c>
      <c r="C28" s="11" t="s">
        <v>19</v>
      </c>
      <c r="D28" s="207">
        <v>50469.98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50469.98</v>
      </c>
      <c r="E31" s="246"/>
      <c r="F31" s="73"/>
    </row>
    <row r="32" spans="2:6">
      <c r="B32" s="97" t="s">
        <v>23</v>
      </c>
      <c r="C32" s="12" t="s">
        <v>24</v>
      </c>
      <c r="D32" s="207">
        <v>216125.98</v>
      </c>
      <c r="E32" s="244">
        <f>SUM(E33:E39)</f>
        <v>74057.78</v>
      </c>
      <c r="F32" s="73"/>
    </row>
    <row r="33" spans="2:6">
      <c r="B33" s="188" t="s">
        <v>4</v>
      </c>
      <c r="C33" s="181" t="s">
        <v>25</v>
      </c>
      <c r="D33" s="208">
        <v>138164.20000000001</v>
      </c>
      <c r="E33" s="246">
        <v>55833.9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738.4</v>
      </c>
      <c r="E35" s="246">
        <v>529.47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929.28</v>
      </c>
      <c r="E37" s="246">
        <v>952.14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76294.100000000006</v>
      </c>
      <c r="E39" s="248">
        <v>16742.27</v>
      </c>
      <c r="F39" s="73"/>
    </row>
    <row r="40" spans="2:6" ht="13.5" thickBot="1">
      <c r="B40" s="103" t="s">
        <v>35</v>
      </c>
      <c r="C40" s="104" t="s">
        <v>36</v>
      </c>
      <c r="D40" s="210">
        <v>30662.89</v>
      </c>
      <c r="E40" s="275">
        <v>-33451.26</v>
      </c>
    </row>
    <row r="41" spans="2:6" ht="13.5" thickBot="1">
      <c r="B41" s="105" t="s">
        <v>37</v>
      </c>
      <c r="C41" s="106" t="s">
        <v>38</v>
      </c>
      <c r="D41" s="211">
        <v>366082.82</v>
      </c>
      <c r="E41" s="154">
        <f>E26+E27+E40</f>
        <v>156915.6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3996.4582</v>
      </c>
      <c r="E47" s="155">
        <v>2103.6169</v>
      </c>
    </row>
    <row r="48" spans="2:6">
      <c r="B48" s="193" t="s">
        <v>6</v>
      </c>
      <c r="C48" s="194" t="s">
        <v>41</v>
      </c>
      <c r="D48" s="213">
        <v>2767.9027672765765</v>
      </c>
      <c r="E48" s="155">
        <v>1460.9031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125.38</v>
      </c>
      <c r="E50" s="155">
        <v>125.7</v>
      </c>
    </row>
    <row r="51" spans="2:5">
      <c r="B51" s="191" t="s">
        <v>6</v>
      </c>
      <c r="C51" s="192" t="s">
        <v>195</v>
      </c>
      <c r="D51" s="215">
        <v>125.38</v>
      </c>
      <c r="E51" s="155">
        <v>106.15</v>
      </c>
    </row>
    <row r="52" spans="2:5">
      <c r="B52" s="191" t="s">
        <v>8</v>
      </c>
      <c r="C52" s="192" t="s">
        <v>196</v>
      </c>
      <c r="D52" s="215">
        <v>139.28</v>
      </c>
      <c r="E52" s="77">
        <v>131.03</v>
      </c>
    </row>
    <row r="53" spans="2:5" ht="14.25" customHeight="1" thickBot="1">
      <c r="B53" s="195" t="s">
        <v>9</v>
      </c>
      <c r="C53" s="196" t="s">
        <v>41</v>
      </c>
      <c r="D53" s="216">
        <v>132.26</v>
      </c>
      <c r="E53" s="281">
        <v>107.41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156915.6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156915.6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156915.6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156915.6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216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992505.74</v>
      </c>
      <c r="E11" s="9">
        <f>E12</f>
        <v>833382.99</v>
      </c>
    </row>
    <row r="12" spans="2:7">
      <c r="B12" s="180" t="s">
        <v>4</v>
      </c>
      <c r="C12" s="181" t="s">
        <v>5</v>
      </c>
      <c r="D12" s="235">
        <v>992505.74</v>
      </c>
      <c r="E12" s="87">
        <v>833382.99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992505.74</v>
      </c>
      <c r="E21" s="154">
        <f>E11</f>
        <v>833382.99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20813.419999999998</v>
      </c>
      <c r="E26" s="274">
        <f>D21</f>
        <v>992505.74</v>
      </c>
    </row>
    <row r="27" spans="2:6">
      <c r="B27" s="10" t="s">
        <v>17</v>
      </c>
      <c r="C27" s="11" t="s">
        <v>192</v>
      </c>
      <c r="D27" s="207">
        <v>1537818.73</v>
      </c>
      <c r="E27" s="243">
        <f>E28-E32</f>
        <v>-7779.83</v>
      </c>
      <c r="F27" s="73"/>
    </row>
    <row r="28" spans="2:6">
      <c r="B28" s="10" t="s">
        <v>18</v>
      </c>
      <c r="C28" s="11" t="s">
        <v>19</v>
      </c>
      <c r="D28" s="207">
        <v>1545197.88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1545197.88</v>
      </c>
      <c r="E31" s="246"/>
      <c r="F31" s="73"/>
    </row>
    <row r="32" spans="2:6">
      <c r="B32" s="97" t="s">
        <v>23</v>
      </c>
      <c r="C32" s="12" t="s">
        <v>24</v>
      </c>
      <c r="D32" s="207">
        <v>7379.1500000000005</v>
      </c>
      <c r="E32" s="244">
        <f>SUM(E33:E39)</f>
        <v>7779.83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233.09</v>
      </c>
      <c r="E35" s="246">
        <v>341.83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7146.06</v>
      </c>
      <c r="E37" s="246">
        <v>7438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-4398.16</v>
      </c>
      <c r="E40" s="275">
        <v>-151342.92000000001</v>
      </c>
    </row>
    <row r="41" spans="2:6" ht="13.5" thickBot="1">
      <c r="B41" s="105" t="s">
        <v>37</v>
      </c>
      <c r="C41" s="106" t="s">
        <v>38</v>
      </c>
      <c r="D41" s="211">
        <v>1554233.99</v>
      </c>
      <c r="E41" s="154">
        <f>E26+E27+E40</f>
        <v>833382.99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213.8219</v>
      </c>
      <c r="E47" s="155">
        <v>9333.3245999999999</v>
      </c>
    </row>
    <row r="48" spans="2:6">
      <c r="B48" s="193" t="s">
        <v>6</v>
      </c>
      <c r="C48" s="194" t="s">
        <v>41</v>
      </c>
      <c r="D48" s="213">
        <v>14314.183000000001</v>
      </c>
      <c r="E48" s="155">
        <v>9255.6973999999991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97.34</v>
      </c>
      <c r="E50" s="155">
        <v>106.34</v>
      </c>
    </row>
    <row r="51" spans="2:5">
      <c r="B51" s="191" t="s">
        <v>6</v>
      </c>
      <c r="C51" s="192" t="s">
        <v>195</v>
      </c>
      <c r="D51" s="215">
        <v>97.34</v>
      </c>
      <c r="E51" s="155">
        <v>89.08</v>
      </c>
    </row>
    <row r="52" spans="2:5">
      <c r="B52" s="191" t="s">
        <v>8</v>
      </c>
      <c r="C52" s="192" t="s">
        <v>196</v>
      </c>
      <c r="D52" s="215">
        <v>111.54</v>
      </c>
      <c r="E52" s="77">
        <v>109.91</v>
      </c>
    </row>
    <row r="53" spans="2:5" ht="12.75" customHeight="1" thickBot="1">
      <c r="B53" s="195" t="s">
        <v>9</v>
      </c>
      <c r="C53" s="196" t="s">
        <v>41</v>
      </c>
      <c r="D53" s="216">
        <v>108.58</v>
      </c>
      <c r="E53" s="281">
        <v>90.04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833382.99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833382.99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833382.99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833382.99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220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99" t="s">
        <v>190</v>
      </c>
      <c r="D11" s="232">
        <v>239096.18999999997</v>
      </c>
      <c r="E11" s="9">
        <f>E12+E13+E14</f>
        <v>266406.81</v>
      </c>
    </row>
    <row r="12" spans="2:7">
      <c r="B12" s="112" t="s">
        <v>4</v>
      </c>
      <c r="C12" s="200" t="s">
        <v>5</v>
      </c>
      <c r="D12" s="269">
        <v>238435.53999999998</v>
      </c>
      <c r="E12" s="87">
        <f>251432.33+15588.09+0.21-1059.69</f>
        <v>265960.94</v>
      </c>
    </row>
    <row r="13" spans="2:7">
      <c r="B13" s="112" t="s">
        <v>6</v>
      </c>
      <c r="C13" s="200" t="s">
        <v>7</v>
      </c>
      <c r="D13" s="269"/>
      <c r="E13" s="87"/>
    </row>
    <row r="14" spans="2:7">
      <c r="B14" s="112" t="s">
        <v>8</v>
      </c>
      <c r="C14" s="200" t="s">
        <v>10</v>
      </c>
      <c r="D14" s="269">
        <v>660.65000000000009</v>
      </c>
      <c r="E14" s="87">
        <f>E15</f>
        <v>445.87</v>
      </c>
    </row>
    <row r="15" spans="2:7">
      <c r="B15" s="112" t="s">
        <v>187</v>
      </c>
      <c r="C15" s="200" t="s">
        <v>11</v>
      </c>
      <c r="D15" s="269">
        <v>660.65000000000009</v>
      </c>
      <c r="E15" s="87">
        <v>445.87</v>
      </c>
    </row>
    <row r="16" spans="2:7">
      <c r="B16" s="113" t="s">
        <v>188</v>
      </c>
      <c r="C16" s="201" t="s">
        <v>12</v>
      </c>
      <c r="D16" s="272"/>
      <c r="E16" s="88"/>
    </row>
    <row r="17" spans="2:6">
      <c r="B17" s="10" t="s">
        <v>13</v>
      </c>
      <c r="C17" s="202" t="s">
        <v>65</v>
      </c>
      <c r="D17" s="268">
        <v>440.71</v>
      </c>
      <c r="E17" s="98">
        <f>E18</f>
        <v>640.55999999999995</v>
      </c>
    </row>
    <row r="18" spans="2:6">
      <c r="B18" s="112" t="s">
        <v>4</v>
      </c>
      <c r="C18" s="200" t="s">
        <v>11</v>
      </c>
      <c r="D18" s="272">
        <v>440.71</v>
      </c>
      <c r="E18" s="88">
        <v>640.55999999999995</v>
      </c>
    </row>
    <row r="19" spans="2:6" ht="15" customHeight="1">
      <c r="B19" s="112" t="s">
        <v>6</v>
      </c>
      <c r="C19" s="200" t="s">
        <v>189</v>
      </c>
      <c r="D19" s="269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238655.47999999998</v>
      </c>
      <c r="E21" s="154">
        <f>E11-E17</f>
        <v>265766.25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6.5" customHeight="1" thickBot="1">
      <c r="B24" s="312" t="s">
        <v>186</v>
      </c>
      <c r="C24" s="322"/>
      <c r="D24" s="322"/>
      <c r="E24" s="322"/>
    </row>
    <row r="25" spans="2:6" ht="13.5" thickBot="1">
      <c r="B25" s="9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215075.88</v>
      </c>
      <c r="E26" s="274">
        <f>D21</f>
        <v>238655.47999999998</v>
      </c>
    </row>
    <row r="27" spans="2:6">
      <c r="B27" s="10" t="s">
        <v>17</v>
      </c>
      <c r="C27" s="11" t="s">
        <v>192</v>
      </c>
      <c r="D27" s="207">
        <v>10663.190000000002</v>
      </c>
      <c r="E27" s="243">
        <f>E28-E32</f>
        <v>31288.149999999998</v>
      </c>
      <c r="F27" s="73"/>
    </row>
    <row r="28" spans="2:6">
      <c r="B28" s="10" t="s">
        <v>18</v>
      </c>
      <c r="C28" s="11" t="s">
        <v>19</v>
      </c>
      <c r="D28" s="207">
        <v>55002.07</v>
      </c>
      <c r="E28" s="244">
        <f>SUM(E29:E31)</f>
        <v>53778.49</v>
      </c>
      <c r="F28" s="73"/>
    </row>
    <row r="29" spans="2:6">
      <c r="B29" s="110" t="s">
        <v>4</v>
      </c>
      <c r="C29" s="6" t="s">
        <v>20</v>
      </c>
      <c r="D29" s="208">
        <v>54713.59</v>
      </c>
      <c r="E29" s="246">
        <v>53778.49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288.48</v>
      </c>
      <c r="E31" s="246"/>
      <c r="F31" s="73"/>
    </row>
    <row r="32" spans="2:6">
      <c r="B32" s="97" t="s">
        <v>23</v>
      </c>
      <c r="C32" s="12" t="s">
        <v>24</v>
      </c>
      <c r="D32" s="207">
        <v>44338.879999999997</v>
      </c>
      <c r="E32" s="244">
        <f>SUM(E33:E39)</f>
        <v>22490.34</v>
      </c>
      <c r="F32" s="73"/>
    </row>
    <row r="33" spans="2:6">
      <c r="B33" s="110" t="s">
        <v>4</v>
      </c>
      <c r="C33" s="6" t="s">
        <v>25</v>
      </c>
      <c r="D33" s="208">
        <v>9855.33</v>
      </c>
      <c r="E33" s="246">
        <f>12496.18+1059.69</f>
        <v>13555.87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4523.16</v>
      </c>
      <c r="E35" s="246">
        <v>3913.27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29960.39</v>
      </c>
      <c r="E39" s="248">
        <v>5021.2</v>
      </c>
      <c r="F39" s="73"/>
    </row>
    <row r="40" spans="2:6" ht="13.5" thickBot="1">
      <c r="B40" s="103" t="s">
        <v>35</v>
      </c>
      <c r="C40" s="104" t="s">
        <v>36</v>
      </c>
      <c r="D40" s="210">
        <v>-19962.79</v>
      </c>
      <c r="E40" s="275">
        <v>-4177.38</v>
      </c>
    </row>
    <row r="41" spans="2:6" ht="13.5" thickBot="1">
      <c r="B41" s="105" t="s">
        <v>37</v>
      </c>
      <c r="C41" s="106" t="s">
        <v>38</v>
      </c>
      <c r="D41" s="211">
        <v>205776.28</v>
      </c>
      <c r="E41" s="154">
        <f>E26+E27+E40</f>
        <v>265766.25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5.7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22714.638299999999</v>
      </c>
      <c r="E47" s="75">
        <v>26187.101900000001</v>
      </c>
    </row>
    <row r="48" spans="2:6">
      <c r="B48" s="129" t="s">
        <v>6</v>
      </c>
      <c r="C48" s="23" t="s">
        <v>41</v>
      </c>
      <c r="D48" s="213">
        <v>23955.319299999999</v>
      </c>
      <c r="E48" s="75">
        <v>29711.980889999999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9.46860245624074</v>
      </c>
      <c r="E50" s="75">
        <v>9.1134742939996691</v>
      </c>
    </row>
    <row r="51" spans="2:5">
      <c r="B51" s="108" t="s">
        <v>6</v>
      </c>
      <c r="C51" s="16" t="s">
        <v>195</v>
      </c>
      <c r="D51" s="280">
        <v>8.4769000000000005</v>
      </c>
      <c r="E51" s="77">
        <v>8.6217000000000006</v>
      </c>
    </row>
    <row r="52" spans="2:5">
      <c r="B52" s="108" t="s">
        <v>8</v>
      </c>
      <c r="C52" s="16" t="s">
        <v>196</v>
      </c>
      <c r="D52" s="280">
        <v>9.5625</v>
      </c>
      <c r="E52" s="77">
        <v>9.3289000000000009</v>
      </c>
    </row>
    <row r="53" spans="2:5" ht="13.5" thickBot="1">
      <c r="B53" s="109" t="s">
        <v>9</v>
      </c>
      <c r="C53" s="18" t="s">
        <v>41</v>
      </c>
      <c r="D53" s="216">
        <v>8.5900036406527907</v>
      </c>
      <c r="E53" s="281">
        <v>8.9447502998739399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265960.94</v>
      </c>
      <c r="E58" s="33">
        <f>D58/E21</f>
        <v>1.0007325610381304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251432.33-1059.69</f>
        <v>250372.63999999998</v>
      </c>
      <c r="E64" s="83">
        <f>D64/E21</f>
        <v>0.9420783865520922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15588.09+0.21</f>
        <v>15588.3</v>
      </c>
      <c r="E69" s="81">
        <f>D69/E21</f>
        <v>5.8654174486038012E-2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0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445.87</v>
      </c>
      <c r="E72" s="125">
        <f>D72/E21</f>
        <v>1.6776772821981722E-3</v>
      </c>
    </row>
    <row r="73" spans="2:5">
      <c r="B73" s="24" t="s">
        <v>62</v>
      </c>
      <c r="C73" s="25" t="s">
        <v>65</v>
      </c>
      <c r="D73" s="26">
        <f>E17</f>
        <v>640.55999999999995</v>
      </c>
      <c r="E73" s="27">
        <f>D73/E21</f>
        <v>2.4102383203284841E-3</v>
      </c>
    </row>
    <row r="74" spans="2:5">
      <c r="B74" s="126" t="s">
        <v>64</v>
      </c>
      <c r="C74" s="127" t="s">
        <v>66</v>
      </c>
      <c r="D74" s="128">
        <f>D58+D71+D72-D73</f>
        <v>265766.25</v>
      </c>
      <c r="E74" s="68">
        <f>E58+E72-E73</f>
        <v>1.0000000000000002</v>
      </c>
    </row>
    <row r="75" spans="2:5">
      <c r="B75" s="15" t="s">
        <v>4</v>
      </c>
      <c r="C75" s="16" t="s">
        <v>67</v>
      </c>
      <c r="D75" s="80">
        <f>D74</f>
        <v>265766.25</v>
      </c>
      <c r="E75" s="81">
        <f>E74</f>
        <v>1.0000000000000002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125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1206221.68</v>
      </c>
      <c r="E11" s="9">
        <f>E12</f>
        <v>373065.58</v>
      </c>
    </row>
    <row r="12" spans="2:5">
      <c r="B12" s="180" t="s">
        <v>4</v>
      </c>
      <c r="C12" s="181" t="s">
        <v>5</v>
      </c>
      <c r="D12" s="235">
        <v>1206221.68</v>
      </c>
      <c r="E12" s="87">
        <f>415430.75-42365.17</f>
        <v>373065.58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1206221.68</v>
      </c>
      <c r="E21" s="154">
        <f>E11</f>
        <v>373065.58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197752.71</v>
      </c>
      <c r="E26" s="274">
        <f>D21</f>
        <v>1206221.68</v>
      </c>
    </row>
    <row r="27" spans="2:6">
      <c r="B27" s="10" t="s">
        <v>17</v>
      </c>
      <c r="C27" s="11" t="s">
        <v>192</v>
      </c>
      <c r="D27" s="207">
        <v>1343718.33</v>
      </c>
      <c r="E27" s="243">
        <f>E28-E32</f>
        <v>-719322.24</v>
      </c>
      <c r="F27" s="73"/>
    </row>
    <row r="28" spans="2:6">
      <c r="B28" s="10" t="s">
        <v>18</v>
      </c>
      <c r="C28" s="11" t="s">
        <v>19</v>
      </c>
      <c r="D28" s="207">
        <v>1449665.08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1449665.08</v>
      </c>
      <c r="E31" s="246"/>
      <c r="F31" s="73"/>
    </row>
    <row r="32" spans="2:6">
      <c r="B32" s="97" t="s">
        <v>23</v>
      </c>
      <c r="C32" s="12" t="s">
        <v>24</v>
      </c>
      <c r="D32" s="207">
        <v>105946.75</v>
      </c>
      <c r="E32" s="244">
        <f>SUM(E33:E39)</f>
        <v>719322.24</v>
      </c>
      <c r="F32" s="73"/>
    </row>
    <row r="33" spans="2:6">
      <c r="B33" s="188" t="s">
        <v>4</v>
      </c>
      <c r="C33" s="181" t="s">
        <v>25</v>
      </c>
      <c r="D33" s="208">
        <v>68798.95</v>
      </c>
      <c r="E33" s="246">
        <v>42365.17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227.02</v>
      </c>
      <c r="E35" s="246">
        <v>110.52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9705.52</v>
      </c>
      <c r="E37" s="246">
        <v>7268.3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27215.26</v>
      </c>
      <c r="E39" s="248">
        <v>669578.25</v>
      </c>
      <c r="F39" s="73"/>
    </row>
    <row r="40" spans="2:6" ht="13.5" thickBot="1">
      <c r="B40" s="103" t="s">
        <v>35</v>
      </c>
      <c r="C40" s="104" t="s">
        <v>36</v>
      </c>
      <c r="D40" s="210">
        <v>12449.03</v>
      </c>
      <c r="E40" s="275">
        <v>-113833.86</v>
      </c>
    </row>
    <row r="41" spans="2:6" ht="13.5" thickBot="1">
      <c r="B41" s="105" t="s">
        <v>37</v>
      </c>
      <c r="C41" s="106" t="s">
        <v>38</v>
      </c>
      <c r="D41" s="211">
        <v>1553920.07</v>
      </c>
      <c r="E41" s="154">
        <f>E26+E27+E40</f>
        <v>373065.57999999996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3635.1601000000001</v>
      </c>
      <c r="E47" s="155">
        <v>22525.148099999999</v>
      </c>
    </row>
    <row r="48" spans="2:6">
      <c r="B48" s="193" t="s">
        <v>6</v>
      </c>
      <c r="C48" s="194" t="s">
        <v>41</v>
      </c>
      <c r="D48" s="213">
        <v>26431.707299999998</v>
      </c>
      <c r="E48" s="155">
        <v>8183.0572000000002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54.4</v>
      </c>
      <c r="E50" s="155">
        <v>53.55</v>
      </c>
    </row>
    <row r="51" spans="2:5">
      <c r="B51" s="191" t="s">
        <v>6</v>
      </c>
      <c r="C51" s="192" t="s">
        <v>195</v>
      </c>
      <c r="D51" s="215">
        <v>54.4</v>
      </c>
      <c r="E51" s="155">
        <v>45.3</v>
      </c>
    </row>
    <row r="52" spans="2:5">
      <c r="B52" s="191" t="s">
        <v>8</v>
      </c>
      <c r="C52" s="192" t="s">
        <v>196</v>
      </c>
      <c r="D52" s="215">
        <v>61.32</v>
      </c>
      <c r="E52" s="77">
        <v>55.83</v>
      </c>
    </row>
    <row r="53" spans="2:5" ht="14.25" customHeight="1" thickBot="1">
      <c r="B53" s="195" t="s">
        <v>9</v>
      </c>
      <c r="C53" s="196" t="s">
        <v>41</v>
      </c>
      <c r="D53" s="216">
        <v>58.79</v>
      </c>
      <c r="E53" s="281">
        <v>45.59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373065.58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373065.58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373065.58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373065.58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127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10312940.49</v>
      </c>
      <c r="E11" s="9">
        <f>E12</f>
        <v>7711555.75</v>
      </c>
    </row>
    <row r="12" spans="2:7">
      <c r="B12" s="180" t="s">
        <v>4</v>
      </c>
      <c r="C12" s="181" t="s">
        <v>5</v>
      </c>
      <c r="D12" s="235">
        <v>10312940.49</v>
      </c>
      <c r="E12" s="87">
        <v>7711555.75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10312940.49</v>
      </c>
      <c r="E21" s="154">
        <f>E11</f>
        <v>7711555.75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14584813.24</v>
      </c>
      <c r="E26" s="274">
        <f>D21</f>
        <v>10312940.49</v>
      </c>
    </row>
    <row r="27" spans="2:6">
      <c r="B27" s="10" t="s">
        <v>17</v>
      </c>
      <c r="C27" s="11" t="s">
        <v>192</v>
      </c>
      <c r="D27" s="207">
        <v>-2907279.0599999996</v>
      </c>
      <c r="E27" s="243">
        <f>E28-E32</f>
        <v>-1656743.57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2907279.0599999996</v>
      </c>
      <c r="E32" s="244">
        <f>SUM(E33:E39)</f>
        <v>1656743.57</v>
      </c>
      <c r="F32" s="73"/>
    </row>
    <row r="33" spans="2:6">
      <c r="B33" s="188" t="s">
        <v>4</v>
      </c>
      <c r="C33" s="181" t="s">
        <v>25</v>
      </c>
      <c r="D33" s="208">
        <v>1083373.1299999999</v>
      </c>
      <c r="E33" s="246">
        <v>900565.98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26189.33</v>
      </c>
      <c r="E35" s="246">
        <v>24605.55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111459.42</v>
      </c>
      <c r="E37" s="246">
        <v>72009.87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1686257.18</v>
      </c>
      <c r="E39" s="248">
        <v>659562.17000000004</v>
      </c>
      <c r="F39" s="73"/>
    </row>
    <row r="40" spans="2:6" ht="13.5" thickBot="1">
      <c r="B40" s="103" t="s">
        <v>35</v>
      </c>
      <c r="C40" s="104" t="s">
        <v>36</v>
      </c>
      <c r="D40" s="210">
        <v>1447891.7</v>
      </c>
      <c r="E40" s="275">
        <v>-944641.17</v>
      </c>
    </row>
    <row r="41" spans="2:6" ht="13.5" thickBot="1">
      <c r="B41" s="105" t="s">
        <v>37</v>
      </c>
      <c r="C41" s="106" t="s">
        <v>38</v>
      </c>
      <c r="D41" s="211">
        <v>13125425.879999999</v>
      </c>
      <c r="E41" s="154">
        <f>E26+E27+E40</f>
        <v>7711555.75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189363.97349999999</v>
      </c>
      <c r="E47" s="155">
        <v>129738.8412</v>
      </c>
    </row>
    <row r="48" spans="2:6">
      <c r="B48" s="193" t="s">
        <v>6</v>
      </c>
      <c r="C48" s="194" t="s">
        <v>41</v>
      </c>
      <c r="D48" s="213">
        <v>153675.51670000001</v>
      </c>
      <c r="E48" s="155">
        <v>107808.6922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77.02</v>
      </c>
      <c r="E50" s="155">
        <v>79.489999999999995</v>
      </c>
    </row>
    <row r="51" spans="2:5">
      <c r="B51" s="191" t="s">
        <v>6</v>
      </c>
      <c r="C51" s="192" t="s">
        <v>195</v>
      </c>
      <c r="D51" s="215">
        <v>77.02</v>
      </c>
      <c r="E51" s="155">
        <v>70.36</v>
      </c>
    </row>
    <row r="52" spans="2:5">
      <c r="B52" s="191" t="s">
        <v>8</v>
      </c>
      <c r="C52" s="192" t="s">
        <v>196</v>
      </c>
      <c r="D52" s="215">
        <v>88.28</v>
      </c>
      <c r="E52" s="77">
        <v>82.94</v>
      </c>
    </row>
    <row r="53" spans="2:5" ht="14.25" customHeight="1" thickBot="1">
      <c r="B53" s="195" t="s">
        <v>9</v>
      </c>
      <c r="C53" s="196" t="s">
        <v>41</v>
      </c>
      <c r="D53" s="216">
        <v>85.41</v>
      </c>
      <c r="E53" s="281">
        <v>71.53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7711555.75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7711555.75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7711555.75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7711555.75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147"/>
      <c r="C4" s="147"/>
      <c r="D4" s="147"/>
      <c r="E4" s="147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128</v>
      </c>
      <c r="C6" s="311"/>
      <c r="D6" s="311"/>
      <c r="E6" s="311"/>
    </row>
    <row r="7" spans="2:8" ht="14.25">
      <c r="B7" s="145"/>
      <c r="C7" s="145"/>
      <c r="D7" s="145"/>
      <c r="E7" s="145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146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47681.71</v>
      </c>
      <c r="E11" s="9">
        <f>E12</f>
        <v>42169.74</v>
      </c>
    </row>
    <row r="12" spans="2:8">
      <c r="B12" s="180" t="s">
        <v>4</v>
      </c>
      <c r="C12" s="181" t="s">
        <v>5</v>
      </c>
      <c r="D12" s="235">
        <v>47681.71</v>
      </c>
      <c r="E12" s="87">
        <v>42169.74</v>
      </c>
    </row>
    <row r="13" spans="2:8">
      <c r="B13" s="180" t="s">
        <v>6</v>
      </c>
      <c r="C13" s="182" t="s">
        <v>7</v>
      </c>
      <c r="D13" s="235"/>
      <c r="E13" s="87"/>
    </row>
    <row r="14" spans="2:8">
      <c r="B14" s="180" t="s">
        <v>8</v>
      </c>
      <c r="C14" s="182" t="s">
        <v>10</v>
      </c>
      <c r="D14" s="235"/>
      <c r="E14" s="87"/>
    </row>
    <row r="15" spans="2:8">
      <c r="B15" s="180" t="s">
        <v>187</v>
      </c>
      <c r="C15" s="182" t="s">
        <v>11</v>
      </c>
      <c r="D15" s="235"/>
      <c r="E15" s="87"/>
    </row>
    <row r="16" spans="2:8">
      <c r="B16" s="183" t="s">
        <v>188</v>
      </c>
      <c r="C16" s="184" t="s">
        <v>12</v>
      </c>
      <c r="D16" s="236"/>
      <c r="E16" s="88"/>
    </row>
    <row r="17" spans="2:7">
      <c r="B17" s="10" t="s">
        <v>13</v>
      </c>
      <c r="C17" s="12" t="s">
        <v>65</v>
      </c>
      <c r="D17" s="264"/>
      <c r="E17" s="98"/>
    </row>
    <row r="18" spans="2:7">
      <c r="B18" s="180" t="s">
        <v>4</v>
      </c>
      <c r="C18" s="181" t="s">
        <v>11</v>
      </c>
      <c r="D18" s="235"/>
      <c r="E18" s="88"/>
    </row>
    <row r="19" spans="2:7" ht="15" customHeight="1">
      <c r="B19" s="180" t="s">
        <v>6</v>
      </c>
      <c r="C19" s="182" t="s">
        <v>189</v>
      </c>
      <c r="D19" s="235"/>
      <c r="E19" s="87"/>
    </row>
    <row r="20" spans="2:7" ht="13.5" thickBot="1">
      <c r="B20" s="185" t="s">
        <v>8</v>
      </c>
      <c r="C20" s="186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47681.71</v>
      </c>
      <c r="E21" s="154">
        <f>E11</f>
        <v>42169.74</v>
      </c>
      <c r="F21" s="79"/>
      <c r="G21" s="69"/>
    </row>
    <row r="22" spans="2:7">
      <c r="B22" s="3"/>
      <c r="C22" s="7"/>
      <c r="D22" s="8"/>
      <c r="E22" s="8"/>
    </row>
    <row r="23" spans="2:7" ht="13.5">
      <c r="B23" s="313" t="s">
        <v>185</v>
      </c>
      <c r="C23" s="325"/>
      <c r="D23" s="325"/>
      <c r="E23" s="325"/>
    </row>
    <row r="24" spans="2:7" ht="15.75" customHeight="1" thickBot="1">
      <c r="B24" s="312" t="s">
        <v>186</v>
      </c>
      <c r="C24" s="326"/>
      <c r="D24" s="326"/>
      <c r="E24" s="326"/>
    </row>
    <row r="25" spans="2:7" ht="13.5" thickBot="1">
      <c r="B25" s="221"/>
      <c r="C25" s="187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167165.93</v>
      </c>
      <c r="E26" s="274">
        <f>D21</f>
        <v>47681.71</v>
      </c>
    </row>
    <row r="27" spans="2:7">
      <c r="B27" s="10" t="s">
        <v>17</v>
      </c>
      <c r="C27" s="11" t="s">
        <v>192</v>
      </c>
      <c r="D27" s="207">
        <v>165513.06999999998</v>
      </c>
      <c r="E27" s="243">
        <f>E28-E32</f>
        <v>-476.44</v>
      </c>
      <c r="F27" s="73"/>
    </row>
    <row r="28" spans="2:7">
      <c r="B28" s="10" t="s">
        <v>18</v>
      </c>
      <c r="C28" s="11" t="s">
        <v>19</v>
      </c>
      <c r="D28" s="207">
        <v>243443.08</v>
      </c>
      <c r="E28" s="244">
        <f>SUM(E29:E31)</f>
        <v>0</v>
      </c>
      <c r="F28" s="73"/>
    </row>
    <row r="29" spans="2:7">
      <c r="B29" s="188" t="s">
        <v>4</v>
      </c>
      <c r="C29" s="181" t="s">
        <v>20</v>
      </c>
      <c r="D29" s="208"/>
      <c r="E29" s="246"/>
      <c r="F29" s="73"/>
    </row>
    <row r="30" spans="2:7">
      <c r="B30" s="188" t="s">
        <v>6</v>
      </c>
      <c r="C30" s="181" t="s">
        <v>21</v>
      </c>
      <c r="D30" s="208"/>
      <c r="E30" s="246"/>
      <c r="F30" s="73"/>
    </row>
    <row r="31" spans="2:7">
      <c r="B31" s="188" t="s">
        <v>8</v>
      </c>
      <c r="C31" s="181" t="s">
        <v>22</v>
      </c>
      <c r="D31" s="208">
        <v>243443.08</v>
      </c>
      <c r="E31" s="246"/>
      <c r="F31" s="73"/>
    </row>
    <row r="32" spans="2:7">
      <c r="B32" s="97" t="s">
        <v>23</v>
      </c>
      <c r="C32" s="12" t="s">
        <v>24</v>
      </c>
      <c r="D32" s="207">
        <v>77930.010000000009</v>
      </c>
      <c r="E32" s="244">
        <f>SUM(E33:E39)</f>
        <v>476.44</v>
      </c>
      <c r="F32" s="73"/>
    </row>
    <row r="33" spans="2:6">
      <c r="B33" s="188" t="s">
        <v>4</v>
      </c>
      <c r="C33" s="181" t="s">
        <v>25</v>
      </c>
      <c r="D33" s="208">
        <v>76210.710000000006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33.39</v>
      </c>
      <c r="E35" s="246">
        <v>111.92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1685.91</v>
      </c>
      <c r="E37" s="246">
        <v>364.52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13343.94</v>
      </c>
      <c r="E40" s="275">
        <v>-5035.53</v>
      </c>
    </row>
    <row r="41" spans="2:6" ht="13.5" thickBot="1">
      <c r="B41" s="105" t="s">
        <v>37</v>
      </c>
      <c r="C41" s="106" t="s">
        <v>38</v>
      </c>
      <c r="D41" s="211">
        <v>346022.94</v>
      </c>
      <c r="E41" s="154">
        <f>E26+E27+E40</f>
        <v>42169.74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2259.9153000000001</v>
      </c>
      <c r="E47" s="155">
        <v>591.07119999999998</v>
      </c>
    </row>
    <row r="48" spans="2:6">
      <c r="B48" s="193" t="s">
        <v>6</v>
      </c>
      <c r="C48" s="194" t="s">
        <v>41</v>
      </c>
      <c r="D48" s="213">
        <v>4218.2487000000001</v>
      </c>
      <c r="E48" s="155">
        <v>584.95960000000002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73.97</v>
      </c>
      <c r="E50" s="155">
        <v>80.67</v>
      </c>
    </row>
    <row r="51" spans="2:5">
      <c r="B51" s="191" t="s">
        <v>6</v>
      </c>
      <c r="C51" s="192" t="s">
        <v>195</v>
      </c>
      <c r="D51" s="215">
        <v>73.97</v>
      </c>
      <c r="E51" s="77">
        <v>71.540000000000006</v>
      </c>
    </row>
    <row r="52" spans="2:5">
      <c r="B52" s="191" t="s">
        <v>8</v>
      </c>
      <c r="C52" s="192" t="s">
        <v>196</v>
      </c>
      <c r="D52" s="215">
        <v>82.35</v>
      </c>
      <c r="E52" s="77">
        <v>83.41</v>
      </c>
    </row>
    <row r="53" spans="2:5" ht="13.5" customHeight="1" thickBot="1">
      <c r="B53" s="195" t="s">
        <v>9</v>
      </c>
      <c r="C53" s="196" t="s">
        <v>41</v>
      </c>
      <c r="D53" s="216">
        <v>82.03</v>
      </c>
      <c r="E53" s="281">
        <v>72.09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42169.74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42169.74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42169.74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42169.74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147"/>
      <c r="C4" s="147"/>
      <c r="D4" s="147"/>
      <c r="E4" s="147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126</v>
      </c>
      <c r="C6" s="311"/>
      <c r="D6" s="311"/>
      <c r="E6" s="311"/>
    </row>
    <row r="7" spans="2:8" ht="14.25">
      <c r="B7" s="145"/>
      <c r="C7" s="145"/>
      <c r="D7" s="145"/>
      <c r="E7" s="145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146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466219.31</v>
      </c>
      <c r="E11" s="9">
        <f>E12</f>
        <v>472320.78</v>
      </c>
    </row>
    <row r="12" spans="2:8">
      <c r="B12" s="180" t="s">
        <v>4</v>
      </c>
      <c r="C12" s="181" t="s">
        <v>5</v>
      </c>
      <c r="D12" s="235">
        <v>466219.31</v>
      </c>
      <c r="E12" s="87">
        <v>472320.78</v>
      </c>
    </row>
    <row r="13" spans="2:8">
      <c r="B13" s="180" t="s">
        <v>6</v>
      </c>
      <c r="C13" s="182" t="s">
        <v>7</v>
      </c>
      <c r="D13" s="235"/>
      <c r="E13" s="87"/>
    </row>
    <row r="14" spans="2:8">
      <c r="B14" s="180" t="s">
        <v>8</v>
      </c>
      <c r="C14" s="182" t="s">
        <v>10</v>
      </c>
      <c r="D14" s="235"/>
      <c r="E14" s="87"/>
    </row>
    <row r="15" spans="2:8">
      <c r="B15" s="180" t="s">
        <v>187</v>
      </c>
      <c r="C15" s="182" t="s">
        <v>11</v>
      </c>
      <c r="D15" s="235"/>
      <c r="E15" s="87"/>
    </row>
    <row r="16" spans="2:8">
      <c r="B16" s="183" t="s">
        <v>188</v>
      </c>
      <c r="C16" s="184" t="s">
        <v>12</v>
      </c>
      <c r="D16" s="236"/>
      <c r="E16" s="88"/>
    </row>
    <row r="17" spans="2:7">
      <c r="B17" s="10" t="s">
        <v>13</v>
      </c>
      <c r="C17" s="12" t="s">
        <v>65</v>
      </c>
      <c r="D17" s="264"/>
      <c r="E17" s="98"/>
    </row>
    <row r="18" spans="2:7">
      <c r="B18" s="180" t="s">
        <v>4</v>
      </c>
      <c r="C18" s="181" t="s">
        <v>11</v>
      </c>
      <c r="D18" s="235"/>
      <c r="E18" s="88"/>
    </row>
    <row r="19" spans="2:7" ht="15" customHeight="1">
      <c r="B19" s="180" t="s">
        <v>6</v>
      </c>
      <c r="C19" s="182" t="s">
        <v>189</v>
      </c>
      <c r="D19" s="235"/>
      <c r="E19" s="87"/>
    </row>
    <row r="20" spans="2:7" ht="13.5" thickBot="1">
      <c r="B20" s="185" t="s">
        <v>8</v>
      </c>
      <c r="C20" s="186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466219.31</v>
      </c>
      <c r="E21" s="154">
        <f>E11</f>
        <v>472320.78</v>
      </c>
      <c r="F21" s="79"/>
      <c r="G21" s="69"/>
    </row>
    <row r="22" spans="2:7">
      <c r="B22" s="3"/>
      <c r="C22" s="7"/>
      <c r="D22" s="8"/>
      <c r="E22" s="8"/>
    </row>
    <row r="23" spans="2:7" ht="13.5">
      <c r="B23" s="313" t="s">
        <v>185</v>
      </c>
      <c r="C23" s="325"/>
      <c r="D23" s="325"/>
      <c r="E23" s="325"/>
    </row>
    <row r="24" spans="2:7" ht="15.75" customHeight="1" thickBot="1">
      <c r="B24" s="312" t="s">
        <v>186</v>
      </c>
      <c r="C24" s="326"/>
      <c r="D24" s="326"/>
      <c r="E24" s="326"/>
    </row>
    <row r="25" spans="2:7" ht="13.5" thickBot="1">
      <c r="B25" s="221"/>
      <c r="C25" s="187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1237959.07</v>
      </c>
      <c r="E26" s="274">
        <f>D21</f>
        <v>466219.31</v>
      </c>
    </row>
    <row r="27" spans="2:7">
      <c r="B27" s="10" t="s">
        <v>17</v>
      </c>
      <c r="C27" s="11" t="s">
        <v>192</v>
      </c>
      <c r="D27" s="207">
        <v>-422301.73000000004</v>
      </c>
      <c r="E27" s="243">
        <f>E28-E32</f>
        <v>-3678.9500000000003</v>
      </c>
      <c r="F27" s="73"/>
    </row>
    <row r="28" spans="2:7">
      <c r="B28" s="10" t="s">
        <v>18</v>
      </c>
      <c r="C28" s="11" t="s">
        <v>19</v>
      </c>
      <c r="D28" s="207">
        <v>195123.82</v>
      </c>
      <c r="E28" s="244">
        <f>SUM(E29:E31)</f>
        <v>0</v>
      </c>
      <c r="F28" s="73"/>
    </row>
    <row r="29" spans="2:7">
      <c r="B29" s="188" t="s">
        <v>4</v>
      </c>
      <c r="C29" s="181" t="s">
        <v>20</v>
      </c>
      <c r="D29" s="208"/>
      <c r="E29" s="246"/>
      <c r="F29" s="73"/>
    </row>
    <row r="30" spans="2:7">
      <c r="B30" s="188" t="s">
        <v>6</v>
      </c>
      <c r="C30" s="181" t="s">
        <v>21</v>
      </c>
      <c r="D30" s="208"/>
      <c r="E30" s="246"/>
      <c r="F30" s="73"/>
    </row>
    <row r="31" spans="2:7">
      <c r="B31" s="188" t="s">
        <v>8</v>
      </c>
      <c r="C31" s="181" t="s">
        <v>22</v>
      </c>
      <c r="D31" s="208">
        <v>195123.82</v>
      </c>
      <c r="E31" s="246"/>
      <c r="F31" s="73"/>
    </row>
    <row r="32" spans="2:7">
      <c r="B32" s="97" t="s">
        <v>23</v>
      </c>
      <c r="C32" s="12" t="s">
        <v>24</v>
      </c>
      <c r="D32" s="207">
        <v>617425.55000000005</v>
      </c>
      <c r="E32" s="244">
        <f>SUM(E33:E39)</f>
        <v>3678.9500000000003</v>
      </c>
      <c r="F32" s="73"/>
    </row>
    <row r="33" spans="2:6">
      <c r="B33" s="188" t="s">
        <v>4</v>
      </c>
      <c r="C33" s="181" t="s">
        <v>25</v>
      </c>
      <c r="D33" s="208">
        <v>610485.64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111.88</v>
      </c>
      <c r="E35" s="246">
        <v>22.78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6828.03</v>
      </c>
      <c r="E37" s="246">
        <v>3656.17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25908.14</v>
      </c>
      <c r="E40" s="275">
        <v>9780.42</v>
      </c>
    </row>
    <row r="41" spans="2:6" ht="13.5" thickBot="1">
      <c r="B41" s="105" t="s">
        <v>37</v>
      </c>
      <c r="C41" s="106" t="s">
        <v>38</v>
      </c>
      <c r="D41" s="211">
        <v>841565.4800000001</v>
      </c>
      <c r="E41" s="154">
        <f>E26+E27+E40</f>
        <v>472320.77999999997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6334.5396000000001</v>
      </c>
      <c r="E47" s="75">
        <v>2285.5007999999998</v>
      </c>
    </row>
    <row r="48" spans="2:6">
      <c r="B48" s="193" t="s">
        <v>6</v>
      </c>
      <c r="C48" s="194" t="s">
        <v>41</v>
      </c>
      <c r="D48" s="213">
        <v>4219.8540000000003</v>
      </c>
      <c r="E48" s="155">
        <v>2267.1759999999999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195.43</v>
      </c>
      <c r="E50" s="77">
        <v>203.99</v>
      </c>
    </row>
    <row r="51" spans="2:5">
      <c r="B51" s="191" t="s">
        <v>6</v>
      </c>
      <c r="C51" s="192" t="s">
        <v>195</v>
      </c>
      <c r="D51" s="215">
        <v>193.78</v>
      </c>
      <c r="E51" s="77">
        <v>187.84</v>
      </c>
    </row>
    <row r="52" spans="2:5">
      <c r="B52" s="191" t="s">
        <v>8</v>
      </c>
      <c r="C52" s="192" t="s">
        <v>196</v>
      </c>
      <c r="D52" s="215">
        <v>204.88</v>
      </c>
      <c r="E52" s="77">
        <v>208.97</v>
      </c>
    </row>
    <row r="53" spans="2:5" ht="14.25" customHeight="1" thickBot="1">
      <c r="B53" s="195" t="s">
        <v>9</v>
      </c>
      <c r="C53" s="196" t="s">
        <v>41</v>
      </c>
      <c r="D53" s="216">
        <v>199.43</v>
      </c>
      <c r="E53" s="281">
        <v>208.33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472320.78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472320.78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472320.78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472320.78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265</v>
      </c>
      <c r="C6" s="311"/>
      <c r="D6" s="311"/>
      <c r="E6" s="311"/>
    </row>
    <row r="7" spans="2:7" ht="14.25">
      <c r="B7" s="159"/>
      <c r="C7" s="159"/>
      <c r="D7" s="159"/>
      <c r="E7" s="15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60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37263.589999999997</v>
      </c>
      <c r="E11" s="9">
        <f>E12</f>
        <v>16262.07</v>
      </c>
    </row>
    <row r="12" spans="2:7">
      <c r="B12" s="180" t="s">
        <v>4</v>
      </c>
      <c r="C12" s="181" t="s">
        <v>5</v>
      </c>
      <c r="D12" s="235">
        <v>37263.589999999997</v>
      </c>
      <c r="E12" s="87">
        <v>16262.07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37263.589999999997</v>
      </c>
      <c r="E21" s="154">
        <f>E11</f>
        <v>16262.07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49309.93</v>
      </c>
      <c r="E26" s="274">
        <f>D21</f>
        <v>37263.589999999997</v>
      </c>
    </row>
    <row r="27" spans="2:6">
      <c r="B27" s="10" t="s">
        <v>17</v>
      </c>
      <c r="C27" s="11" t="s">
        <v>192</v>
      </c>
      <c r="D27" s="207">
        <v>-15016.6</v>
      </c>
      <c r="E27" s="243">
        <f>E28-E32</f>
        <v>-21537.55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15016.6</v>
      </c>
      <c r="E32" s="244">
        <f>SUM(E33:E39)</f>
        <v>21537.55</v>
      </c>
      <c r="F32" s="73"/>
    </row>
    <row r="33" spans="2:6">
      <c r="B33" s="188" t="s">
        <v>4</v>
      </c>
      <c r="C33" s="181" t="s">
        <v>25</v>
      </c>
      <c r="D33" s="208">
        <v>14508.54</v>
      </c>
      <c r="E33" s="246">
        <v>19073.93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148.63999999999999</v>
      </c>
      <c r="E35" s="246">
        <v>126.42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359.42</v>
      </c>
      <c r="E37" s="246">
        <v>258.74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2078.46</v>
      </c>
      <c r="F39" s="73"/>
    </row>
    <row r="40" spans="2:6" ht="13.5" thickBot="1">
      <c r="B40" s="103" t="s">
        <v>35</v>
      </c>
      <c r="C40" s="104" t="s">
        <v>36</v>
      </c>
      <c r="D40" s="210">
        <v>1367.02</v>
      </c>
      <c r="E40" s="275">
        <v>536.03</v>
      </c>
    </row>
    <row r="41" spans="2:6" ht="13.5" thickBot="1">
      <c r="B41" s="105" t="s">
        <v>37</v>
      </c>
      <c r="C41" s="106" t="s">
        <v>38</v>
      </c>
      <c r="D41" s="211">
        <v>35660.35</v>
      </c>
      <c r="E41" s="154">
        <f>E26+E27+E40</f>
        <v>16262.069999999998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314.096</v>
      </c>
      <c r="E47" s="75">
        <v>230.7629</v>
      </c>
    </row>
    <row r="48" spans="2:6">
      <c r="B48" s="193" t="s">
        <v>6</v>
      </c>
      <c r="C48" s="194" t="s">
        <v>41</v>
      </c>
      <c r="D48" s="213">
        <v>220.62950000000001</v>
      </c>
      <c r="E48" s="155">
        <v>99.395300000000006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156.99</v>
      </c>
      <c r="E50" s="77">
        <v>161.47999999999999</v>
      </c>
    </row>
    <row r="51" spans="2:5">
      <c r="B51" s="191" t="s">
        <v>6</v>
      </c>
      <c r="C51" s="192" t="s">
        <v>195</v>
      </c>
      <c r="D51" s="215">
        <v>156.69</v>
      </c>
      <c r="E51" s="77">
        <v>161.02000000000001</v>
      </c>
    </row>
    <row r="52" spans="2:5">
      <c r="B52" s="191" t="s">
        <v>8</v>
      </c>
      <c r="C52" s="192" t="s">
        <v>196</v>
      </c>
      <c r="D52" s="215">
        <v>162.61000000000001</v>
      </c>
      <c r="E52" s="77">
        <v>164.34</v>
      </c>
    </row>
    <row r="53" spans="2:5" ht="13.5" thickBot="1">
      <c r="B53" s="195" t="s">
        <v>9</v>
      </c>
      <c r="C53" s="196" t="s">
        <v>41</v>
      </c>
      <c r="D53" s="216">
        <v>161.63</v>
      </c>
      <c r="E53" s="281">
        <v>163.61000000000001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16262.07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16262.07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16262.07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16262.07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3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14.25">
      <c r="B5" s="310" t="s">
        <v>1</v>
      </c>
      <c r="C5" s="310"/>
      <c r="D5" s="310"/>
      <c r="E5" s="310"/>
    </row>
    <row r="6" spans="2:5" ht="14.25">
      <c r="B6" s="311" t="s">
        <v>266</v>
      </c>
      <c r="C6" s="311"/>
      <c r="D6" s="311"/>
      <c r="E6" s="311"/>
    </row>
    <row r="7" spans="2:5" ht="14.25">
      <c r="B7" s="159"/>
      <c r="C7" s="159"/>
      <c r="D7" s="159"/>
      <c r="E7" s="159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60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0</v>
      </c>
      <c r="E11" s="9">
        <f>E12</f>
        <v>0</v>
      </c>
    </row>
    <row r="12" spans="2:5">
      <c r="B12" s="180" t="s">
        <v>4</v>
      </c>
      <c r="C12" s="181" t="s">
        <v>5</v>
      </c>
      <c r="D12" s="235"/>
      <c r="E12" s="87"/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0</v>
      </c>
      <c r="E21" s="154">
        <f>E11</f>
        <v>0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42282.02</v>
      </c>
      <c r="E26" s="274">
        <f>D21</f>
        <v>0</v>
      </c>
    </row>
    <row r="27" spans="2:6">
      <c r="B27" s="10" t="s">
        <v>17</v>
      </c>
      <c r="C27" s="11" t="s">
        <v>192</v>
      </c>
      <c r="D27" s="207">
        <v>-42430.729999999996</v>
      </c>
      <c r="E27" s="243">
        <f>E28-E32</f>
        <v>0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42430.729999999996</v>
      </c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>
        <v>42385.71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45.02</v>
      </c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148.71</v>
      </c>
      <c r="E40" s="275">
        <v>0</v>
      </c>
    </row>
    <row r="41" spans="2:6" ht="13.5" thickBot="1">
      <c r="B41" s="105" t="s">
        <v>37</v>
      </c>
      <c r="C41" s="106" t="s">
        <v>38</v>
      </c>
      <c r="D41" s="211">
        <v>0</v>
      </c>
      <c r="E41" s="154" t="s">
        <v>212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675.97149999999999</v>
      </c>
      <c r="E47" s="75"/>
    </row>
    <row r="48" spans="2:6">
      <c r="B48" s="193" t="s">
        <v>6</v>
      </c>
      <c r="C48" s="194" t="s">
        <v>41</v>
      </c>
      <c r="D48" s="213"/>
      <c r="E48" s="155"/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62.55</v>
      </c>
      <c r="E50" s="77"/>
    </row>
    <row r="51" spans="2:5">
      <c r="B51" s="191" t="s">
        <v>6</v>
      </c>
      <c r="C51" s="192" t="s">
        <v>195</v>
      </c>
      <c r="D51" s="215">
        <v>62.5</v>
      </c>
      <c r="E51" s="77"/>
    </row>
    <row r="52" spans="2:5">
      <c r="B52" s="191" t="s">
        <v>8</v>
      </c>
      <c r="C52" s="192" t="s">
        <v>196</v>
      </c>
      <c r="D52" s="215">
        <v>63.28</v>
      </c>
      <c r="E52" s="77"/>
    </row>
    <row r="53" spans="2:5" ht="13.5" thickBot="1">
      <c r="B53" s="195" t="s">
        <v>9</v>
      </c>
      <c r="C53" s="196" t="s">
        <v>41</v>
      </c>
      <c r="D53" s="216"/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0</v>
      </c>
      <c r="E64" s="83">
        <f>E58</f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152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94410.57</v>
      </c>
      <c r="E11" s="9">
        <f>E12</f>
        <v>72021.409999999989</v>
      </c>
    </row>
    <row r="12" spans="2:7">
      <c r="B12" s="180" t="s">
        <v>4</v>
      </c>
      <c r="C12" s="181" t="s">
        <v>5</v>
      </c>
      <c r="D12" s="235">
        <v>94410.57</v>
      </c>
      <c r="E12" s="87">
        <f>72040.76-19.35</f>
        <v>72021.409999999989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94410.57</v>
      </c>
      <c r="E21" s="154">
        <f>E11</f>
        <v>72021.409999999989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211466.44</v>
      </c>
      <c r="E26" s="274">
        <f>D21</f>
        <v>94410.57</v>
      </c>
    </row>
    <row r="27" spans="2:6">
      <c r="B27" s="10" t="s">
        <v>17</v>
      </c>
      <c r="C27" s="11" t="s">
        <v>192</v>
      </c>
      <c r="D27" s="207">
        <v>-99475.810000000012</v>
      </c>
      <c r="E27" s="243">
        <f>E28-E32</f>
        <v>-6662.7800000000007</v>
      </c>
      <c r="F27" s="73"/>
    </row>
    <row r="28" spans="2:6">
      <c r="B28" s="10" t="s">
        <v>18</v>
      </c>
      <c r="C28" s="11" t="s">
        <v>19</v>
      </c>
      <c r="D28" s="207">
        <v>9290.02</v>
      </c>
      <c r="E28" s="244">
        <f>SUM(E29:E31)</f>
        <v>8.2799999999999994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9290.02</v>
      </c>
      <c r="E31" s="246">
        <v>8.2799999999999994</v>
      </c>
      <c r="F31" s="73"/>
    </row>
    <row r="32" spans="2:6">
      <c r="B32" s="97" t="s">
        <v>23</v>
      </c>
      <c r="C32" s="12" t="s">
        <v>24</v>
      </c>
      <c r="D32" s="207">
        <v>108765.83000000002</v>
      </c>
      <c r="E32" s="244">
        <f>SUM(E33:E39)</f>
        <v>6671.06</v>
      </c>
      <c r="F32" s="73"/>
    </row>
    <row r="33" spans="2:6">
      <c r="B33" s="188" t="s">
        <v>4</v>
      </c>
      <c r="C33" s="181" t="s">
        <v>25</v>
      </c>
      <c r="D33" s="208">
        <v>65750.05</v>
      </c>
      <c r="E33" s="246">
        <f>5826.58+4.14</f>
        <v>5830.72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101.99</v>
      </c>
      <c r="E35" s="246">
        <v>27.68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1709.66</v>
      </c>
      <c r="E37" s="246">
        <v>812.66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41204.129999999997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25497.360000000001</v>
      </c>
      <c r="E40" s="275">
        <v>-15726.38</v>
      </c>
    </row>
    <row r="41" spans="2:6" ht="13.5" thickBot="1">
      <c r="B41" s="105" t="s">
        <v>37</v>
      </c>
      <c r="C41" s="106" t="s">
        <v>38</v>
      </c>
      <c r="D41" s="211">
        <v>137487.99</v>
      </c>
      <c r="E41" s="154">
        <f>E26+E27+E40</f>
        <v>72021.41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1201.0362</v>
      </c>
      <c r="E47" s="75">
        <v>494.01166999999998</v>
      </c>
    </row>
    <row r="48" spans="2:6">
      <c r="B48" s="193" t="s">
        <v>6</v>
      </c>
      <c r="C48" s="194" t="s">
        <v>41</v>
      </c>
      <c r="D48" s="213">
        <v>690.99859275267625</v>
      </c>
      <c r="E48" s="155">
        <v>457.92500000000001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176.07</v>
      </c>
      <c r="E50" s="77">
        <v>191.11</v>
      </c>
    </row>
    <row r="51" spans="2:5">
      <c r="B51" s="191" t="s">
        <v>6</v>
      </c>
      <c r="C51" s="192" t="s">
        <v>195</v>
      </c>
      <c r="D51" s="215">
        <v>176.07</v>
      </c>
      <c r="E51" s="77">
        <v>156.12</v>
      </c>
    </row>
    <row r="52" spans="2:5">
      <c r="B52" s="191" t="s">
        <v>8</v>
      </c>
      <c r="C52" s="192" t="s">
        <v>196</v>
      </c>
      <c r="D52" s="215">
        <v>202.18</v>
      </c>
      <c r="E52" s="77">
        <v>196.99</v>
      </c>
    </row>
    <row r="53" spans="2:5" ht="14.25" customHeight="1" thickBot="1">
      <c r="B53" s="195" t="s">
        <v>9</v>
      </c>
      <c r="C53" s="196" t="s">
        <v>41</v>
      </c>
      <c r="D53" s="216">
        <v>198.97</v>
      </c>
      <c r="E53" s="281">
        <v>157.32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72021.409999999989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72021.409999999989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72021.409999999989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72021.409999999989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5">
    <pageSetUpPr fitToPage="1"/>
  </sheetPr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156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38896.86</v>
      </c>
      <c r="E11" s="9">
        <f>E12</f>
        <v>5947.81</v>
      </c>
    </row>
    <row r="12" spans="2:5">
      <c r="B12" s="180" t="s">
        <v>4</v>
      </c>
      <c r="C12" s="181" t="s">
        <v>5</v>
      </c>
      <c r="D12" s="235">
        <v>38896.86</v>
      </c>
      <c r="E12" s="87">
        <v>5947.81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38896.86</v>
      </c>
      <c r="E21" s="154">
        <f>E11</f>
        <v>5947.81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394498.52</v>
      </c>
      <c r="E26" s="274">
        <f>D21</f>
        <v>38896.86</v>
      </c>
    </row>
    <row r="27" spans="2:6">
      <c r="B27" s="10" t="s">
        <v>17</v>
      </c>
      <c r="C27" s="11" t="s">
        <v>192</v>
      </c>
      <c r="D27" s="207">
        <v>-355980.89</v>
      </c>
      <c r="E27" s="243">
        <f>E28-E32</f>
        <v>-24744.54</v>
      </c>
      <c r="F27" s="73"/>
    </row>
    <row r="28" spans="2:6">
      <c r="B28" s="10" t="s">
        <v>18</v>
      </c>
      <c r="C28" s="11" t="s">
        <v>19</v>
      </c>
      <c r="D28" s="207">
        <v>6962.11</v>
      </c>
      <c r="E28" s="244">
        <f>SUM(E29:E31)</f>
        <v>20524.03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6962.11</v>
      </c>
      <c r="E31" s="246">
        <v>20524.03</v>
      </c>
      <c r="F31" s="73"/>
    </row>
    <row r="32" spans="2:6">
      <c r="B32" s="97" t="s">
        <v>23</v>
      </c>
      <c r="C32" s="12" t="s">
        <v>24</v>
      </c>
      <c r="D32" s="207">
        <v>362943</v>
      </c>
      <c r="E32" s="244">
        <f>SUM(E33:E39)</f>
        <v>45268.57</v>
      </c>
      <c r="F32" s="73"/>
    </row>
    <row r="33" spans="2:6">
      <c r="B33" s="188" t="s">
        <v>4</v>
      </c>
      <c r="C33" s="181" t="s">
        <v>25</v>
      </c>
      <c r="D33" s="208">
        <v>65867.490000000005</v>
      </c>
      <c r="E33" s="246">
        <v>5929.13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125.67</v>
      </c>
      <c r="E35" s="246">
        <v>45.86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2750.22</v>
      </c>
      <c r="E37" s="246">
        <v>231.2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294199.62</v>
      </c>
      <c r="E39" s="248">
        <v>39062.379999999997</v>
      </c>
      <c r="F39" s="73"/>
    </row>
    <row r="40" spans="2:6" ht="13.5" thickBot="1">
      <c r="B40" s="103" t="s">
        <v>35</v>
      </c>
      <c r="C40" s="104" t="s">
        <v>36</v>
      </c>
      <c r="D40" s="210">
        <v>114128.46</v>
      </c>
      <c r="E40" s="275">
        <v>-8204.51</v>
      </c>
    </row>
    <row r="41" spans="2:6" ht="13.5" thickBot="1">
      <c r="B41" s="105" t="s">
        <v>37</v>
      </c>
      <c r="C41" s="106" t="s">
        <v>38</v>
      </c>
      <c r="D41" s="211">
        <v>152646.09000000003</v>
      </c>
      <c r="E41" s="154">
        <f>E26+E27+E40</f>
        <v>5947.8099999999995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6918.5991000000004</v>
      </c>
      <c r="E47" s="75">
        <v>443.42070000000001</v>
      </c>
    </row>
    <row r="48" spans="2:6">
      <c r="B48" s="193" t="s">
        <v>6</v>
      </c>
      <c r="C48" s="194" t="s">
        <v>41</v>
      </c>
      <c r="D48" s="213">
        <v>1947.0165</v>
      </c>
      <c r="E48" s="155">
        <v>94.081100000000006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57.02</v>
      </c>
      <c r="E50" s="77">
        <v>87.72</v>
      </c>
    </row>
    <row r="51" spans="2:5">
      <c r="B51" s="191" t="s">
        <v>6</v>
      </c>
      <c r="C51" s="192" t="s">
        <v>195</v>
      </c>
      <c r="D51" s="215">
        <v>57.02</v>
      </c>
      <c r="E51" s="77">
        <v>61.48</v>
      </c>
    </row>
    <row r="52" spans="2:5">
      <c r="B52" s="191" t="s">
        <v>8</v>
      </c>
      <c r="C52" s="192" t="s">
        <v>196</v>
      </c>
      <c r="D52" s="215">
        <v>85.83</v>
      </c>
      <c r="E52" s="77">
        <v>100.39</v>
      </c>
    </row>
    <row r="53" spans="2:5" ht="13.5" customHeight="1" thickBot="1">
      <c r="B53" s="195" t="s">
        <v>9</v>
      </c>
      <c r="C53" s="196" t="s">
        <v>41</v>
      </c>
      <c r="D53" s="216">
        <v>78.400000000000006</v>
      </c>
      <c r="E53" s="281">
        <v>63.22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5947.81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5947.81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5947.81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5947.81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155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475426.36</v>
      </c>
      <c r="E11" s="9">
        <f>E12</f>
        <v>238169.05000000002</v>
      </c>
    </row>
    <row r="12" spans="2:7">
      <c r="B12" s="180" t="s">
        <v>4</v>
      </c>
      <c r="C12" s="181" t="s">
        <v>5</v>
      </c>
      <c r="D12" s="235">
        <v>475426.36</v>
      </c>
      <c r="E12" s="87">
        <f>238202.54-33.49</f>
        <v>238169.05000000002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475426.36</v>
      </c>
      <c r="E21" s="154">
        <f>E11-E17</f>
        <v>238169.05000000002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940058.48</v>
      </c>
      <c r="E26" s="274">
        <f>D21</f>
        <v>475426.36</v>
      </c>
    </row>
    <row r="27" spans="2:6">
      <c r="B27" s="10" t="s">
        <v>17</v>
      </c>
      <c r="C27" s="11" t="s">
        <v>192</v>
      </c>
      <c r="D27" s="207">
        <v>-63591.93</v>
      </c>
      <c r="E27" s="243">
        <f>E28-E32</f>
        <v>-242845.52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63591.93</v>
      </c>
      <c r="E32" s="244">
        <f>SUM(E33:E39)</f>
        <v>242845.52</v>
      </c>
      <c r="F32" s="73"/>
    </row>
    <row r="33" spans="2:6">
      <c r="B33" s="188" t="s">
        <v>4</v>
      </c>
      <c r="C33" s="181" t="s">
        <v>25</v>
      </c>
      <c r="D33" s="208">
        <v>0.38</v>
      </c>
      <c r="E33" s="246">
        <f>238507.11+0.41</f>
        <v>238507.51999999999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181.18</v>
      </c>
      <c r="E35" s="246">
        <v>103.76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8554.7199999999993</v>
      </c>
      <c r="E37" s="246">
        <v>4234.24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54855.65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10671.56</v>
      </c>
      <c r="E40" s="275">
        <v>5588.21</v>
      </c>
    </row>
    <row r="41" spans="2:6" ht="13.5" thickBot="1">
      <c r="B41" s="105" t="s">
        <v>37</v>
      </c>
      <c r="C41" s="106" t="s">
        <v>38</v>
      </c>
      <c r="D41" s="211">
        <v>887138.11</v>
      </c>
      <c r="E41" s="154">
        <f>E26+E27+E40</f>
        <v>238169.05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6578.8962000000001</v>
      </c>
      <c r="E47" s="75">
        <v>3249.4454000000001</v>
      </c>
    </row>
    <row r="48" spans="2:6">
      <c r="B48" s="193" t="s">
        <v>6</v>
      </c>
      <c r="C48" s="194" t="s">
        <v>41</v>
      </c>
      <c r="D48" s="213">
        <v>6135.5426378034444</v>
      </c>
      <c r="E48" s="155">
        <v>1608.0551599999999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142.88999999999999</v>
      </c>
      <c r="E50" s="77">
        <v>146.31</v>
      </c>
    </row>
    <row r="51" spans="2:5">
      <c r="B51" s="191" t="s">
        <v>6</v>
      </c>
      <c r="C51" s="192" t="s">
        <v>195</v>
      </c>
      <c r="D51" s="215">
        <v>142.87</v>
      </c>
      <c r="E51" s="77">
        <v>146.31</v>
      </c>
    </row>
    <row r="52" spans="2:5">
      <c r="B52" s="191" t="s">
        <v>8</v>
      </c>
      <c r="C52" s="192" t="s">
        <v>196</v>
      </c>
      <c r="D52" s="215">
        <v>144.59</v>
      </c>
      <c r="E52" s="77">
        <v>148.16</v>
      </c>
    </row>
    <row r="53" spans="2:5" ht="13.5" customHeight="1" thickBot="1">
      <c r="B53" s="195" t="s">
        <v>9</v>
      </c>
      <c r="C53" s="196" t="s">
        <v>41</v>
      </c>
      <c r="D53" s="216">
        <v>144.59</v>
      </c>
      <c r="E53" s="281">
        <v>148.11000000000001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238169.05000000002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238169.05000000002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238169.05000000002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238169.05000000002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7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157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11160.73</v>
      </c>
      <c r="E11" s="9">
        <f>E12</f>
        <v>8669.86</v>
      </c>
    </row>
    <row r="12" spans="2:7">
      <c r="B12" s="180" t="s">
        <v>4</v>
      </c>
      <c r="C12" s="181" t="s">
        <v>5</v>
      </c>
      <c r="D12" s="235">
        <v>11160.73</v>
      </c>
      <c r="E12" s="87">
        <v>8669.86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11160.73</v>
      </c>
      <c r="E21" s="154">
        <f>E11</f>
        <v>8669.86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19603.189999999999</v>
      </c>
      <c r="E26" s="274">
        <f>D21</f>
        <v>11160.73</v>
      </c>
    </row>
    <row r="27" spans="2:6">
      <c r="B27" s="10" t="s">
        <v>17</v>
      </c>
      <c r="C27" s="11" t="s">
        <v>192</v>
      </c>
      <c r="D27" s="207">
        <v>9287.8799999999974</v>
      </c>
      <c r="E27" s="243">
        <f>E28-E32</f>
        <v>-2558.6499999999996</v>
      </c>
      <c r="F27" s="73"/>
    </row>
    <row r="28" spans="2:6">
      <c r="B28" s="10" t="s">
        <v>18</v>
      </c>
      <c r="C28" s="11" t="s">
        <v>19</v>
      </c>
      <c r="D28" s="207">
        <v>39193.21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39193.21</v>
      </c>
      <c r="E31" s="246"/>
      <c r="F31" s="73"/>
    </row>
    <row r="32" spans="2:6">
      <c r="B32" s="97" t="s">
        <v>23</v>
      </c>
      <c r="C32" s="12" t="s">
        <v>24</v>
      </c>
      <c r="D32" s="207">
        <v>29905.33</v>
      </c>
      <c r="E32" s="244">
        <f>SUM(E33:E39)</f>
        <v>2558.6499999999996</v>
      </c>
      <c r="F32" s="73"/>
    </row>
    <row r="33" spans="2:6">
      <c r="B33" s="188" t="s">
        <v>4</v>
      </c>
      <c r="C33" s="181" t="s">
        <v>25</v>
      </c>
      <c r="D33" s="208"/>
      <c r="E33" s="246">
        <v>2434.41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40.369999999999997</v>
      </c>
      <c r="E35" s="246">
        <v>12.2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281.10000000000002</v>
      </c>
      <c r="E37" s="246">
        <v>112.04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29583.86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-3024.25</v>
      </c>
      <c r="E40" s="275">
        <v>67.78</v>
      </c>
    </row>
    <row r="41" spans="2:6" ht="13.5" thickBot="1">
      <c r="B41" s="105" t="s">
        <v>37</v>
      </c>
      <c r="C41" s="106" t="s">
        <v>38</v>
      </c>
      <c r="D41" s="211">
        <v>25866.819999999996</v>
      </c>
      <c r="E41" s="154">
        <f>E26+E27+E40</f>
        <v>8669.86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231.57929999999999</v>
      </c>
      <c r="E47" s="75">
        <v>129.83629999999999</v>
      </c>
    </row>
    <row r="48" spans="2:6">
      <c r="B48" s="193" t="s">
        <v>6</v>
      </c>
      <c r="C48" s="194" t="s">
        <v>41</v>
      </c>
      <c r="D48" s="213">
        <v>337.20269999999999</v>
      </c>
      <c r="E48" s="155">
        <v>101.012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84.65</v>
      </c>
      <c r="E50" s="77">
        <v>85.96</v>
      </c>
    </row>
    <row r="51" spans="2:5">
      <c r="B51" s="191" t="s">
        <v>6</v>
      </c>
      <c r="C51" s="192" t="s">
        <v>195</v>
      </c>
      <c r="D51" s="215">
        <v>76.13</v>
      </c>
      <c r="E51" s="77">
        <v>79.790000000000006</v>
      </c>
    </row>
    <row r="52" spans="2:5">
      <c r="B52" s="191" t="s">
        <v>8</v>
      </c>
      <c r="C52" s="192" t="s">
        <v>196</v>
      </c>
      <c r="D52" s="215">
        <v>87.36</v>
      </c>
      <c r="E52" s="77">
        <v>93.26</v>
      </c>
    </row>
    <row r="53" spans="2:5" ht="12.75" customHeight="1" thickBot="1">
      <c r="B53" s="195" t="s">
        <v>9</v>
      </c>
      <c r="C53" s="196" t="s">
        <v>41</v>
      </c>
      <c r="D53" s="216">
        <v>76.709999999999994</v>
      </c>
      <c r="E53" s="281">
        <v>85.83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8669.86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8669.86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8669.86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8669.86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202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22982849.350000001</v>
      </c>
      <c r="E11" s="9">
        <f>E12+E13+E14</f>
        <v>20426288.279999997</v>
      </c>
    </row>
    <row r="12" spans="2:7">
      <c r="B12" s="112" t="s">
        <v>4</v>
      </c>
      <c r="C12" s="6" t="s">
        <v>5</v>
      </c>
      <c r="D12" s="235">
        <v>22970103.440000001</v>
      </c>
      <c r="E12" s="87">
        <f>18985980.65+1437503.11+19.69-4619.25</f>
        <v>20418884.199999999</v>
      </c>
    </row>
    <row r="13" spans="2:7">
      <c r="B13" s="112" t="s">
        <v>6</v>
      </c>
      <c r="C13" s="70" t="s">
        <v>7</v>
      </c>
      <c r="D13" s="235"/>
      <c r="E13" s="87">
        <v>42.7</v>
      </c>
    </row>
    <row r="14" spans="2:7">
      <c r="B14" s="112" t="s">
        <v>8</v>
      </c>
      <c r="C14" s="70" t="s">
        <v>10</v>
      </c>
      <c r="D14" s="235">
        <v>12745.91</v>
      </c>
      <c r="E14" s="87">
        <f>E15</f>
        <v>7361.38</v>
      </c>
    </row>
    <row r="15" spans="2:7">
      <c r="B15" s="112" t="s">
        <v>187</v>
      </c>
      <c r="C15" s="70" t="s">
        <v>11</v>
      </c>
      <c r="D15" s="235">
        <v>12745.91</v>
      </c>
      <c r="E15" s="87">
        <v>7361.38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34633.86</v>
      </c>
      <c r="E17" s="98">
        <f>SUM(E18:E20)</f>
        <v>57396.4</v>
      </c>
    </row>
    <row r="18" spans="2:6">
      <c r="B18" s="112" t="s">
        <v>4</v>
      </c>
      <c r="C18" s="6" t="s">
        <v>11</v>
      </c>
      <c r="D18" s="235">
        <v>34633.86</v>
      </c>
      <c r="E18" s="88">
        <v>57396.4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22948215.490000002</v>
      </c>
      <c r="E21" s="154">
        <f>E11-E17</f>
        <v>20368891.879999999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24280782.77</v>
      </c>
      <c r="E26" s="274">
        <f>D21</f>
        <v>22948215.490000002</v>
      </c>
    </row>
    <row r="27" spans="2:6">
      <c r="B27" s="10" t="s">
        <v>17</v>
      </c>
      <c r="C27" s="11" t="s">
        <v>192</v>
      </c>
      <c r="D27" s="207">
        <v>-1704185.9300000002</v>
      </c>
      <c r="E27" s="243">
        <f>E28-E32</f>
        <v>-2164467.71</v>
      </c>
      <c r="F27" s="73"/>
    </row>
    <row r="28" spans="2:6">
      <c r="B28" s="10" t="s">
        <v>18</v>
      </c>
      <c r="C28" s="11" t="s">
        <v>19</v>
      </c>
      <c r="D28" s="207">
        <v>1724172.52</v>
      </c>
      <c r="E28" s="244">
        <f>SUM(E29:E31)</f>
        <v>727505.22</v>
      </c>
      <c r="F28" s="73"/>
    </row>
    <row r="29" spans="2:6">
      <c r="B29" s="110" t="s">
        <v>4</v>
      </c>
      <c r="C29" s="6" t="s">
        <v>20</v>
      </c>
      <c r="D29" s="208">
        <v>809270.93</v>
      </c>
      <c r="E29" s="246">
        <v>674258.96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914901.59</v>
      </c>
      <c r="E31" s="246">
        <v>53246.259999999995</v>
      </c>
      <c r="F31" s="73"/>
    </row>
    <row r="32" spans="2:6">
      <c r="B32" s="97" t="s">
        <v>23</v>
      </c>
      <c r="C32" s="12" t="s">
        <v>24</v>
      </c>
      <c r="D32" s="207">
        <v>3428358.45</v>
      </c>
      <c r="E32" s="244">
        <f>SUM(E33:E39)</f>
        <v>2891972.93</v>
      </c>
      <c r="F32" s="73"/>
    </row>
    <row r="33" spans="2:6">
      <c r="B33" s="110" t="s">
        <v>4</v>
      </c>
      <c r="C33" s="6" t="s">
        <v>25</v>
      </c>
      <c r="D33" s="208">
        <v>2055040.6300000001</v>
      </c>
      <c r="E33" s="246">
        <f>2336703.64+2452.84</f>
        <v>2339156.48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71574.45</v>
      </c>
      <c r="E35" s="246">
        <v>59242.05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213712.36000000002</v>
      </c>
      <c r="E37" s="246">
        <v>178532.76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1088031.01</v>
      </c>
      <c r="E39" s="248">
        <v>315041.64</v>
      </c>
      <c r="F39" s="73"/>
    </row>
    <row r="40" spans="2:6" ht="13.5" thickBot="1">
      <c r="B40" s="103" t="s">
        <v>35</v>
      </c>
      <c r="C40" s="104" t="s">
        <v>36</v>
      </c>
      <c r="D40" s="210">
        <v>1721199.17</v>
      </c>
      <c r="E40" s="275">
        <v>-414855.9</v>
      </c>
    </row>
    <row r="41" spans="2:6" ht="13.5" thickBot="1">
      <c r="B41" s="105" t="s">
        <v>37</v>
      </c>
      <c r="C41" s="106" t="s">
        <v>38</v>
      </c>
      <c r="D41" s="211">
        <v>24297796.009999998</v>
      </c>
      <c r="E41" s="154">
        <f>E26+E27+E40</f>
        <v>20368891.880000003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94">
        <v>178612.20329999999</v>
      </c>
      <c r="E47" s="75">
        <v>152899.14616</v>
      </c>
    </row>
    <row r="48" spans="2:6">
      <c r="B48" s="129" t="s">
        <v>6</v>
      </c>
      <c r="C48" s="23" t="s">
        <v>41</v>
      </c>
      <c r="D48" s="294">
        <v>166766.48651700836</v>
      </c>
      <c r="E48" s="75">
        <v>138356.60363999999</v>
      </c>
    </row>
    <row r="49" spans="2:5">
      <c r="B49" s="126" t="s">
        <v>23</v>
      </c>
      <c r="C49" s="130" t="s">
        <v>194</v>
      </c>
      <c r="D49" s="301"/>
      <c r="E49" s="131"/>
    </row>
    <row r="50" spans="2:5">
      <c r="B50" s="108" t="s">
        <v>4</v>
      </c>
      <c r="C50" s="16" t="s">
        <v>40</v>
      </c>
      <c r="D50" s="294">
        <v>135.94134284689099</v>
      </c>
      <c r="E50" s="75">
        <v>150.08727037164601</v>
      </c>
    </row>
    <row r="51" spans="2:5">
      <c r="B51" s="108" t="s">
        <v>6</v>
      </c>
      <c r="C51" s="16" t="s">
        <v>195</v>
      </c>
      <c r="D51" s="294">
        <v>135.94130000000001</v>
      </c>
      <c r="E51" s="75">
        <v>142.38399999999999</v>
      </c>
    </row>
    <row r="52" spans="2:5" ht="12.75" customHeight="1">
      <c r="B52" s="108" t="s">
        <v>8</v>
      </c>
      <c r="C52" s="16" t="s">
        <v>196</v>
      </c>
      <c r="D52" s="294">
        <v>147.84299999999999</v>
      </c>
      <c r="E52" s="75">
        <v>154.66499999999999</v>
      </c>
    </row>
    <row r="53" spans="2:5" ht="13.5" thickBot="1">
      <c r="B53" s="109" t="s">
        <v>9</v>
      </c>
      <c r="C53" s="18" t="s">
        <v>41</v>
      </c>
      <c r="D53" s="216">
        <v>145.69951383800301</v>
      </c>
      <c r="E53" s="281">
        <v>147.220236289871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D64+D69</f>
        <v>20418884.199999999</v>
      </c>
      <c r="E58" s="33">
        <f>D58/E21</f>
        <v>1.0024543465739091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18985980.65-4619.25</f>
        <v>18981361.399999999</v>
      </c>
      <c r="E64" s="83">
        <f>D64/E21</f>
        <v>0.93187992316055235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1437503.11+19.69</f>
        <v>1437522.8</v>
      </c>
      <c r="E69" s="81">
        <f>D69/E21</f>
        <v>7.0574423413356555E-2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42.7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7361.38</v>
      </c>
      <c r="E72" s="125">
        <f>D72/E21</f>
        <v>3.614030671559537E-4</v>
      </c>
    </row>
    <row r="73" spans="2:5">
      <c r="B73" s="24" t="s">
        <v>62</v>
      </c>
      <c r="C73" s="25" t="s">
        <v>65</v>
      </c>
      <c r="D73" s="26">
        <f>E17</f>
        <v>57396.4</v>
      </c>
      <c r="E73" s="27">
        <f>D73/E21</f>
        <v>2.8178459750359285E-3</v>
      </c>
    </row>
    <row r="74" spans="2:5">
      <c r="B74" s="126" t="s">
        <v>64</v>
      </c>
      <c r="C74" s="127" t="s">
        <v>66</v>
      </c>
      <c r="D74" s="128">
        <f>D58+D71+D72-D73</f>
        <v>20368891.879999999</v>
      </c>
      <c r="E74" s="68">
        <f>E58+E72-E73</f>
        <v>0.99999790366602903</v>
      </c>
    </row>
    <row r="75" spans="2:5">
      <c r="B75" s="15" t="s">
        <v>4</v>
      </c>
      <c r="C75" s="16" t="s">
        <v>67</v>
      </c>
      <c r="D75" s="80">
        <f>D74</f>
        <v>20368891.879999999</v>
      </c>
      <c r="E75" s="81">
        <f>E74</f>
        <v>0.99999790366602903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26"/>
      <c r="E78" s="226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158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20215.990000000002</v>
      </c>
      <c r="E11" s="9">
        <f>E12</f>
        <v>17782.84</v>
      </c>
    </row>
    <row r="12" spans="2:5">
      <c r="B12" s="180" t="s">
        <v>4</v>
      </c>
      <c r="C12" s="181" t="s">
        <v>5</v>
      </c>
      <c r="D12" s="235">
        <v>20215.990000000002</v>
      </c>
      <c r="E12" s="87">
        <v>17782.84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20215.990000000002</v>
      </c>
      <c r="E21" s="154">
        <f>E11</f>
        <v>17782.84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30187.59</v>
      </c>
      <c r="E26" s="274">
        <f>D21</f>
        <v>20215.990000000002</v>
      </c>
    </row>
    <row r="27" spans="2:6">
      <c r="B27" s="10" t="s">
        <v>17</v>
      </c>
      <c r="C27" s="11" t="s">
        <v>192</v>
      </c>
      <c r="D27" s="207">
        <v>198.21999999999997</v>
      </c>
      <c r="E27" s="243">
        <f>E28-E32</f>
        <v>-618.99</v>
      </c>
      <c r="F27" s="73"/>
    </row>
    <row r="28" spans="2:6">
      <c r="B28" s="10" t="s">
        <v>18</v>
      </c>
      <c r="C28" s="11" t="s">
        <v>19</v>
      </c>
      <c r="D28" s="207">
        <v>500.07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500.07</v>
      </c>
      <c r="E31" s="246"/>
      <c r="F31" s="73"/>
    </row>
    <row r="32" spans="2:6">
      <c r="B32" s="97" t="s">
        <v>23</v>
      </c>
      <c r="C32" s="12" t="s">
        <v>24</v>
      </c>
      <c r="D32" s="207">
        <v>301.85000000000002</v>
      </c>
      <c r="E32" s="244">
        <f>SUM(E33:E39)</f>
        <v>618.99</v>
      </c>
      <c r="F32" s="73"/>
    </row>
    <row r="33" spans="2:6">
      <c r="B33" s="188" t="s">
        <v>4</v>
      </c>
      <c r="C33" s="181" t="s">
        <v>25</v>
      </c>
      <c r="D33" s="208"/>
      <c r="E33" s="246">
        <v>461.74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5.66</v>
      </c>
      <c r="E35" s="246">
        <v>1.99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296.19</v>
      </c>
      <c r="E37" s="246">
        <v>155.26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2258.39</v>
      </c>
      <c r="E40" s="275">
        <v>-1814.16</v>
      </c>
    </row>
    <row r="41" spans="2:6" ht="13.5" thickBot="1">
      <c r="B41" s="105" t="s">
        <v>37</v>
      </c>
      <c r="C41" s="106" t="s">
        <v>38</v>
      </c>
      <c r="D41" s="211">
        <v>32644.2</v>
      </c>
      <c r="E41" s="154">
        <f>E26+E27+E40</f>
        <v>17782.84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200.11660000000001</v>
      </c>
      <c r="E47" s="75">
        <v>127.1846</v>
      </c>
    </row>
    <row r="48" spans="2:6">
      <c r="B48" s="193" t="s">
        <v>6</v>
      </c>
      <c r="C48" s="194" t="s">
        <v>41</v>
      </c>
      <c r="D48" s="213">
        <v>201.33340000000001</v>
      </c>
      <c r="E48" s="155">
        <v>123.1413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150.85</v>
      </c>
      <c r="E50" s="77">
        <v>158.94999999999999</v>
      </c>
    </row>
    <row r="51" spans="2:5">
      <c r="B51" s="191" t="s">
        <v>6</v>
      </c>
      <c r="C51" s="192" t="s">
        <v>195</v>
      </c>
      <c r="D51" s="215">
        <v>150.85</v>
      </c>
      <c r="E51" s="77">
        <v>143.63999999999999</v>
      </c>
    </row>
    <row r="52" spans="2:5">
      <c r="B52" s="191" t="s">
        <v>8</v>
      </c>
      <c r="C52" s="192" t="s">
        <v>196</v>
      </c>
      <c r="D52" s="215">
        <v>162.72</v>
      </c>
      <c r="E52" s="77">
        <v>160.91999999999999</v>
      </c>
    </row>
    <row r="53" spans="2:5" ht="13.5" customHeight="1" thickBot="1">
      <c r="B53" s="195" t="s">
        <v>9</v>
      </c>
      <c r="C53" s="196" t="s">
        <v>41</v>
      </c>
      <c r="D53" s="216">
        <v>162.13999999999999</v>
      </c>
      <c r="E53" s="281">
        <v>144.41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17782.84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17782.84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17782.84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17782.84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9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153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33298.449999999997</v>
      </c>
      <c r="E11" s="9">
        <f>E12</f>
        <v>49512.07</v>
      </c>
    </row>
    <row r="12" spans="2:5">
      <c r="B12" s="180" t="s">
        <v>4</v>
      </c>
      <c r="C12" s="181" t="s">
        <v>5</v>
      </c>
      <c r="D12" s="235">
        <v>33298.449999999997</v>
      </c>
      <c r="E12" s="87">
        <v>49512.07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33298.449999999997</v>
      </c>
      <c r="E21" s="154">
        <f>E11</f>
        <v>49512.07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3404.69</v>
      </c>
      <c r="E26" s="274">
        <f>D21</f>
        <v>33298.449999999997</v>
      </c>
    </row>
    <row r="27" spans="2:6">
      <c r="B27" s="10" t="s">
        <v>17</v>
      </c>
      <c r="C27" s="11" t="s">
        <v>192</v>
      </c>
      <c r="D27" s="207">
        <v>41642.03</v>
      </c>
      <c r="E27" s="243">
        <f>E28-E32</f>
        <v>8526.179999999993</v>
      </c>
      <c r="F27" s="73"/>
    </row>
    <row r="28" spans="2:6">
      <c r="B28" s="10" t="s">
        <v>18</v>
      </c>
      <c r="C28" s="11" t="s">
        <v>19</v>
      </c>
      <c r="D28" s="207">
        <v>44906.82</v>
      </c>
      <c r="E28" s="244">
        <f>SUM(E29:E31)</f>
        <v>84516.14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44906.82</v>
      </c>
      <c r="E31" s="246">
        <v>84516.14</v>
      </c>
      <c r="F31" s="73"/>
    </row>
    <row r="32" spans="2:6">
      <c r="B32" s="97" t="s">
        <v>23</v>
      </c>
      <c r="C32" s="12" t="s">
        <v>24</v>
      </c>
      <c r="D32" s="207">
        <v>3264.79</v>
      </c>
      <c r="E32" s="244">
        <f>SUM(E33:E39)</f>
        <v>75989.960000000006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48.59</v>
      </c>
      <c r="E35" s="246">
        <v>133.05000000000001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213.45</v>
      </c>
      <c r="E37" s="246">
        <v>572.27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3002.75</v>
      </c>
      <c r="E39" s="248">
        <v>75284.639999999999</v>
      </c>
      <c r="F39" s="73"/>
    </row>
    <row r="40" spans="2:6" ht="13.5" thickBot="1">
      <c r="B40" s="103" t="s">
        <v>35</v>
      </c>
      <c r="C40" s="104" t="s">
        <v>36</v>
      </c>
      <c r="D40" s="210">
        <v>-4530.8999999999996</v>
      </c>
      <c r="E40" s="275">
        <v>7687.44</v>
      </c>
    </row>
    <row r="41" spans="2:6" ht="13.5" thickBot="1">
      <c r="B41" s="105" t="s">
        <v>37</v>
      </c>
      <c r="C41" s="106" t="s">
        <v>38</v>
      </c>
      <c r="D41" s="211">
        <v>40515.82</v>
      </c>
      <c r="E41" s="154">
        <f>E26+E27+E40</f>
        <v>49512.069999999992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39.502200000000002</v>
      </c>
      <c r="E47" s="75">
        <v>511.57549999999998</v>
      </c>
    </row>
    <row r="48" spans="2:6">
      <c r="B48" s="193" t="s">
        <v>6</v>
      </c>
      <c r="C48" s="194" t="s">
        <v>41</v>
      </c>
      <c r="D48" s="213">
        <v>574.61099999999999</v>
      </c>
      <c r="E48" s="155">
        <v>673.2672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86.19</v>
      </c>
      <c r="E50" s="77">
        <v>65.09</v>
      </c>
    </row>
    <row r="51" spans="2:5">
      <c r="B51" s="191" t="s">
        <v>6</v>
      </c>
      <c r="C51" s="192" t="s">
        <v>195</v>
      </c>
      <c r="D51" s="215">
        <v>67.569999999999993</v>
      </c>
      <c r="E51" s="77">
        <v>60.45</v>
      </c>
    </row>
    <row r="52" spans="2:5">
      <c r="B52" s="191" t="s">
        <v>8</v>
      </c>
      <c r="C52" s="192" t="s">
        <v>196</v>
      </c>
      <c r="D52" s="215">
        <v>86.19</v>
      </c>
      <c r="E52" s="77">
        <v>74.44</v>
      </c>
    </row>
    <row r="53" spans="2:5" ht="13.5" customHeight="1" thickBot="1">
      <c r="B53" s="195" t="s">
        <v>9</v>
      </c>
      <c r="C53" s="196" t="s">
        <v>41</v>
      </c>
      <c r="D53" s="216">
        <v>70.510000000000005</v>
      </c>
      <c r="E53" s="281">
        <v>73.540000000000006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49512.07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49512.07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49512.07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49512.07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0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154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311762.11</v>
      </c>
      <c r="E11" s="9">
        <f>E12</f>
        <v>84387.83</v>
      </c>
    </row>
    <row r="12" spans="2:7">
      <c r="B12" s="180" t="s">
        <v>4</v>
      </c>
      <c r="C12" s="181" t="s">
        <v>5</v>
      </c>
      <c r="D12" s="235">
        <v>311762.11</v>
      </c>
      <c r="E12" s="87">
        <v>84387.83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311762.11</v>
      </c>
      <c r="E21" s="154">
        <f>E11</f>
        <v>84387.83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351840.47</v>
      </c>
      <c r="E26" s="274">
        <f>D21</f>
        <v>311762.11</v>
      </c>
    </row>
    <row r="27" spans="2:6">
      <c r="B27" s="10" t="s">
        <v>17</v>
      </c>
      <c r="C27" s="11" t="s">
        <v>192</v>
      </c>
      <c r="D27" s="207">
        <v>33175.379999999997</v>
      </c>
      <c r="E27" s="243">
        <f>E28-E32</f>
        <v>-224792.97999999998</v>
      </c>
      <c r="F27" s="73"/>
    </row>
    <row r="28" spans="2:6">
      <c r="B28" s="10" t="s">
        <v>18</v>
      </c>
      <c r="C28" s="11" t="s">
        <v>19</v>
      </c>
      <c r="D28" s="207">
        <v>82462.98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82462.98</v>
      </c>
      <c r="E31" s="246"/>
      <c r="F31" s="73"/>
    </row>
    <row r="32" spans="2:6">
      <c r="B32" s="97" t="s">
        <v>23</v>
      </c>
      <c r="C32" s="12" t="s">
        <v>24</v>
      </c>
      <c r="D32" s="207">
        <v>49287.6</v>
      </c>
      <c r="E32" s="244">
        <f>SUM(E33:E39)</f>
        <v>224792.97999999998</v>
      </c>
      <c r="F32" s="73"/>
    </row>
    <row r="33" spans="2:6">
      <c r="B33" s="188" t="s">
        <v>4</v>
      </c>
      <c r="C33" s="181" t="s">
        <v>25</v>
      </c>
      <c r="D33" s="208">
        <v>37557.43</v>
      </c>
      <c r="E33" s="246">
        <v>222521.03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149.94999999999999</v>
      </c>
      <c r="E35" s="246">
        <v>99.02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3746.53</v>
      </c>
      <c r="E37" s="246">
        <v>2172.9299999999998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7833.69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2781.19</v>
      </c>
      <c r="E40" s="275">
        <v>-2581.3000000000002</v>
      </c>
    </row>
    <row r="41" spans="2:6" ht="13.5" thickBot="1">
      <c r="B41" s="105" t="s">
        <v>37</v>
      </c>
      <c r="C41" s="106" t="s">
        <v>38</v>
      </c>
      <c r="D41" s="211">
        <v>387797.04</v>
      </c>
      <c r="E41" s="154">
        <f>E26+E27+E40</f>
        <v>84387.83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2945.2575999999999</v>
      </c>
      <c r="E47" s="75">
        <v>2668.5106999999998</v>
      </c>
    </row>
    <row r="48" spans="2:6">
      <c r="B48" s="193" t="s">
        <v>6</v>
      </c>
      <c r="C48" s="194" t="s">
        <v>41</v>
      </c>
      <c r="D48" s="213">
        <v>3225.4598999999998</v>
      </c>
      <c r="E48" s="155">
        <v>748.65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119.46</v>
      </c>
      <c r="E50" s="77">
        <v>116.83</v>
      </c>
    </row>
    <row r="51" spans="2:5">
      <c r="B51" s="191" t="s">
        <v>6</v>
      </c>
      <c r="C51" s="192" t="s">
        <v>195</v>
      </c>
      <c r="D51" s="215">
        <v>117.99</v>
      </c>
      <c r="E51" s="77">
        <v>111.36</v>
      </c>
    </row>
    <row r="52" spans="2:5">
      <c r="B52" s="191" t="s">
        <v>8</v>
      </c>
      <c r="C52" s="192" t="s">
        <v>196</v>
      </c>
      <c r="D52" s="215">
        <v>120.76</v>
      </c>
      <c r="E52" s="77">
        <v>118.67</v>
      </c>
    </row>
    <row r="53" spans="2:5" ht="14.25" customHeight="1" thickBot="1">
      <c r="B53" s="195" t="s">
        <v>9</v>
      </c>
      <c r="C53" s="196" t="s">
        <v>41</v>
      </c>
      <c r="D53" s="216">
        <v>120.23</v>
      </c>
      <c r="E53" s="281">
        <v>112.72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84387.83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84387.83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84387.83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84387.83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1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159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 t="s">
        <v>212</v>
      </c>
      <c r="E11" s="9" t="s">
        <v>212</v>
      </c>
    </row>
    <row r="12" spans="2:7">
      <c r="B12" s="180" t="s">
        <v>4</v>
      </c>
      <c r="C12" s="181" t="s">
        <v>5</v>
      </c>
      <c r="D12" s="235" t="s">
        <v>212</v>
      </c>
      <c r="E12" s="87" t="s">
        <v>212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 t="s">
        <v>212</v>
      </c>
      <c r="E21" s="154" t="str">
        <f>E11</f>
        <v>-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 t="s">
        <v>212</v>
      </c>
      <c r="E26" s="274" t="str">
        <f>D21</f>
        <v>-</v>
      </c>
    </row>
    <row r="27" spans="2:6">
      <c r="B27" s="10" t="s">
        <v>17</v>
      </c>
      <c r="C27" s="11" t="s">
        <v>192</v>
      </c>
      <c r="D27" s="207">
        <v>-173.69000000000051</v>
      </c>
      <c r="E27" s="243">
        <f>E28-E32</f>
        <v>0</v>
      </c>
      <c r="F27" s="73"/>
    </row>
    <row r="28" spans="2:6">
      <c r="B28" s="10" t="s">
        <v>18</v>
      </c>
      <c r="C28" s="11" t="s">
        <v>19</v>
      </c>
      <c r="D28" s="207">
        <v>14106.83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14106.83</v>
      </c>
      <c r="E31" s="246"/>
      <c r="F31" s="73"/>
    </row>
    <row r="32" spans="2:6">
      <c r="B32" s="97" t="s">
        <v>23</v>
      </c>
      <c r="C32" s="12" t="s">
        <v>24</v>
      </c>
      <c r="D32" s="207">
        <v>14280.52</v>
      </c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2.98</v>
      </c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14277.54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173.69</v>
      </c>
      <c r="E40" s="275">
        <v>0</v>
      </c>
    </row>
    <row r="41" spans="2:6" ht="13.5" thickBot="1">
      <c r="B41" s="105" t="s">
        <v>37</v>
      </c>
      <c r="C41" s="106" t="s">
        <v>38</v>
      </c>
      <c r="D41" s="211" t="s">
        <v>212</v>
      </c>
      <c r="E41" s="154" t="s">
        <v>212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/>
      <c r="E47" s="75"/>
    </row>
    <row r="48" spans="2:6">
      <c r="B48" s="193" t="s">
        <v>6</v>
      </c>
      <c r="C48" s="194" t="s">
        <v>41</v>
      </c>
      <c r="D48" s="213"/>
      <c r="E48" s="155"/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/>
      <c r="E50" s="77"/>
    </row>
    <row r="51" spans="2:5">
      <c r="B51" s="191" t="s">
        <v>6</v>
      </c>
      <c r="C51" s="192" t="s">
        <v>195</v>
      </c>
      <c r="D51" s="215">
        <v>82.57</v>
      </c>
      <c r="E51" s="77"/>
    </row>
    <row r="52" spans="2:5">
      <c r="B52" s="191" t="s">
        <v>8</v>
      </c>
      <c r="C52" s="192" t="s">
        <v>196</v>
      </c>
      <c r="D52" s="215">
        <v>112.08</v>
      </c>
      <c r="E52" s="77"/>
    </row>
    <row r="53" spans="2:5" ht="13.5" customHeight="1" thickBot="1">
      <c r="B53" s="195" t="s">
        <v>9</v>
      </c>
      <c r="C53" s="196" t="s">
        <v>41</v>
      </c>
      <c r="D53" s="216"/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v>0</v>
      </c>
      <c r="E64" s="83"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143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701126.99</v>
      </c>
      <c r="E11" s="9">
        <f>E12</f>
        <v>787748.61</v>
      </c>
    </row>
    <row r="12" spans="2:7">
      <c r="B12" s="180" t="s">
        <v>4</v>
      </c>
      <c r="C12" s="181" t="s">
        <v>5</v>
      </c>
      <c r="D12" s="235">
        <v>701126.99</v>
      </c>
      <c r="E12" s="87">
        <v>787748.61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701126.99</v>
      </c>
      <c r="E21" s="154">
        <f>E11</f>
        <v>787748.61</v>
      </c>
      <c r="F21" s="79"/>
    </row>
    <row r="22" spans="2:6">
      <c r="B22" s="3"/>
      <c r="C22" s="7"/>
      <c r="D22" s="8"/>
      <c r="E22" s="230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952809.53</v>
      </c>
      <c r="E26" s="274">
        <f>D21</f>
        <v>701126.99</v>
      </c>
    </row>
    <row r="27" spans="2:6">
      <c r="B27" s="10" t="s">
        <v>17</v>
      </c>
      <c r="C27" s="11" t="s">
        <v>192</v>
      </c>
      <c r="D27" s="207">
        <v>-85648.48</v>
      </c>
      <c r="E27" s="243">
        <f>E28-E32</f>
        <v>105558.69</v>
      </c>
      <c r="F27" s="73"/>
    </row>
    <row r="28" spans="2:6">
      <c r="B28" s="10" t="s">
        <v>18</v>
      </c>
      <c r="C28" s="11" t="s">
        <v>19</v>
      </c>
      <c r="D28" s="207">
        <v>27544.69</v>
      </c>
      <c r="E28" s="244">
        <f>SUM(E29:E31)</f>
        <v>114626.75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27544.69</v>
      </c>
      <c r="E31" s="246">
        <v>114626.75</v>
      </c>
      <c r="F31" s="73"/>
    </row>
    <row r="32" spans="2:6">
      <c r="B32" s="97" t="s">
        <v>23</v>
      </c>
      <c r="C32" s="12" t="s">
        <v>24</v>
      </c>
      <c r="D32" s="207">
        <v>113193.17</v>
      </c>
      <c r="E32" s="244">
        <f>SUM(E33:E39)</f>
        <v>9068.0600000000013</v>
      </c>
      <c r="F32" s="73"/>
    </row>
    <row r="33" spans="2:6">
      <c r="B33" s="188" t="s">
        <v>4</v>
      </c>
      <c r="C33" s="181" t="s">
        <v>25</v>
      </c>
      <c r="D33" s="208">
        <v>77420.53</v>
      </c>
      <c r="E33" s="246">
        <v>2736.59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942.02</v>
      </c>
      <c r="E35" s="246">
        <v>145.58000000000001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7253.5</v>
      </c>
      <c r="E37" s="246">
        <v>6185.89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27577.119999999999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25452.27</v>
      </c>
      <c r="E40" s="275">
        <v>-18937.07</v>
      </c>
    </row>
    <row r="41" spans="2:6" ht="13.5" thickBot="1">
      <c r="B41" s="105" t="s">
        <v>37</v>
      </c>
      <c r="C41" s="106" t="s">
        <v>38</v>
      </c>
      <c r="D41" s="211">
        <v>892613.32000000007</v>
      </c>
      <c r="E41" s="154">
        <f>E26+E27+E40</f>
        <v>787748.61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1871.18</v>
      </c>
      <c r="E47" s="75">
        <v>1264.33</v>
      </c>
    </row>
    <row r="48" spans="2:6">
      <c r="B48" s="193" t="s">
        <v>6</v>
      </c>
      <c r="C48" s="194" t="s">
        <v>41</v>
      </c>
      <c r="D48" s="213">
        <v>1703.88</v>
      </c>
      <c r="E48" s="155">
        <v>1449.81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509.20249999999999</v>
      </c>
      <c r="E50" s="77">
        <v>554.54430000000002</v>
      </c>
    </row>
    <row r="51" spans="2:5">
      <c r="B51" s="191" t="s">
        <v>6</v>
      </c>
      <c r="C51" s="192" t="s">
        <v>195</v>
      </c>
      <c r="D51" s="215">
        <v>507.11759999999998</v>
      </c>
      <c r="E51" s="77">
        <v>537.93190000000004</v>
      </c>
    </row>
    <row r="52" spans="2:5">
      <c r="B52" s="191" t="s">
        <v>8</v>
      </c>
      <c r="C52" s="192" t="s">
        <v>196</v>
      </c>
      <c r="D52" s="215">
        <v>528.69550000000004</v>
      </c>
      <c r="E52" s="77">
        <v>577.61500000000001</v>
      </c>
    </row>
    <row r="53" spans="2:5" ht="12.75" customHeight="1" thickBot="1">
      <c r="B53" s="195" t="s">
        <v>9</v>
      </c>
      <c r="C53" s="196" t="s">
        <v>41</v>
      </c>
      <c r="D53" s="216">
        <v>523.87099999999998</v>
      </c>
      <c r="E53" s="281">
        <v>543.34609999999998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787748.61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787748.61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787748.61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787748.61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169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221"/>
      <c r="C10" s="223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73246.179999999993</v>
      </c>
      <c r="E11" s="9">
        <f>E12</f>
        <v>53473.06</v>
      </c>
    </row>
    <row r="12" spans="2:7">
      <c r="B12" s="180" t="s">
        <v>4</v>
      </c>
      <c r="C12" s="181" t="s">
        <v>5</v>
      </c>
      <c r="D12" s="235">
        <v>73246.179999999993</v>
      </c>
      <c r="E12" s="87">
        <v>53473.06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73246.179999999993</v>
      </c>
      <c r="E21" s="154">
        <f>E11</f>
        <v>53473.06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51702.82</v>
      </c>
      <c r="E26" s="274">
        <f>D21</f>
        <v>73246.179999999993</v>
      </c>
    </row>
    <row r="27" spans="2:6">
      <c r="B27" s="10" t="s">
        <v>17</v>
      </c>
      <c r="C27" s="11" t="s">
        <v>192</v>
      </c>
      <c r="D27" s="207">
        <v>75.220000000000027</v>
      </c>
      <c r="E27" s="243">
        <f>E28-E32</f>
        <v>-17176.57</v>
      </c>
      <c r="F27" s="73"/>
    </row>
    <row r="28" spans="2:6">
      <c r="B28" s="10" t="s">
        <v>18</v>
      </c>
      <c r="C28" s="11" t="s">
        <v>19</v>
      </c>
      <c r="D28" s="207">
        <v>584.71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584.71</v>
      </c>
      <c r="E31" s="246"/>
      <c r="F31" s="73"/>
    </row>
    <row r="32" spans="2:6">
      <c r="B32" s="97" t="s">
        <v>23</v>
      </c>
      <c r="C32" s="12" t="s">
        <v>24</v>
      </c>
      <c r="D32" s="207">
        <v>509.49</v>
      </c>
      <c r="E32" s="244">
        <f>SUM(E33:E39)</f>
        <v>17176.57</v>
      </c>
      <c r="F32" s="73"/>
    </row>
    <row r="33" spans="2:6">
      <c r="B33" s="188" t="s">
        <v>4</v>
      </c>
      <c r="C33" s="181" t="s">
        <v>25</v>
      </c>
      <c r="D33" s="208"/>
      <c r="E33" s="246">
        <v>16758.23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92.01</v>
      </c>
      <c r="E35" s="246">
        <v>62.32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417.48</v>
      </c>
      <c r="E37" s="246">
        <v>356.02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14880.35</v>
      </c>
      <c r="E40" s="275">
        <v>-2596.5500000000002</v>
      </c>
    </row>
    <row r="41" spans="2:6" ht="13.5" thickBot="1">
      <c r="B41" s="105" t="s">
        <v>37</v>
      </c>
      <c r="C41" s="106" t="s">
        <v>38</v>
      </c>
      <c r="D41" s="211">
        <v>66658.39</v>
      </c>
      <c r="E41" s="154">
        <f>E26+E27+E40</f>
        <v>53473.05999999999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1189.7</v>
      </c>
      <c r="E47" s="75">
        <v>1123.53</v>
      </c>
    </row>
    <row r="48" spans="2:6">
      <c r="B48" s="193" t="s">
        <v>6</v>
      </c>
      <c r="C48" s="194" t="s">
        <v>41</v>
      </c>
      <c r="D48" s="213">
        <v>1190.3900000000001</v>
      </c>
      <c r="E48" s="155">
        <v>854.22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43.4587</v>
      </c>
      <c r="E50" s="77">
        <v>65.192899999999995</v>
      </c>
    </row>
    <row r="51" spans="2:5">
      <c r="B51" s="191" t="s">
        <v>6</v>
      </c>
      <c r="C51" s="192" t="s">
        <v>195</v>
      </c>
      <c r="D51" s="215">
        <v>43.4587</v>
      </c>
      <c r="E51" s="77">
        <v>61.564300000000003</v>
      </c>
    </row>
    <row r="52" spans="2:5">
      <c r="B52" s="191" t="s">
        <v>8</v>
      </c>
      <c r="C52" s="192" t="s">
        <v>196</v>
      </c>
      <c r="D52" s="215">
        <v>56.67</v>
      </c>
      <c r="E52" s="77">
        <v>69.4101</v>
      </c>
    </row>
    <row r="53" spans="2:5" ht="12.75" customHeight="1" thickBot="1">
      <c r="B53" s="195" t="s">
        <v>9</v>
      </c>
      <c r="C53" s="196" t="s">
        <v>41</v>
      </c>
      <c r="D53" s="216">
        <v>55.997100000000003</v>
      </c>
      <c r="E53" s="281">
        <v>62.598700000000001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53473.06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53473.06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53473.06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53473.06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144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157878.49</v>
      </c>
      <c r="E11" s="9">
        <f>E12</f>
        <v>67840.08</v>
      </c>
    </row>
    <row r="12" spans="2:7">
      <c r="B12" s="180" t="s">
        <v>4</v>
      </c>
      <c r="C12" s="181" t="s">
        <v>5</v>
      </c>
      <c r="D12" s="235">
        <v>157878.49</v>
      </c>
      <c r="E12" s="87">
        <v>67840.08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157878.49</v>
      </c>
      <c r="E21" s="154">
        <f>E11</f>
        <v>67840.08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892872.42</v>
      </c>
      <c r="E26" s="274">
        <f>D21</f>
        <v>157878.49</v>
      </c>
    </row>
    <row r="27" spans="2:6">
      <c r="B27" s="10" t="s">
        <v>17</v>
      </c>
      <c r="C27" s="11" t="s">
        <v>192</v>
      </c>
      <c r="D27" s="207">
        <v>20087.599999999999</v>
      </c>
      <c r="E27" s="243">
        <f>E28-E32</f>
        <v>-87013.89</v>
      </c>
      <c r="F27" s="73"/>
    </row>
    <row r="28" spans="2:6">
      <c r="B28" s="10" t="s">
        <v>18</v>
      </c>
      <c r="C28" s="11" t="s">
        <v>19</v>
      </c>
      <c r="D28" s="207">
        <v>27544.68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27544.68</v>
      </c>
      <c r="E31" s="246"/>
      <c r="F31" s="73"/>
    </row>
    <row r="32" spans="2:6">
      <c r="B32" s="97" t="s">
        <v>23</v>
      </c>
      <c r="C32" s="12" t="s">
        <v>24</v>
      </c>
      <c r="D32" s="207">
        <v>7457.08</v>
      </c>
      <c r="E32" s="244">
        <f>SUM(E33:E39)</f>
        <v>87013.89</v>
      </c>
      <c r="F32" s="73"/>
    </row>
    <row r="33" spans="2:6">
      <c r="B33" s="188" t="s">
        <v>4</v>
      </c>
      <c r="C33" s="181" t="s">
        <v>25</v>
      </c>
      <c r="D33" s="208"/>
      <c r="E33" s="246">
        <v>86021.3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14.07</v>
      </c>
      <c r="E35" s="246">
        <v>16.78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7443.01</v>
      </c>
      <c r="E37" s="246">
        <v>975.81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0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45464.01</v>
      </c>
      <c r="E40" s="275">
        <v>-3024.52</v>
      </c>
    </row>
    <row r="41" spans="2:6" ht="13.5" thickBot="1">
      <c r="B41" s="105" t="s">
        <v>37</v>
      </c>
      <c r="C41" s="106" t="s">
        <v>38</v>
      </c>
      <c r="D41" s="211">
        <v>958424.03</v>
      </c>
      <c r="E41" s="154">
        <f>E26+E27+E40</f>
        <v>67840.079999999987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7877.92</v>
      </c>
      <c r="E47" s="75">
        <v>1313.9</v>
      </c>
    </row>
    <row r="48" spans="2:6">
      <c r="B48" s="193" t="s">
        <v>6</v>
      </c>
      <c r="C48" s="194" t="s">
        <v>41</v>
      </c>
      <c r="D48" s="213">
        <v>8051.71</v>
      </c>
      <c r="E48" s="155">
        <v>588.26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113.3386</v>
      </c>
      <c r="E50" s="77">
        <v>120.1602</v>
      </c>
    </row>
    <row r="51" spans="2:5">
      <c r="B51" s="191" t="s">
        <v>6</v>
      </c>
      <c r="C51" s="192" t="s">
        <v>195</v>
      </c>
      <c r="D51" s="215">
        <v>113.2443</v>
      </c>
      <c r="E51" s="77">
        <v>115.2199</v>
      </c>
    </row>
    <row r="52" spans="2:5">
      <c r="B52" s="191" t="s">
        <v>8</v>
      </c>
      <c r="C52" s="192" t="s">
        <v>196</v>
      </c>
      <c r="D52" s="215">
        <v>120.13679999999999</v>
      </c>
      <c r="E52" s="77">
        <v>124.76</v>
      </c>
    </row>
    <row r="53" spans="2:5" ht="13.5" customHeight="1" thickBot="1">
      <c r="B53" s="195" t="s">
        <v>9</v>
      </c>
      <c r="C53" s="196" t="s">
        <v>41</v>
      </c>
      <c r="D53" s="216">
        <v>119.03360000000001</v>
      </c>
      <c r="E53" s="281">
        <v>115.3233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67840.08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67840.08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67840.08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67840.08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139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1547000.98</v>
      </c>
      <c r="E11" s="9">
        <f>E12</f>
        <v>1398795.37</v>
      </c>
    </row>
    <row r="12" spans="2:7">
      <c r="B12" s="180" t="s">
        <v>4</v>
      </c>
      <c r="C12" s="181" t="s">
        <v>5</v>
      </c>
      <c r="D12" s="235">
        <v>1547000.98</v>
      </c>
      <c r="E12" s="87">
        <v>1398795.37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1547000.98</v>
      </c>
      <c r="E21" s="154">
        <f>E11</f>
        <v>1398795.37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2625616.23</v>
      </c>
      <c r="E26" s="274">
        <f>D21</f>
        <v>1547000.98</v>
      </c>
    </row>
    <row r="27" spans="2:6">
      <c r="B27" s="10" t="s">
        <v>17</v>
      </c>
      <c r="C27" s="11" t="s">
        <v>192</v>
      </c>
      <c r="D27" s="207">
        <v>-429958.83999999997</v>
      </c>
      <c r="E27" s="243">
        <f>E28-E32</f>
        <v>-128280.23000000004</v>
      </c>
      <c r="F27" s="73"/>
    </row>
    <row r="28" spans="2:6">
      <c r="B28" s="10" t="s">
        <v>18</v>
      </c>
      <c r="C28" s="11" t="s">
        <v>19</v>
      </c>
      <c r="D28" s="207">
        <v>176679.14</v>
      </c>
      <c r="E28" s="244">
        <f>SUM(E29:E31)</f>
        <v>264478.38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176679.14</v>
      </c>
      <c r="E31" s="246">
        <v>264478.38</v>
      </c>
      <c r="F31" s="73"/>
    </row>
    <row r="32" spans="2:6">
      <c r="B32" s="97" t="s">
        <v>23</v>
      </c>
      <c r="C32" s="12" t="s">
        <v>24</v>
      </c>
      <c r="D32" s="207">
        <v>606637.98</v>
      </c>
      <c r="E32" s="244">
        <f>SUM(E33:E39)</f>
        <v>392758.61000000004</v>
      </c>
      <c r="F32" s="73"/>
    </row>
    <row r="33" spans="2:6">
      <c r="B33" s="188" t="s">
        <v>4</v>
      </c>
      <c r="C33" s="181" t="s">
        <v>25</v>
      </c>
      <c r="D33" s="208">
        <v>390009.91</v>
      </c>
      <c r="E33" s="246">
        <v>348824.11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1873.01</v>
      </c>
      <c r="E35" s="246">
        <v>988.39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19111.55</v>
      </c>
      <c r="E37" s="246">
        <v>11392.27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195643.51</v>
      </c>
      <c r="E39" s="248">
        <v>31553.84</v>
      </c>
      <c r="F39" s="73"/>
    </row>
    <row r="40" spans="2:6" ht="13.5" thickBot="1">
      <c r="B40" s="103" t="s">
        <v>35</v>
      </c>
      <c r="C40" s="104" t="s">
        <v>36</v>
      </c>
      <c r="D40" s="210">
        <v>270791.93</v>
      </c>
      <c r="E40" s="275">
        <v>-19925.38</v>
      </c>
    </row>
    <row r="41" spans="2:6" ht="13.5" thickBot="1">
      <c r="B41" s="105" t="s">
        <v>37</v>
      </c>
      <c r="C41" s="106" t="s">
        <v>38</v>
      </c>
      <c r="D41" s="211">
        <v>2466449.3200000003</v>
      </c>
      <c r="E41" s="154">
        <f>E26+E27+E40</f>
        <v>1398795.37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25200.15</v>
      </c>
      <c r="E47" s="75">
        <v>12705.57</v>
      </c>
    </row>
    <row r="48" spans="2:6">
      <c r="B48" s="193" t="s">
        <v>6</v>
      </c>
      <c r="C48" s="194" t="s">
        <v>41</v>
      </c>
      <c r="D48" s="213">
        <v>21122.720000000001</v>
      </c>
      <c r="E48" s="155">
        <v>11607.22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104.1905</v>
      </c>
      <c r="E50" s="77">
        <v>121.7577</v>
      </c>
    </row>
    <row r="51" spans="2:5">
      <c r="B51" s="191" t="s">
        <v>6</v>
      </c>
      <c r="C51" s="192" t="s">
        <v>195</v>
      </c>
      <c r="D51" s="215">
        <v>104.1905</v>
      </c>
      <c r="E51" s="77">
        <v>118.11199999999999</v>
      </c>
    </row>
    <row r="52" spans="2:5">
      <c r="B52" s="191" t="s">
        <v>8</v>
      </c>
      <c r="C52" s="192" t="s">
        <v>196</v>
      </c>
      <c r="D52" s="215">
        <v>120.8045</v>
      </c>
      <c r="E52" s="77">
        <v>128.25800000000001</v>
      </c>
    </row>
    <row r="53" spans="2:5" ht="12.75" customHeight="1" thickBot="1">
      <c r="B53" s="195" t="s">
        <v>9</v>
      </c>
      <c r="C53" s="196" t="s">
        <v>41</v>
      </c>
      <c r="D53" s="216">
        <v>116.7676</v>
      </c>
      <c r="E53" s="281">
        <v>120.5108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1398795.37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1398795.37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1398795.37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1398795.37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140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1474348.99</v>
      </c>
      <c r="E11" s="9">
        <f>E12</f>
        <v>901227.72</v>
      </c>
    </row>
    <row r="12" spans="2:7">
      <c r="B12" s="180" t="s">
        <v>4</v>
      </c>
      <c r="C12" s="181" t="s">
        <v>5</v>
      </c>
      <c r="D12" s="235">
        <v>1474348.99</v>
      </c>
      <c r="E12" s="87">
        <f>901253.59-25.87</f>
        <v>901227.72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1474348.99</v>
      </c>
      <c r="E21" s="154">
        <f>E11</f>
        <v>901227.72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1357280.67</v>
      </c>
      <c r="E26" s="274">
        <f>D21</f>
        <v>1474348.99</v>
      </c>
    </row>
    <row r="27" spans="2:6">
      <c r="B27" s="10" t="s">
        <v>17</v>
      </c>
      <c r="C27" s="11" t="s">
        <v>192</v>
      </c>
      <c r="D27" s="207">
        <v>-76219.099999999991</v>
      </c>
      <c r="E27" s="243">
        <f>E28-E32</f>
        <v>-487456.80000000005</v>
      </c>
      <c r="F27" s="73"/>
    </row>
    <row r="28" spans="2:6">
      <c r="B28" s="10" t="s">
        <v>18</v>
      </c>
      <c r="C28" s="11" t="s">
        <v>19</v>
      </c>
      <c r="D28" s="207">
        <v>91638.8</v>
      </c>
      <c r="E28" s="244">
        <f>SUM(E29:E31)</f>
        <v>4346.87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91638.8</v>
      </c>
      <c r="E31" s="246">
        <v>4346.87</v>
      </c>
      <c r="F31" s="73"/>
    </row>
    <row r="32" spans="2:6">
      <c r="B32" s="97" t="s">
        <v>23</v>
      </c>
      <c r="C32" s="12" t="s">
        <v>24</v>
      </c>
      <c r="D32" s="207">
        <v>167857.9</v>
      </c>
      <c r="E32" s="244">
        <f>SUM(E33:E39)</f>
        <v>491803.67000000004</v>
      </c>
      <c r="F32" s="73"/>
    </row>
    <row r="33" spans="2:6">
      <c r="B33" s="188" t="s">
        <v>4</v>
      </c>
      <c r="C33" s="181" t="s">
        <v>25</v>
      </c>
      <c r="D33" s="208">
        <v>149863.69999999998</v>
      </c>
      <c r="E33" s="246">
        <f>433662.37-3.05</f>
        <v>433659.32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419.2</v>
      </c>
      <c r="E35" s="246">
        <v>240.09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10945.9</v>
      </c>
      <c r="E37" s="246">
        <v>9982.11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6629.1</v>
      </c>
      <c r="E39" s="248">
        <v>47922.15</v>
      </c>
      <c r="F39" s="73"/>
    </row>
    <row r="40" spans="2:6" ht="13.5" thickBot="1">
      <c r="B40" s="103" t="s">
        <v>35</v>
      </c>
      <c r="C40" s="104" t="s">
        <v>36</v>
      </c>
      <c r="D40" s="210">
        <v>210449.32</v>
      </c>
      <c r="E40" s="275">
        <v>-85664.47</v>
      </c>
    </row>
    <row r="41" spans="2:6" ht="13.5" thickBot="1">
      <c r="B41" s="105" t="s">
        <v>37</v>
      </c>
      <c r="C41" s="106" t="s">
        <v>38</v>
      </c>
      <c r="D41" s="211">
        <v>1491510.89</v>
      </c>
      <c r="E41" s="154">
        <f>E26+E27+E40</f>
        <v>901227.72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3507.1</v>
      </c>
      <c r="E47" s="75">
        <v>3059.04</v>
      </c>
    </row>
    <row r="48" spans="2:6">
      <c r="B48" s="193" t="s">
        <v>6</v>
      </c>
      <c r="C48" s="194" t="s">
        <v>41</v>
      </c>
      <c r="D48" s="213">
        <v>3319.060010792708</v>
      </c>
      <c r="E48" s="155">
        <v>2090.1799999999998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387.00940000000003</v>
      </c>
      <c r="E50" s="77">
        <v>481.96460000000002</v>
      </c>
    </row>
    <row r="51" spans="2:5">
      <c r="B51" s="191" t="s">
        <v>6</v>
      </c>
      <c r="C51" s="192" t="s">
        <v>195</v>
      </c>
      <c r="D51" s="215">
        <v>387.00940000000003</v>
      </c>
      <c r="E51" s="282">
        <v>429.23559999999998</v>
      </c>
    </row>
    <row r="52" spans="2:5">
      <c r="B52" s="191" t="s">
        <v>8</v>
      </c>
      <c r="C52" s="192" t="s">
        <v>196</v>
      </c>
      <c r="D52" s="215">
        <v>455.56659999999999</v>
      </c>
      <c r="E52" s="282">
        <v>519.31799999999998</v>
      </c>
    </row>
    <row r="53" spans="2:5" ht="12.75" customHeight="1" thickBot="1">
      <c r="B53" s="195" t="s">
        <v>9</v>
      </c>
      <c r="C53" s="196" t="s">
        <v>41</v>
      </c>
      <c r="D53" s="216">
        <v>449.3775</v>
      </c>
      <c r="E53" s="281">
        <v>431.17230000000001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901227.72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901227.72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901227.72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901227.72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141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1142542.57</v>
      </c>
      <c r="E11" s="9">
        <f>E12</f>
        <v>1189339.6599999999</v>
      </c>
    </row>
    <row r="12" spans="2:5">
      <c r="B12" s="180" t="s">
        <v>4</v>
      </c>
      <c r="C12" s="181" t="s">
        <v>5</v>
      </c>
      <c r="D12" s="235">
        <v>1142542.57</v>
      </c>
      <c r="E12" s="87">
        <v>1189339.6599999999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1142542.57</v>
      </c>
      <c r="E21" s="154">
        <f>E11</f>
        <v>1189339.6599999999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1492826.51</v>
      </c>
      <c r="E26" s="274">
        <f>D21</f>
        <v>1142542.57</v>
      </c>
    </row>
    <row r="27" spans="2:6">
      <c r="B27" s="10" t="s">
        <v>17</v>
      </c>
      <c r="C27" s="11" t="s">
        <v>192</v>
      </c>
      <c r="D27" s="207">
        <v>-427468.41000000003</v>
      </c>
      <c r="E27" s="243">
        <f>E28-E32</f>
        <v>74829.33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152552.97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152552.97</v>
      </c>
      <c r="F31" s="73"/>
    </row>
    <row r="32" spans="2:6">
      <c r="B32" s="97" t="s">
        <v>23</v>
      </c>
      <c r="C32" s="12" t="s">
        <v>24</v>
      </c>
      <c r="D32" s="207">
        <v>427468.41000000003</v>
      </c>
      <c r="E32" s="244">
        <f>SUM(E33:E39)</f>
        <v>77723.64</v>
      </c>
      <c r="F32" s="73"/>
    </row>
    <row r="33" spans="2:6">
      <c r="B33" s="188" t="s">
        <v>4</v>
      </c>
      <c r="C33" s="181" t="s">
        <v>25</v>
      </c>
      <c r="D33" s="208">
        <v>414939.77</v>
      </c>
      <c r="E33" s="246">
        <v>67627.33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447.19</v>
      </c>
      <c r="E35" s="246">
        <v>256.26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12081.45</v>
      </c>
      <c r="E37" s="246">
        <v>9840.0499999999993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50283.47</v>
      </c>
      <c r="E40" s="275">
        <v>-28032.240000000002</v>
      </c>
    </row>
    <row r="41" spans="2:6" ht="13.5" thickBot="1">
      <c r="B41" s="105" t="s">
        <v>37</v>
      </c>
      <c r="C41" s="106" t="s">
        <v>38</v>
      </c>
      <c r="D41" s="211">
        <v>1115641.57</v>
      </c>
      <c r="E41" s="154">
        <f>E26+E27+E40</f>
        <v>1189339.6600000001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2621.25</v>
      </c>
      <c r="E47" s="75">
        <v>1856.41</v>
      </c>
    </row>
    <row r="48" spans="2:6">
      <c r="B48" s="193" t="s">
        <v>6</v>
      </c>
      <c r="C48" s="194" t="s">
        <v>41</v>
      </c>
      <c r="D48" s="213">
        <v>1896.61</v>
      </c>
      <c r="E48" s="155">
        <v>1970.22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569.50940000000003</v>
      </c>
      <c r="E50" s="77">
        <v>615.45809999999994</v>
      </c>
    </row>
    <row r="51" spans="2:5">
      <c r="B51" s="191" t="s">
        <v>6</v>
      </c>
      <c r="C51" s="192" t="s">
        <v>195</v>
      </c>
      <c r="D51" s="215">
        <v>568.92539999999997</v>
      </c>
      <c r="E51" s="77">
        <v>602.36760000000004</v>
      </c>
    </row>
    <row r="52" spans="2:5">
      <c r="B52" s="191" t="s">
        <v>8</v>
      </c>
      <c r="C52" s="192" t="s">
        <v>196</v>
      </c>
      <c r="D52" s="215">
        <v>593.40340000000003</v>
      </c>
      <c r="E52" s="77">
        <v>632.10299999999995</v>
      </c>
    </row>
    <row r="53" spans="2:5" ht="13.5" customHeight="1" thickBot="1">
      <c r="B53" s="195" t="s">
        <v>9</v>
      </c>
      <c r="C53" s="196" t="s">
        <v>41</v>
      </c>
      <c r="D53" s="216">
        <v>588.22929999999997</v>
      </c>
      <c r="E53" s="281">
        <v>603.65830000000005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1189339.6599999999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1189339.6599999999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1189339.6599999999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1189339.6599999999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203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16141966.959999999</v>
      </c>
      <c r="E11" s="9">
        <f>E12+E13+E14</f>
        <v>13524574.869999999</v>
      </c>
    </row>
    <row r="12" spans="2:7">
      <c r="B12" s="112" t="s">
        <v>4</v>
      </c>
      <c r="C12" s="6" t="s">
        <v>5</v>
      </c>
      <c r="D12" s="235">
        <v>16130257.029999999</v>
      </c>
      <c r="E12" s="87">
        <f>12986203.93+533799.68+7.31-4086.25</f>
        <v>13515924.67</v>
      </c>
    </row>
    <row r="13" spans="2:7">
      <c r="B13" s="112" t="s">
        <v>6</v>
      </c>
      <c r="C13" s="70" t="s">
        <v>7</v>
      </c>
      <c r="D13" s="235">
        <v>13.86</v>
      </c>
      <c r="E13" s="87">
        <v>25.61</v>
      </c>
    </row>
    <row r="14" spans="2:7">
      <c r="B14" s="112" t="s">
        <v>8</v>
      </c>
      <c r="C14" s="70" t="s">
        <v>10</v>
      </c>
      <c r="D14" s="235">
        <v>11696.07</v>
      </c>
      <c r="E14" s="87">
        <f>E15</f>
        <v>8624.59</v>
      </c>
    </row>
    <row r="15" spans="2:7">
      <c r="B15" s="112" t="s">
        <v>187</v>
      </c>
      <c r="C15" s="70" t="s">
        <v>11</v>
      </c>
      <c r="D15" s="235">
        <v>11696.07</v>
      </c>
      <c r="E15" s="87">
        <v>8624.59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38009.22</v>
      </c>
      <c r="E17" s="98">
        <f>SUM(E18:E19)</f>
        <v>6039.71</v>
      </c>
    </row>
    <row r="18" spans="2:6">
      <c r="B18" s="112" t="s">
        <v>4</v>
      </c>
      <c r="C18" s="6" t="s">
        <v>11</v>
      </c>
      <c r="D18" s="235">
        <v>38009.22</v>
      </c>
      <c r="E18" s="88">
        <v>6039.71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16103957.739999998</v>
      </c>
      <c r="E21" s="154">
        <f>E11-E17</f>
        <v>13518535.159999998</v>
      </c>
      <c r="F21" s="79"/>
    </row>
    <row r="22" spans="2:6">
      <c r="B22" s="3"/>
      <c r="C22" s="7"/>
      <c r="D22" s="8"/>
      <c r="E22" s="8"/>
    </row>
    <row r="23" spans="2:6" ht="15.75">
      <c r="B23" s="313"/>
      <c r="C23" s="321"/>
      <c r="D23" s="321"/>
      <c r="E23" s="321"/>
    </row>
    <row r="24" spans="2:6" ht="18" customHeight="1" thickBot="1">
      <c r="B24" s="312" t="s">
        <v>186</v>
      </c>
      <c r="C24" s="322"/>
      <c r="D24" s="322"/>
      <c r="E24" s="322"/>
    </row>
    <row r="25" spans="2:6" ht="13.5" thickBot="1">
      <c r="B25" s="9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15665491.23</v>
      </c>
      <c r="E26" s="274">
        <f>D21</f>
        <v>16103957.739999998</v>
      </c>
    </row>
    <row r="27" spans="2:6">
      <c r="B27" s="10" t="s">
        <v>17</v>
      </c>
      <c r="C27" s="11" t="s">
        <v>192</v>
      </c>
      <c r="D27" s="207">
        <v>486765.3599999994</v>
      </c>
      <c r="E27" s="243">
        <f>E28-E32</f>
        <v>-1702918.67</v>
      </c>
      <c r="F27" s="73"/>
    </row>
    <row r="28" spans="2:6">
      <c r="B28" s="10" t="s">
        <v>18</v>
      </c>
      <c r="C28" s="11" t="s">
        <v>19</v>
      </c>
      <c r="D28" s="207">
        <v>3044258.56</v>
      </c>
      <c r="E28" s="244">
        <f>SUM(E29:E31)</f>
        <v>705039.33000000007</v>
      </c>
      <c r="F28" s="73"/>
    </row>
    <row r="29" spans="2:6">
      <c r="B29" s="110" t="s">
        <v>4</v>
      </c>
      <c r="C29" s="6" t="s">
        <v>20</v>
      </c>
      <c r="D29" s="208">
        <v>762610.73</v>
      </c>
      <c r="E29" s="246">
        <v>654783.60000000009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2281647.83</v>
      </c>
      <c r="E31" s="246">
        <v>50255.73</v>
      </c>
      <c r="F31" s="73"/>
    </row>
    <row r="32" spans="2:6">
      <c r="B32" s="97" t="s">
        <v>23</v>
      </c>
      <c r="C32" s="12" t="s">
        <v>24</v>
      </c>
      <c r="D32" s="207">
        <v>2557493.2000000007</v>
      </c>
      <c r="E32" s="244">
        <f>SUM(E33:E39)</f>
        <v>2407958</v>
      </c>
      <c r="F32" s="73"/>
    </row>
    <row r="33" spans="2:6">
      <c r="B33" s="110" t="s">
        <v>4</v>
      </c>
      <c r="C33" s="6" t="s">
        <v>25</v>
      </c>
      <c r="D33" s="208">
        <v>2223593.9200000004</v>
      </c>
      <c r="E33" s="246">
        <f>1995216.11+3494.25</f>
        <v>1998710.36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69838.58</v>
      </c>
      <c r="E35" s="246">
        <v>64492.07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145100.08000000002</v>
      </c>
      <c r="E37" s="246">
        <v>121017.57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118960.62</v>
      </c>
      <c r="E39" s="248">
        <v>223738</v>
      </c>
      <c r="F39" s="73"/>
    </row>
    <row r="40" spans="2:6" ht="13.5" thickBot="1">
      <c r="B40" s="103" t="s">
        <v>35</v>
      </c>
      <c r="C40" s="104" t="s">
        <v>36</v>
      </c>
      <c r="D40" s="210">
        <v>1880794.58</v>
      </c>
      <c r="E40" s="275">
        <v>-882503.91</v>
      </c>
    </row>
    <row r="41" spans="2:6" ht="13.5" thickBot="1">
      <c r="B41" s="105" t="s">
        <v>37</v>
      </c>
      <c r="C41" s="106" t="s">
        <v>38</v>
      </c>
      <c r="D41" s="211">
        <v>18033051.170000002</v>
      </c>
      <c r="E41" s="154">
        <f>E26+E27+E40</f>
        <v>13518535.159999998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7.2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126363.8998</v>
      </c>
      <c r="E47" s="75">
        <v>115705.8988</v>
      </c>
    </row>
    <row r="48" spans="2:6">
      <c r="B48" s="129" t="s">
        <v>6</v>
      </c>
      <c r="C48" s="23" t="s">
        <v>41</v>
      </c>
      <c r="D48" s="213">
        <v>129926.67669537295</v>
      </c>
      <c r="E48" s="75">
        <v>103384.66680000001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123.971254857177</v>
      </c>
      <c r="E50" s="75">
        <v>139.180092846614</v>
      </c>
    </row>
    <row r="51" spans="2:5">
      <c r="B51" s="108" t="s">
        <v>6</v>
      </c>
      <c r="C51" s="16" t="s">
        <v>195</v>
      </c>
      <c r="D51" s="280">
        <v>123.9713</v>
      </c>
      <c r="E51" s="282">
        <v>129.27160000000001</v>
      </c>
    </row>
    <row r="52" spans="2:5" ht="12.75" customHeight="1">
      <c r="B52" s="108" t="s">
        <v>8</v>
      </c>
      <c r="C52" s="16" t="s">
        <v>196</v>
      </c>
      <c r="D52" s="280">
        <v>139.7799</v>
      </c>
      <c r="E52" s="282">
        <v>145.91399999999999</v>
      </c>
    </row>
    <row r="53" spans="2:5" ht="13.5" thickBot="1">
      <c r="B53" s="109" t="s">
        <v>9</v>
      </c>
      <c r="C53" s="18" t="s">
        <v>41</v>
      </c>
      <c r="D53" s="216">
        <v>138.794061609691</v>
      </c>
      <c r="E53" s="281">
        <v>130.759575656772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13515924.67</v>
      </c>
      <c r="E58" s="33">
        <f>D58/E21</f>
        <v>0.9998068954979884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12986203.93-4086.25</f>
        <v>12982117.68</v>
      </c>
      <c r="E64" s="83">
        <f>D64/E21</f>
        <v>0.96031985169612133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533799.68+7.31</f>
        <v>533806.99000000011</v>
      </c>
      <c r="E69" s="81">
        <f>D69/E21</f>
        <v>3.9487043801867079E-2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25.61</v>
      </c>
      <c r="E71" s="68">
        <f>D71/E21</f>
        <v>1.894436024087687E-6</v>
      </c>
    </row>
    <row r="72" spans="2:5">
      <c r="B72" s="122" t="s">
        <v>60</v>
      </c>
      <c r="C72" s="123" t="s">
        <v>63</v>
      </c>
      <c r="D72" s="124">
        <f>E14</f>
        <v>8624.59</v>
      </c>
      <c r="E72" s="125">
        <f>D72/E21</f>
        <v>6.3798258449771275E-4</v>
      </c>
    </row>
    <row r="73" spans="2:5">
      <c r="B73" s="24" t="s">
        <v>62</v>
      </c>
      <c r="C73" s="25" t="s">
        <v>65</v>
      </c>
      <c r="D73" s="26">
        <f>E17</f>
        <v>6039.71</v>
      </c>
      <c r="E73" s="27">
        <f>D73/E21</f>
        <v>4.4677251851006031E-4</v>
      </c>
    </row>
    <row r="74" spans="2:5">
      <c r="B74" s="126" t="s">
        <v>64</v>
      </c>
      <c r="C74" s="127" t="s">
        <v>66</v>
      </c>
      <c r="D74" s="128">
        <f>D58+D71+D72-D73</f>
        <v>13518535.159999998</v>
      </c>
      <c r="E74" s="68">
        <f>E58+E72-E73</f>
        <v>0.99999810556397606</v>
      </c>
    </row>
    <row r="75" spans="2:5">
      <c r="B75" s="15" t="s">
        <v>4</v>
      </c>
      <c r="C75" s="16" t="s">
        <v>67</v>
      </c>
      <c r="D75" s="80">
        <f>D74</f>
        <v>13518535.159999998</v>
      </c>
      <c r="E75" s="81">
        <f>E74</f>
        <v>0.99999810556397606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7"/>
      <c r="C4" s="147"/>
      <c r="D4" s="147"/>
      <c r="E4" s="147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142</v>
      </c>
      <c r="C6" s="311"/>
      <c r="D6" s="311"/>
      <c r="E6" s="311"/>
    </row>
    <row r="7" spans="2:7" ht="14.25">
      <c r="B7" s="145"/>
      <c r="C7" s="145"/>
      <c r="D7" s="145"/>
      <c r="E7" s="145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6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691426.31</v>
      </c>
      <c r="E11" s="9">
        <f>E12</f>
        <v>786715.5</v>
      </c>
    </row>
    <row r="12" spans="2:7">
      <c r="B12" s="180" t="s">
        <v>4</v>
      </c>
      <c r="C12" s="181" t="s">
        <v>5</v>
      </c>
      <c r="D12" s="235">
        <v>691426.31</v>
      </c>
      <c r="E12" s="87">
        <v>786715.5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691426.31</v>
      </c>
      <c r="E21" s="154">
        <f>E11</f>
        <v>786715.5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504749.21</v>
      </c>
      <c r="E26" s="274">
        <f>D21</f>
        <v>691426.31</v>
      </c>
    </row>
    <row r="27" spans="2:6">
      <c r="B27" s="10" t="s">
        <v>17</v>
      </c>
      <c r="C27" s="11" t="s">
        <v>192</v>
      </c>
      <c r="D27" s="207">
        <v>-22327.760000000002</v>
      </c>
      <c r="E27" s="243">
        <f>E28-E32</f>
        <v>146201.35999999999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152552.95999999999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152552.95999999999</v>
      </c>
      <c r="F31" s="73"/>
    </row>
    <row r="32" spans="2:6">
      <c r="B32" s="97" t="s">
        <v>23</v>
      </c>
      <c r="C32" s="12" t="s">
        <v>24</v>
      </c>
      <c r="D32" s="207">
        <v>22327.760000000002</v>
      </c>
      <c r="E32" s="244">
        <f>SUM(E33:E39)</f>
        <v>6351.6</v>
      </c>
      <c r="F32" s="73"/>
    </row>
    <row r="33" spans="2:6">
      <c r="B33" s="188" t="s">
        <v>4</v>
      </c>
      <c r="C33" s="181" t="s">
        <v>25</v>
      </c>
      <c r="D33" s="208">
        <v>18065.7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74.459999999999994</v>
      </c>
      <c r="E35" s="246">
        <v>50.96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4187.6000000000004</v>
      </c>
      <c r="E37" s="246">
        <v>6300.64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36614.879999999997</v>
      </c>
      <c r="E40" s="275">
        <v>-50912.17</v>
      </c>
    </row>
    <row r="41" spans="2:6" ht="13.5" thickBot="1">
      <c r="B41" s="105" t="s">
        <v>37</v>
      </c>
      <c r="C41" s="106" t="s">
        <v>38</v>
      </c>
      <c r="D41" s="211">
        <v>519036.33</v>
      </c>
      <c r="E41" s="154">
        <f>E26+E27+E40</f>
        <v>786715.5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1420.35</v>
      </c>
      <c r="E47" s="75">
        <v>1745.02</v>
      </c>
    </row>
    <row r="48" spans="2:6">
      <c r="B48" s="193" t="s">
        <v>6</v>
      </c>
      <c r="C48" s="194" t="s">
        <v>41</v>
      </c>
      <c r="D48" s="213">
        <v>1360.5</v>
      </c>
      <c r="E48" s="155">
        <v>2105.29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355.36959999999999</v>
      </c>
      <c r="E50" s="77">
        <v>396.22829999999999</v>
      </c>
    </row>
    <row r="51" spans="2:5">
      <c r="B51" s="191" t="s">
        <v>6</v>
      </c>
      <c r="C51" s="192" t="s">
        <v>195</v>
      </c>
      <c r="D51" s="215">
        <v>354.3304</v>
      </c>
      <c r="E51" s="77">
        <v>373.52409999999998</v>
      </c>
    </row>
    <row r="52" spans="2:5">
      <c r="B52" s="191" t="s">
        <v>8</v>
      </c>
      <c r="C52" s="192" t="s">
        <v>196</v>
      </c>
      <c r="D52" s="215">
        <v>384.86290000000002</v>
      </c>
      <c r="E52" s="77">
        <v>405.21600000000001</v>
      </c>
    </row>
    <row r="53" spans="2:5" ht="14.25" customHeight="1" thickBot="1">
      <c r="B53" s="195" t="s">
        <v>9</v>
      </c>
      <c r="C53" s="196" t="s">
        <v>41</v>
      </c>
      <c r="D53" s="216">
        <v>381.50409999999999</v>
      </c>
      <c r="E53" s="281">
        <v>373.68509999999998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786715.5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786715.5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786715.5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786715.5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7"/>
      <c r="C4" s="147"/>
      <c r="D4" s="147"/>
      <c r="E4" s="147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204</v>
      </c>
      <c r="C6" s="311"/>
      <c r="D6" s="311"/>
      <c r="E6" s="311"/>
    </row>
    <row r="7" spans="2:5" ht="14.25">
      <c r="B7" s="145"/>
      <c r="C7" s="145"/>
      <c r="D7" s="145"/>
      <c r="E7" s="145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6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0</v>
      </c>
      <c r="E11" s="9">
        <f>E12</f>
        <v>0</v>
      </c>
    </row>
    <row r="12" spans="2:5">
      <c r="B12" s="180" t="s">
        <v>4</v>
      </c>
      <c r="C12" s="181" t="s">
        <v>5</v>
      </c>
      <c r="D12" s="235">
        <v>0</v>
      </c>
      <c r="E12" s="87">
        <f>43.69-43.69</f>
        <v>0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0</v>
      </c>
      <c r="E21" s="154">
        <f>E11-E17</f>
        <v>0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19669.080000000002</v>
      </c>
      <c r="E26" s="274">
        <f>D21</f>
        <v>0</v>
      </c>
    </row>
    <row r="27" spans="2:6">
      <c r="B27" s="10" t="s">
        <v>17</v>
      </c>
      <c r="C27" s="11" t="s">
        <v>192</v>
      </c>
      <c r="D27" s="207">
        <v>-14321.099999999999</v>
      </c>
      <c r="E27" s="243">
        <f>E28-E32</f>
        <v>-0.52</v>
      </c>
      <c r="F27" s="73"/>
    </row>
    <row r="28" spans="2:6">
      <c r="B28" s="10" t="s">
        <v>18</v>
      </c>
      <c r="C28" s="11" t="s">
        <v>19</v>
      </c>
      <c r="D28" s="207">
        <v>6574.27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6574.27</v>
      </c>
      <c r="E31" s="246"/>
      <c r="F31" s="73"/>
    </row>
    <row r="32" spans="2:6">
      <c r="B32" s="97" t="s">
        <v>23</v>
      </c>
      <c r="C32" s="12" t="s">
        <v>24</v>
      </c>
      <c r="D32" s="207">
        <v>20895.37</v>
      </c>
      <c r="E32" s="244">
        <f>SUM(E33:E39)</f>
        <v>0.52</v>
      </c>
      <c r="F32" s="73"/>
    </row>
    <row r="33" spans="2:6">
      <c r="B33" s="188" t="s">
        <v>4</v>
      </c>
      <c r="C33" s="181" t="s">
        <v>25</v>
      </c>
      <c r="D33" s="208">
        <v>1149.45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4.59</v>
      </c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49.96</v>
      </c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19691.37</v>
      </c>
      <c r="E39" s="248">
        <v>0.52</v>
      </c>
      <c r="F39" s="73"/>
    </row>
    <row r="40" spans="2:6" ht="13.5" thickBot="1">
      <c r="B40" s="103" t="s">
        <v>35</v>
      </c>
      <c r="C40" s="104" t="s">
        <v>36</v>
      </c>
      <c r="D40" s="210">
        <v>133.57</v>
      </c>
      <c r="E40" s="275">
        <v>0.52</v>
      </c>
    </row>
    <row r="41" spans="2:6" ht="13.5" thickBot="1">
      <c r="B41" s="105" t="s">
        <v>37</v>
      </c>
      <c r="C41" s="106" t="s">
        <v>38</v>
      </c>
      <c r="D41" s="211">
        <v>5481.5500000000029</v>
      </c>
      <c r="E41" s="154">
        <f>E26+E27+E40</f>
        <v>0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58.533700000000003</v>
      </c>
      <c r="E47" s="75"/>
    </row>
    <row r="48" spans="2:6">
      <c r="B48" s="193" t="s">
        <v>6</v>
      </c>
      <c r="C48" s="194" t="s">
        <v>41</v>
      </c>
      <c r="D48" s="213">
        <v>16.080113819707247</v>
      </c>
      <c r="E48" s="155"/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336.03</v>
      </c>
      <c r="E50" s="77"/>
    </row>
    <row r="51" spans="2:5">
      <c r="B51" s="191" t="s">
        <v>6</v>
      </c>
      <c r="C51" s="192" t="s">
        <v>195</v>
      </c>
      <c r="D51" s="215">
        <v>335.77</v>
      </c>
      <c r="E51" s="282"/>
    </row>
    <row r="52" spans="2:5">
      <c r="B52" s="191" t="s">
        <v>8</v>
      </c>
      <c r="C52" s="192" t="s">
        <v>196</v>
      </c>
      <c r="D52" s="215">
        <v>340.89</v>
      </c>
      <c r="E52" s="282"/>
    </row>
    <row r="53" spans="2:5" ht="12.75" customHeight="1" thickBot="1">
      <c r="B53" s="195" t="s">
        <v>9</v>
      </c>
      <c r="C53" s="196" t="s">
        <v>41</v>
      </c>
      <c r="D53" s="216">
        <v>340.89</v>
      </c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0</v>
      </c>
      <c r="E64" s="83"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D58-D73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0"/>
      <c r="C4" s="150"/>
      <c r="D4" s="150"/>
      <c r="E4" s="15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129</v>
      </c>
      <c r="C6" s="311"/>
      <c r="D6" s="311"/>
      <c r="E6" s="311"/>
    </row>
    <row r="7" spans="2:7" ht="14.25">
      <c r="B7" s="148"/>
      <c r="C7" s="148"/>
      <c r="D7" s="148"/>
      <c r="E7" s="148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9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18631.87</v>
      </c>
      <c r="E11" s="9">
        <f>E12</f>
        <v>18201.8</v>
      </c>
    </row>
    <row r="12" spans="2:7">
      <c r="B12" s="180" t="s">
        <v>4</v>
      </c>
      <c r="C12" s="181" t="s">
        <v>5</v>
      </c>
      <c r="D12" s="235">
        <v>18631.87</v>
      </c>
      <c r="E12" s="87">
        <v>18201.8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18631.87</v>
      </c>
      <c r="E21" s="154">
        <f>E11</f>
        <v>18201.8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26997.35</v>
      </c>
      <c r="E26" s="274">
        <f>D21</f>
        <v>18631.87</v>
      </c>
    </row>
    <row r="27" spans="2:6">
      <c r="B27" s="10" t="s">
        <v>17</v>
      </c>
      <c r="C27" s="11" t="s">
        <v>192</v>
      </c>
      <c r="D27" s="207">
        <v>-4342.08</v>
      </c>
      <c r="E27" s="243">
        <f>E28-E32</f>
        <v>-208.35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4342.08</v>
      </c>
      <c r="E32" s="244">
        <f>SUM(E33:E39)</f>
        <v>208.35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67.11</v>
      </c>
      <c r="E35" s="246">
        <v>33.76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238.87</v>
      </c>
      <c r="E37" s="246">
        <v>174.59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4036.1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530.54999999999995</v>
      </c>
      <c r="E40" s="275">
        <v>-221.72</v>
      </c>
    </row>
    <row r="41" spans="2:6" ht="13.5" thickBot="1">
      <c r="B41" s="105" t="s">
        <v>37</v>
      </c>
      <c r="C41" s="106" t="s">
        <v>38</v>
      </c>
      <c r="D41" s="211">
        <v>23185.819999999996</v>
      </c>
      <c r="E41" s="154">
        <f>E26+E27+E40</f>
        <v>18201.8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202.47</v>
      </c>
      <c r="E47" s="75">
        <v>134.68170000000001</v>
      </c>
    </row>
    <row r="48" spans="2:6">
      <c r="B48" s="193" t="s">
        <v>6</v>
      </c>
      <c r="C48" s="194" t="s">
        <v>41</v>
      </c>
      <c r="D48" s="213">
        <v>170.0214</v>
      </c>
      <c r="E48" s="155">
        <v>133.17089999999999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133.34</v>
      </c>
      <c r="E50" s="77">
        <v>138.34</v>
      </c>
    </row>
    <row r="51" spans="2:5">
      <c r="B51" s="191" t="s">
        <v>6</v>
      </c>
      <c r="C51" s="192" t="s">
        <v>195</v>
      </c>
      <c r="D51" s="215">
        <v>133.34</v>
      </c>
      <c r="E51" s="77">
        <v>136.58000000000001</v>
      </c>
    </row>
    <row r="52" spans="2:5">
      <c r="B52" s="191" t="s">
        <v>8</v>
      </c>
      <c r="C52" s="192" t="s">
        <v>196</v>
      </c>
      <c r="D52" s="215">
        <v>136.66</v>
      </c>
      <c r="E52" s="77">
        <v>139.07</v>
      </c>
    </row>
    <row r="53" spans="2:5" ht="12.75" customHeight="1" thickBot="1">
      <c r="B53" s="195" t="s">
        <v>9</v>
      </c>
      <c r="C53" s="196" t="s">
        <v>41</v>
      </c>
      <c r="D53" s="216">
        <v>136.37</v>
      </c>
      <c r="E53" s="281">
        <v>136.68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18201.8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18201.8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18201.8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18201.8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0"/>
      <c r="C4" s="150"/>
      <c r="D4" s="150"/>
      <c r="E4" s="15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167</v>
      </c>
      <c r="C6" s="311"/>
      <c r="D6" s="311"/>
      <c r="E6" s="311"/>
    </row>
    <row r="7" spans="2:7" ht="14.25">
      <c r="B7" s="148"/>
      <c r="C7" s="148"/>
      <c r="D7" s="148"/>
      <c r="E7" s="148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9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96476.89</v>
      </c>
      <c r="E11" s="9">
        <f>E12</f>
        <v>35698.42</v>
      </c>
    </row>
    <row r="12" spans="2:7">
      <c r="B12" s="180" t="s">
        <v>4</v>
      </c>
      <c r="C12" s="181" t="s">
        <v>5</v>
      </c>
      <c r="D12" s="235">
        <v>96476.89</v>
      </c>
      <c r="E12" s="87">
        <f>96846.34-61147.92</f>
        <v>35698.42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96476.89</v>
      </c>
      <c r="E21" s="154">
        <f>E11</f>
        <v>35698.42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95507.51</v>
      </c>
      <c r="E26" s="274">
        <f>D21</f>
        <v>96476.89</v>
      </c>
    </row>
    <row r="27" spans="2:6">
      <c r="B27" s="10" t="s">
        <v>17</v>
      </c>
      <c r="C27" s="11" t="s">
        <v>192</v>
      </c>
      <c r="D27" s="207">
        <v>-5705.68</v>
      </c>
      <c r="E27" s="243">
        <f>E28-E32</f>
        <v>-62076.84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5705.68</v>
      </c>
      <c r="E32" s="244">
        <f>SUM(E33:E39)</f>
        <v>62076.84</v>
      </c>
      <c r="F32" s="73"/>
    </row>
    <row r="33" spans="2:6">
      <c r="B33" s="188" t="s">
        <v>4</v>
      </c>
      <c r="C33" s="181" t="s">
        <v>25</v>
      </c>
      <c r="D33" s="208">
        <v>4711.3</v>
      </c>
      <c r="E33" s="246">
        <v>61147.92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20.2</v>
      </c>
      <c r="E35" s="246">
        <v>15.09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974.18</v>
      </c>
      <c r="E37" s="246">
        <v>913.83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17930.759999999998</v>
      </c>
      <c r="E40" s="275">
        <v>1298.3699999999999</v>
      </c>
    </row>
    <row r="41" spans="2:6" ht="13.5" thickBot="1">
      <c r="B41" s="105" t="s">
        <v>37</v>
      </c>
      <c r="C41" s="106" t="s">
        <v>38</v>
      </c>
      <c r="D41" s="211">
        <v>107732.58999999998</v>
      </c>
      <c r="E41" s="154">
        <f>E26+E27+E40</f>
        <v>35698.420000000006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1184.9567</v>
      </c>
      <c r="E47" s="75">
        <v>987.98659999999995</v>
      </c>
    </row>
    <row r="48" spans="2:6">
      <c r="B48" s="193" t="s">
        <v>6</v>
      </c>
      <c r="C48" s="194" t="s">
        <v>41</v>
      </c>
      <c r="D48" s="213">
        <v>1124.5572999999999</v>
      </c>
      <c r="E48" s="155">
        <v>360.69940000000003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80.599999999999994</v>
      </c>
      <c r="E50" s="77">
        <v>97.65</v>
      </c>
    </row>
    <row r="51" spans="2:5">
      <c r="B51" s="191" t="s">
        <v>6</v>
      </c>
      <c r="C51" s="192" t="s">
        <v>195</v>
      </c>
      <c r="D51" s="215">
        <v>80.52</v>
      </c>
      <c r="E51" s="77">
        <v>94.39</v>
      </c>
    </row>
    <row r="52" spans="2:5">
      <c r="B52" s="191" t="s">
        <v>8</v>
      </c>
      <c r="C52" s="192" t="s">
        <v>196</v>
      </c>
      <c r="D52" s="215">
        <v>95.9</v>
      </c>
      <c r="E52" s="77">
        <v>105.09</v>
      </c>
    </row>
    <row r="53" spans="2:5" ht="13.5" customHeight="1" thickBot="1">
      <c r="B53" s="195" t="s">
        <v>9</v>
      </c>
      <c r="C53" s="196" t="s">
        <v>41</v>
      </c>
      <c r="D53" s="216">
        <v>95.8</v>
      </c>
      <c r="E53" s="281">
        <v>98.97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35698.42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35698.42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35698.42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35698.42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273</v>
      </c>
      <c r="C6" s="311"/>
      <c r="D6" s="311"/>
      <c r="E6" s="311"/>
    </row>
    <row r="7" spans="2:7" ht="14.25">
      <c r="B7" s="228"/>
      <c r="C7" s="228"/>
      <c r="D7" s="228"/>
      <c r="E7" s="228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229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0</v>
      </c>
      <c r="E11" s="9">
        <f>E12</f>
        <v>18354.740000000002</v>
      </c>
    </row>
    <row r="12" spans="2:7">
      <c r="B12" s="180" t="s">
        <v>4</v>
      </c>
      <c r="C12" s="181" t="s">
        <v>5</v>
      </c>
      <c r="D12" s="235">
        <v>0</v>
      </c>
      <c r="E12" s="87">
        <v>18354.740000000002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0</v>
      </c>
      <c r="E21" s="154">
        <f>E11</f>
        <v>18354.740000000002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9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0</v>
      </c>
      <c r="E26" s="274">
        <f>D21</f>
        <v>0</v>
      </c>
    </row>
    <row r="27" spans="2:6">
      <c r="B27" s="10" t="s">
        <v>17</v>
      </c>
      <c r="C27" s="11" t="s">
        <v>192</v>
      </c>
      <c r="D27" s="207">
        <v>0</v>
      </c>
      <c r="E27" s="243">
        <f>E28-E32</f>
        <v>18708.11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18806.95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18806.95</v>
      </c>
      <c r="F31" s="73"/>
    </row>
    <row r="32" spans="2:6">
      <c r="B32" s="97" t="s">
        <v>23</v>
      </c>
      <c r="C32" s="12" t="s">
        <v>24</v>
      </c>
      <c r="D32" s="207">
        <v>0</v>
      </c>
      <c r="E32" s="244">
        <f>SUM(E33:E39)</f>
        <v>98.84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>
        <v>26.6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>
        <v>72.239999999999995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0</v>
      </c>
      <c r="E40" s="275">
        <v>-353.37</v>
      </c>
    </row>
    <row r="41" spans="2:6" ht="13.5" thickBot="1">
      <c r="B41" s="105" t="s">
        <v>37</v>
      </c>
      <c r="C41" s="106" t="s">
        <v>38</v>
      </c>
      <c r="D41" s="211">
        <v>0</v>
      </c>
      <c r="E41" s="154">
        <f>E26+E27+E40</f>
        <v>18354.740000000002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9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/>
      <c r="E47" s="75"/>
    </row>
    <row r="48" spans="2:6">
      <c r="B48" s="193" t="s">
        <v>6</v>
      </c>
      <c r="C48" s="194" t="s">
        <v>41</v>
      </c>
      <c r="D48" s="213"/>
      <c r="E48" s="155">
        <v>87.721000000000004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/>
      <c r="E50" s="77"/>
    </row>
    <row r="51" spans="2:5">
      <c r="B51" s="191" t="s">
        <v>6</v>
      </c>
      <c r="C51" s="192" t="s">
        <v>195</v>
      </c>
      <c r="D51" s="215"/>
      <c r="E51" s="77">
        <v>194.69</v>
      </c>
    </row>
    <row r="52" spans="2:5">
      <c r="B52" s="191" t="s">
        <v>8</v>
      </c>
      <c r="C52" s="192" t="s">
        <v>196</v>
      </c>
      <c r="D52" s="215"/>
      <c r="E52" s="77">
        <v>223.2</v>
      </c>
    </row>
    <row r="53" spans="2:5" ht="13.5" customHeight="1" thickBot="1">
      <c r="B53" s="195" t="s">
        <v>9</v>
      </c>
      <c r="C53" s="196" t="s">
        <v>41</v>
      </c>
      <c r="D53" s="216"/>
      <c r="E53" s="281">
        <v>209.24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18354.740000000002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18354.740000000002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18354.740000000002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18354.740000000002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0"/>
      <c r="C4" s="150"/>
      <c r="D4" s="150"/>
      <c r="E4" s="15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130</v>
      </c>
      <c r="C6" s="311"/>
      <c r="D6" s="311"/>
      <c r="E6" s="311"/>
    </row>
    <row r="7" spans="2:7" ht="14.25">
      <c r="B7" s="148"/>
      <c r="C7" s="148"/>
      <c r="D7" s="148"/>
      <c r="E7" s="148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9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68499.899999999994</v>
      </c>
      <c r="E11" s="9">
        <f>E12</f>
        <v>237927.79</v>
      </c>
    </row>
    <row r="12" spans="2:7">
      <c r="B12" s="180" t="s">
        <v>4</v>
      </c>
      <c r="C12" s="181" t="s">
        <v>5</v>
      </c>
      <c r="D12" s="235">
        <v>68499.899999999994</v>
      </c>
      <c r="E12" s="87">
        <v>237927.79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68499.899999999994</v>
      </c>
      <c r="E21" s="154">
        <f>E11</f>
        <v>237927.79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12801.73</v>
      </c>
      <c r="E26" s="274">
        <f>D21</f>
        <v>68499.899999999994</v>
      </c>
    </row>
    <row r="27" spans="2:6">
      <c r="B27" s="10" t="s">
        <v>17</v>
      </c>
      <c r="C27" s="11" t="s">
        <v>192</v>
      </c>
      <c r="D27" s="207">
        <v>92800.25</v>
      </c>
      <c r="E27" s="243">
        <f>E28-E32</f>
        <v>157552.16</v>
      </c>
      <c r="F27" s="73"/>
    </row>
    <row r="28" spans="2:6">
      <c r="B28" s="10" t="s">
        <v>18</v>
      </c>
      <c r="C28" s="11" t="s">
        <v>19</v>
      </c>
      <c r="D28" s="207">
        <v>93574.56</v>
      </c>
      <c r="E28" s="244">
        <f>SUM(E29:E31)</f>
        <v>212985.31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93574.56</v>
      </c>
      <c r="E31" s="246">
        <v>212985.31</v>
      </c>
      <c r="F31" s="73"/>
    </row>
    <row r="32" spans="2:6">
      <c r="B32" s="97" t="s">
        <v>23</v>
      </c>
      <c r="C32" s="12" t="s">
        <v>24</v>
      </c>
      <c r="D32" s="207">
        <v>774.31000000000006</v>
      </c>
      <c r="E32" s="244">
        <f>SUM(E33:E39)</f>
        <v>55433.15</v>
      </c>
      <c r="F32" s="73"/>
    </row>
    <row r="33" spans="2:6">
      <c r="B33" s="188" t="s">
        <v>4</v>
      </c>
      <c r="C33" s="181" t="s">
        <v>25</v>
      </c>
      <c r="D33" s="208"/>
      <c r="E33" s="246">
        <v>5755.91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92.33</v>
      </c>
      <c r="E35" s="246">
        <v>86.06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681.98</v>
      </c>
      <c r="E37" s="246">
        <v>1020.85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48570.33</v>
      </c>
      <c r="F39" s="73"/>
    </row>
    <row r="40" spans="2:6" ht="13.5" thickBot="1">
      <c r="B40" s="103" t="s">
        <v>35</v>
      </c>
      <c r="C40" s="104" t="s">
        <v>36</v>
      </c>
      <c r="D40" s="210">
        <v>9410.9599999999991</v>
      </c>
      <c r="E40" s="275">
        <v>11875.73</v>
      </c>
    </row>
    <row r="41" spans="2:6" ht="13.5" thickBot="1">
      <c r="B41" s="105" t="s">
        <v>37</v>
      </c>
      <c r="C41" s="106" t="s">
        <v>38</v>
      </c>
      <c r="D41" s="211">
        <v>115012.94</v>
      </c>
      <c r="E41" s="154">
        <f>E26+E27+E40</f>
        <v>237927.79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173.74770000000001</v>
      </c>
      <c r="E47" s="75">
        <v>672.3587</v>
      </c>
    </row>
    <row r="48" spans="2:6">
      <c r="B48" s="193" t="s">
        <v>6</v>
      </c>
      <c r="C48" s="194" t="s">
        <v>41</v>
      </c>
      <c r="D48" s="213">
        <v>1267.2206000000001</v>
      </c>
      <c r="E48" s="155">
        <v>1996.0385000000001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73.680000000000007</v>
      </c>
      <c r="E50" s="77">
        <v>101.88</v>
      </c>
    </row>
    <row r="51" spans="2:5">
      <c r="B51" s="191" t="s">
        <v>6</v>
      </c>
      <c r="C51" s="192" t="s">
        <v>195</v>
      </c>
      <c r="D51" s="215">
        <v>73.680000000000007</v>
      </c>
      <c r="E51" s="77">
        <v>101.88</v>
      </c>
    </row>
    <row r="52" spans="2:5">
      <c r="B52" s="191" t="s">
        <v>8</v>
      </c>
      <c r="C52" s="192" t="s">
        <v>196</v>
      </c>
      <c r="D52" s="215">
        <v>95.54</v>
      </c>
      <c r="E52" s="77">
        <v>126.83</v>
      </c>
    </row>
    <row r="53" spans="2:5" ht="12.75" customHeight="1" thickBot="1">
      <c r="B53" s="195" t="s">
        <v>9</v>
      </c>
      <c r="C53" s="196" t="s">
        <v>41</v>
      </c>
      <c r="D53" s="216">
        <v>90.76</v>
      </c>
      <c r="E53" s="281">
        <v>119.2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237927.79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237927.79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237927.79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237927.79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3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0"/>
      <c r="C4" s="150"/>
      <c r="D4" s="150"/>
      <c r="E4" s="15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267</v>
      </c>
      <c r="C6" s="311"/>
      <c r="D6" s="311"/>
      <c r="E6" s="311"/>
    </row>
    <row r="7" spans="2:5" ht="14.25">
      <c r="B7" s="148"/>
      <c r="C7" s="148"/>
      <c r="D7" s="148"/>
      <c r="E7" s="148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9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 t="s">
        <v>212</v>
      </c>
      <c r="E11" s="9" t="str">
        <f>E12</f>
        <v>-</v>
      </c>
    </row>
    <row r="12" spans="2:5">
      <c r="B12" s="180" t="s">
        <v>4</v>
      </c>
      <c r="C12" s="181" t="s">
        <v>5</v>
      </c>
      <c r="D12" s="235" t="s">
        <v>212</v>
      </c>
      <c r="E12" s="87" t="s">
        <v>212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 t="s">
        <v>212</v>
      </c>
      <c r="E21" s="154" t="str">
        <f>E11</f>
        <v>-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46926.26</v>
      </c>
      <c r="E26" s="274" t="str">
        <f>D21</f>
        <v>-</v>
      </c>
    </row>
    <row r="27" spans="2:6">
      <c r="B27" s="10" t="s">
        <v>17</v>
      </c>
      <c r="C27" s="11" t="s">
        <v>192</v>
      </c>
      <c r="D27" s="207">
        <v>-452.47</v>
      </c>
      <c r="E27" s="243">
        <f>E28-E32</f>
        <v>0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452.47</v>
      </c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>
        <v>0.81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4.05</v>
      </c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447.61</v>
      </c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486.28</v>
      </c>
      <c r="E40" s="275">
        <v>0</v>
      </c>
    </row>
    <row r="41" spans="2:6" ht="13.5" thickBot="1">
      <c r="B41" s="105" t="s">
        <v>37</v>
      </c>
      <c r="C41" s="106" t="s">
        <v>38</v>
      </c>
      <c r="D41" s="211">
        <v>46960.07</v>
      </c>
      <c r="E41" s="154" t="s">
        <v>212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/>
      <c r="E47" s="75"/>
    </row>
    <row r="48" spans="2:6">
      <c r="B48" s="193" t="s">
        <v>6</v>
      </c>
      <c r="C48" s="194" t="s">
        <v>41</v>
      </c>
      <c r="D48" s="213"/>
      <c r="E48" s="155"/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/>
      <c r="E50" s="77"/>
    </row>
    <row r="51" spans="2:5">
      <c r="B51" s="191" t="s">
        <v>6</v>
      </c>
      <c r="C51" s="192" t="s">
        <v>195</v>
      </c>
      <c r="D51" s="215"/>
      <c r="E51" s="77"/>
    </row>
    <row r="52" spans="2:5">
      <c r="B52" s="191" t="s">
        <v>8</v>
      </c>
      <c r="C52" s="192" t="s">
        <v>196</v>
      </c>
      <c r="D52" s="215"/>
      <c r="E52" s="77"/>
    </row>
    <row r="53" spans="2:5" ht="12.75" customHeight="1" thickBot="1">
      <c r="B53" s="195" t="s">
        <v>9</v>
      </c>
      <c r="C53" s="196" t="s">
        <v>41</v>
      </c>
      <c r="D53" s="216"/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v>0</v>
      </c>
      <c r="E64" s="83">
        <f>E58</f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14.25">
      <c r="B5" s="310" t="s">
        <v>1</v>
      </c>
      <c r="C5" s="310"/>
      <c r="D5" s="310"/>
      <c r="E5" s="310"/>
    </row>
    <row r="6" spans="2:5" ht="14.25">
      <c r="B6" s="311" t="s">
        <v>268</v>
      </c>
      <c r="C6" s="311"/>
      <c r="D6" s="311"/>
      <c r="E6" s="311"/>
    </row>
    <row r="7" spans="2:5" ht="14.25">
      <c r="B7" s="171"/>
      <c r="C7" s="171"/>
      <c r="D7" s="171"/>
      <c r="E7" s="17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7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110929.34</v>
      </c>
      <c r="E11" s="9">
        <f>E12</f>
        <v>37191.53</v>
      </c>
    </row>
    <row r="12" spans="2:5">
      <c r="B12" s="180" t="s">
        <v>4</v>
      </c>
      <c r="C12" s="181" t="s">
        <v>5</v>
      </c>
      <c r="D12" s="235">
        <v>110929.34</v>
      </c>
      <c r="E12" s="87">
        <f>93075.25-55883.72</f>
        <v>37191.53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110929.34</v>
      </c>
      <c r="E21" s="154">
        <f>E11</f>
        <v>37191.53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51724.98</v>
      </c>
      <c r="E26" s="274">
        <f>D21</f>
        <v>110929.34</v>
      </c>
    </row>
    <row r="27" spans="2:6">
      <c r="B27" s="10" t="s">
        <v>17</v>
      </c>
      <c r="C27" s="11" t="s">
        <v>192</v>
      </c>
      <c r="D27" s="207">
        <v>40780.53</v>
      </c>
      <c r="E27" s="243">
        <f>E28-E32</f>
        <v>-61601.579999999994</v>
      </c>
      <c r="F27" s="73"/>
    </row>
    <row r="28" spans="2:6">
      <c r="B28" s="10" t="s">
        <v>18</v>
      </c>
      <c r="C28" s="11" t="s">
        <v>19</v>
      </c>
      <c r="D28" s="207">
        <v>64495.25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64495.25</v>
      </c>
      <c r="E31" s="246"/>
      <c r="F31" s="73"/>
    </row>
    <row r="32" spans="2:6">
      <c r="B32" s="97" t="s">
        <v>23</v>
      </c>
      <c r="C32" s="12" t="s">
        <v>24</v>
      </c>
      <c r="D32" s="207">
        <v>23714.720000000001</v>
      </c>
      <c r="E32" s="244">
        <f>SUM(E33:E39)</f>
        <v>61601.579999999994</v>
      </c>
      <c r="F32" s="73"/>
    </row>
    <row r="33" spans="2:6">
      <c r="B33" s="188" t="s">
        <v>4</v>
      </c>
      <c r="C33" s="181" t="s">
        <v>25</v>
      </c>
      <c r="D33" s="208"/>
      <c r="E33" s="246">
        <f>4707.63+55883.72</f>
        <v>60591.35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27.3</v>
      </c>
      <c r="E35" s="246">
        <v>32.71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790.34</v>
      </c>
      <c r="E37" s="246">
        <v>977.52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22897.08</v>
      </c>
      <c r="E39" s="248"/>
      <c r="F39" s="73"/>
    </row>
    <row r="40" spans="2:6" ht="15.75" customHeight="1" thickBot="1">
      <c r="B40" s="103" t="s">
        <v>35</v>
      </c>
      <c r="C40" s="104" t="s">
        <v>36</v>
      </c>
      <c r="D40" s="210">
        <v>13292.13</v>
      </c>
      <c r="E40" s="275">
        <v>-12136.23</v>
      </c>
    </row>
    <row r="41" spans="2:6" ht="13.5" thickBot="1">
      <c r="B41" s="105" t="s">
        <v>37</v>
      </c>
      <c r="C41" s="106" t="s">
        <v>38</v>
      </c>
      <c r="D41" s="211">
        <v>105797.64000000001</v>
      </c>
      <c r="E41" s="154">
        <f>E26+E27+E40</f>
        <v>37191.53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184.48830000000001</v>
      </c>
      <c r="E47" s="75">
        <v>315.49869999999999</v>
      </c>
    </row>
    <row r="48" spans="2:6">
      <c r="B48" s="193" t="s">
        <v>6</v>
      </c>
      <c r="C48" s="194" t="s">
        <v>41</v>
      </c>
      <c r="D48" s="213">
        <v>318.62920000000003</v>
      </c>
      <c r="E48" s="155">
        <v>298.68189999999998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280.37</v>
      </c>
      <c r="E50" s="77">
        <v>351.6</v>
      </c>
    </row>
    <row r="51" spans="2:5">
      <c r="B51" s="191" t="s">
        <v>6</v>
      </c>
      <c r="C51" s="192" t="s">
        <v>195</v>
      </c>
      <c r="D51" s="215">
        <v>280.37</v>
      </c>
      <c r="E51" s="77">
        <v>306.33999999999997</v>
      </c>
    </row>
    <row r="52" spans="2:5">
      <c r="B52" s="191" t="s">
        <v>8</v>
      </c>
      <c r="C52" s="192" t="s">
        <v>196</v>
      </c>
      <c r="D52" s="215">
        <v>336.61</v>
      </c>
      <c r="E52" s="77">
        <v>369.84</v>
      </c>
    </row>
    <row r="53" spans="2:5" ht="13.5" thickBot="1">
      <c r="B53" s="195" t="s">
        <v>9</v>
      </c>
      <c r="C53" s="196" t="s">
        <v>41</v>
      </c>
      <c r="D53" s="216">
        <v>332.04</v>
      </c>
      <c r="E53" s="281">
        <v>311.62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37191.53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37191.53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37191.53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37191.53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14.25">
      <c r="B5" s="310" t="s">
        <v>1</v>
      </c>
      <c r="C5" s="310"/>
      <c r="D5" s="310"/>
      <c r="E5" s="310"/>
    </row>
    <row r="6" spans="2:5" ht="14.25">
      <c r="B6" s="311" t="s">
        <v>217</v>
      </c>
      <c r="C6" s="311"/>
      <c r="D6" s="311"/>
      <c r="E6" s="311"/>
    </row>
    <row r="7" spans="2:5" ht="14.25">
      <c r="B7" s="171"/>
      <c r="C7" s="171"/>
      <c r="D7" s="171"/>
      <c r="E7" s="17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7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 t="s">
        <v>212</v>
      </c>
      <c r="E11" s="9">
        <f>E12</f>
        <v>11540.29</v>
      </c>
    </row>
    <row r="12" spans="2:5">
      <c r="B12" s="180" t="s">
        <v>4</v>
      </c>
      <c r="C12" s="181" t="s">
        <v>5</v>
      </c>
      <c r="D12" s="235" t="s">
        <v>212</v>
      </c>
      <c r="E12" s="87">
        <v>11540.29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 t="s">
        <v>212</v>
      </c>
      <c r="E21" s="154">
        <f>E11</f>
        <v>11540.29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11009.59</v>
      </c>
      <c r="E26" s="274">
        <v>0</v>
      </c>
    </row>
    <row r="27" spans="2:6">
      <c r="B27" s="10" t="s">
        <v>17</v>
      </c>
      <c r="C27" s="11" t="s">
        <v>192</v>
      </c>
      <c r="D27" s="207">
        <v>-5823.46</v>
      </c>
      <c r="E27" s="243">
        <f>E28-E32</f>
        <v>11292.39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11292.39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11292.39</v>
      </c>
      <c r="F31" s="73"/>
    </row>
    <row r="32" spans="2:6">
      <c r="B32" s="97" t="s">
        <v>23</v>
      </c>
      <c r="C32" s="12" t="s">
        <v>24</v>
      </c>
      <c r="D32" s="207">
        <v>5823.46</v>
      </c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>
        <v>5778.45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45.01</v>
      </c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1897.86</v>
      </c>
      <c r="E40" s="275">
        <v>247.9</v>
      </c>
    </row>
    <row r="41" spans="2:6" ht="13.5" thickBot="1">
      <c r="B41" s="105" t="s">
        <v>37</v>
      </c>
      <c r="C41" s="106" t="s">
        <v>38</v>
      </c>
      <c r="D41" s="211">
        <v>7083.99</v>
      </c>
      <c r="E41" s="154">
        <f>E26+E27+E40</f>
        <v>11540.289999999999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86.005700000000004</v>
      </c>
      <c r="E47" s="75"/>
    </row>
    <row r="48" spans="2:6">
      <c r="B48" s="193" t="s">
        <v>6</v>
      </c>
      <c r="C48" s="194" t="s">
        <v>41</v>
      </c>
      <c r="D48" s="213">
        <v>46.3703</v>
      </c>
      <c r="E48" s="155">
        <v>59.878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128.01</v>
      </c>
      <c r="E50" s="77"/>
    </row>
    <row r="51" spans="2:5">
      <c r="B51" s="191" t="s">
        <v>6</v>
      </c>
      <c r="C51" s="192" t="s">
        <v>195</v>
      </c>
      <c r="D51" s="215">
        <v>128.01</v>
      </c>
      <c r="E51" s="77">
        <v>170.09</v>
      </c>
    </row>
    <row r="52" spans="2:5">
      <c r="B52" s="191" t="s">
        <v>8</v>
      </c>
      <c r="C52" s="192" t="s">
        <v>196</v>
      </c>
      <c r="D52" s="215">
        <v>159.16999999999999</v>
      </c>
      <c r="E52" s="77">
        <v>204.55</v>
      </c>
    </row>
    <row r="53" spans="2:5" ht="13.5" thickBot="1">
      <c r="B53" s="195" t="s">
        <v>9</v>
      </c>
      <c r="C53" s="196" t="s">
        <v>41</v>
      </c>
      <c r="D53" s="216">
        <v>152.77000000000001</v>
      </c>
      <c r="E53" s="281">
        <v>192.73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11540.29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11540.29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11540.29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11540.29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6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0"/>
      <c r="C4" s="150"/>
      <c r="D4" s="150"/>
      <c r="E4" s="15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151</v>
      </c>
      <c r="C6" s="311"/>
      <c r="D6" s="311"/>
      <c r="E6" s="311"/>
    </row>
    <row r="7" spans="2:5" ht="14.25">
      <c r="B7" s="148"/>
      <c r="C7" s="148"/>
      <c r="D7" s="148"/>
      <c r="E7" s="148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9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10044.700000000001</v>
      </c>
      <c r="E11" s="9">
        <f>E12</f>
        <v>0</v>
      </c>
    </row>
    <row r="12" spans="2:5">
      <c r="B12" s="180" t="s">
        <v>4</v>
      </c>
      <c r="C12" s="181" t="s">
        <v>5</v>
      </c>
      <c r="D12" s="235">
        <v>10044.700000000001</v>
      </c>
      <c r="E12" s="87">
        <v>0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10044.700000000001</v>
      </c>
      <c r="E21" s="154">
        <f>E11</f>
        <v>0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28221.35</v>
      </c>
      <c r="E26" s="274">
        <f>D21</f>
        <v>10044.700000000001</v>
      </c>
    </row>
    <row r="27" spans="2:6">
      <c r="B27" s="10" t="s">
        <v>17</v>
      </c>
      <c r="C27" s="11" t="s">
        <v>192</v>
      </c>
      <c r="D27" s="207">
        <v>15488.539999999999</v>
      </c>
      <c r="E27" s="243">
        <f>E28-E32</f>
        <v>-9788.75</v>
      </c>
      <c r="F27" s="73"/>
    </row>
    <row r="28" spans="2:6">
      <c r="B28" s="10" t="s">
        <v>18</v>
      </c>
      <c r="C28" s="11" t="s">
        <v>19</v>
      </c>
      <c r="D28" s="207">
        <v>27865.26</v>
      </c>
      <c r="E28" s="244">
        <f>SUM(E29:E31)</f>
        <v>8692.43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27865.26</v>
      </c>
      <c r="E31" s="246">
        <v>8692.43</v>
      </c>
      <c r="F31" s="73"/>
    </row>
    <row r="32" spans="2:6">
      <c r="B32" s="97" t="s">
        <v>23</v>
      </c>
      <c r="C32" s="12" t="s">
        <v>24</v>
      </c>
      <c r="D32" s="207">
        <v>12376.72</v>
      </c>
      <c r="E32" s="244">
        <f>SUM(E33:E39)</f>
        <v>18481.18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111.85</v>
      </c>
      <c r="E35" s="246">
        <v>5.8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432.88</v>
      </c>
      <c r="E37" s="246">
        <v>60.89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11831.99</v>
      </c>
      <c r="E39" s="248">
        <v>18414.490000000002</v>
      </c>
      <c r="F39" s="73"/>
    </row>
    <row r="40" spans="2:6" ht="13.5" thickBot="1">
      <c r="B40" s="103" t="s">
        <v>35</v>
      </c>
      <c r="C40" s="104" t="s">
        <v>36</v>
      </c>
      <c r="D40" s="210">
        <v>6357.12</v>
      </c>
      <c r="E40" s="275">
        <v>-255.95</v>
      </c>
    </row>
    <row r="41" spans="2:6" ht="13.5" thickBot="1">
      <c r="B41" s="105" t="s">
        <v>37</v>
      </c>
      <c r="C41" s="106" t="s">
        <v>38</v>
      </c>
      <c r="D41" s="211">
        <v>50067.01</v>
      </c>
      <c r="E41" s="154">
        <f>E26+E27+E40</f>
        <v>7.3896444519050419E-13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2290.694</v>
      </c>
      <c r="E47" s="75">
        <v>637.75900000000001</v>
      </c>
    </row>
    <row r="48" spans="2:6">
      <c r="B48" s="193" t="s">
        <v>6</v>
      </c>
      <c r="C48" s="194" t="s">
        <v>41</v>
      </c>
      <c r="D48" s="213">
        <v>3530.819</v>
      </c>
      <c r="E48" s="155"/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12.32</v>
      </c>
      <c r="E50" s="77">
        <v>15.75</v>
      </c>
    </row>
    <row r="51" spans="2:5">
      <c r="B51" s="191" t="s">
        <v>6</v>
      </c>
      <c r="C51" s="192" t="s">
        <v>195</v>
      </c>
      <c r="D51" s="215">
        <v>12.32</v>
      </c>
      <c r="E51" s="77">
        <v>15.01</v>
      </c>
    </row>
    <row r="52" spans="2:5">
      <c r="B52" s="191" t="s">
        <v>8</v>
      </c>
      <c r="C52" s="192" t="s">
        <v>196</v>
      </c>
      <c r="D52" s="215">
        <v>14.35</v>
      </c>
      <c r="E52" s="77">
        <v>17.3</v>
      </c>
    </row>
    <row r="53" spans="2:5" ht="13.5" customHeight="1" thickBot="1">
      <c r="B53" s="195" t="s">
        <v>9</v>
      </c>
      <c r="C53" s="196" t="s">
        <v>41</v>
      </c>
      <c r="D53" s="216">
        <v>14.18</v>
      </c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0</v>
      </c>
      <c r="E64" s="83">
        <f>E58</f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0</v>
      </c>
      <c r="E76" s="81">
        <f>E74</f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92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27801180.699999999</v>
      </c>
      <c r="E11" s="9">
        <f>E12+E13+E14</f>
        <v>23092411.550000001</v>
      </c>
    </row>
    <row r="12" spans="2:7">
      <c r="B12" s="112" t="s">
        <v>4</v>
      </c>
      <c r="C12" s="6" t="s">
        <v>5</v>
      </c>
      <c r="D12" s="235">
        <v>27789577.609999999</v>
      </c>
      <c r="E12" s="87">
        <f>21835439.75+1262009.23+17.29-15741.14</f>
        <v>23081725.129999999</v>
      </c>
    </row>
    <row r="13" spans="2:7">
      <c r="B13" s="112" t="s">
        <v>6</v>
      </c>
      <c r="C13" s="70" t="s">
        <v>7</v>
      </c>
      <c r="D13" s="235"/>
      <c r="E13" s="87">
        <v>37.07</v>
      </c>
    </row>
    <row r="14" spans="2:7">
      <c r="B14" s="112" t="s">
        <v>8</v>
      </c>
      <c r="C14" s="70" t="s">
        <v>10</v>
      </c>
      <c r="D14" s="235">
        <v>11603.09</v>
      </c>
      <c r="E14" s="87">
        <f>E15</f>
        <v>10649.35</v>
      </c>
    </row>
    <row r="15" spans="2:7">
      <c r="B15" s="112" t="s">
        <v>187</v>
      </c>
      <c r="C15" s="70" t="s">
        <v>11</v>
      </c>
      <c r="D15" s="235">
        <v>11603.09</v>
      </c>
      <c r="E15" s="87">
        <v>10649.35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6374.95</v>
      </c>
      <c r="E17" s="98">
        <f>SUM(E18:E20)</f>
        <v>17606.16</v>
      </c>
    </row>
    <row r="18" spans="2:6">
      <c r="B18" s="112" t="s">
        <v>4</v>
      </c>
      <c r="C18" s="6" t="s">
        <v>11</v>
      </c>
      <c r="D18" s="235">
        <v>6374.95</v>
      </c>
      <c r="E18" s="88">
        <v>17606.16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27794805.75</v>
      </c>
      <c r="E21" s="154">
        <f>E11-E17</f>
        <v>23074805.390000001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67">
        <v>32043769.25</v>
      </c>
      <c r="E26" s="274">
        <f>D21</f>
        <v>27794805.75</v>
      </c>
    </row>
    <row r="27" spans="2:6">
      <c r="B27" s="10" t="s">
        <v>17</v>
      </c>
      <c r="C27" s="11" t="s">
        <v>192</v>
      </c>
      <c r="D27" s="276">
        <v>-2863322.8499999996</v>
      </c>
      <c r="E27" s="243">
        <f>E28-E32</f>
        <v>-3951258.1000000006</v>
      </c>
      <c r="F27" s="73"/>
    </row>
    <row r="28" spans="2:6">
      <c r="B28" s="10" t="s">
        <v>18</v>
      </c>
      <c r="C28" s="11" t="s">
        <v>19</v>
      </c>
      <c r="D28" s="276">
        <v>1471169.62</v>
      </c>
      <c r="E28" s="244">
        <f>SUM(E29:E31)</f>
        <v>658976.46</v>
      </c>
      <c r="F28" s="73"/>
    </row>
    <row r="29" spans="2:6">
      <c r="B29" s="110" t="s">
        <v>4</v>
      </c>
      <c r="C29" s="6" t="s">
        <v>20</v>
      </c>
      <c r="D29" s="277">
        <v>1024342.4400000001</v>
      </c>
      <c r="E29" s="246">
        <v>658886.6</v>
      </c>
      <c r="F29" s="73"/>
    </row>
    <row r="30" spans="2:6">
      <c r="B30" s="110" t="s">
        <v>6</v>
      </c>
      <c r="C30" s="6" t="s">
        <v>21</v>
      </c>
      <c r="D30" s="277"/>
      <c r="E30" s="246"/>
      <c r="F30" s="73"/>
    </row>
    <row r="31" spans="2:6">
      <c r="B31" s="110" t="s">
        <v>8</v>
      </c>
      <c r="C31" s="6" t="s">
        <v>22</v>
      </c>
      <c r="D31" s="277">
        <v>446827.18</v>
      </c>
      <c r="E31" s="246">
        <v>89.86</v>
      </c>
      <c r="F31" s="73"/>
    </row>
    <row r="32" spans="2:6">
      <c r="B32" s="97" t="s">
        <v>23</v>
      </c>
      <c r="C32" s="12" t="s">
        <v>24</v>
      </c>
      <c r="D32" s="276">
        <v>4334492.47</v>
      </c>
      <c r="E32" s="244">
        <f>SUM(E33:E39)</f>
        <v>4610234.5600000005</v>
      </c>
      <c r="F32" s="73"/>
    </row>
    <row r="33" spans="2:6">
      <c r="B33" s="110" t="s">
        <v>4</v>
      </c>
      <c r="C33" s="6" t="s">
        <v>25</v>
      </c>
      <c r="D33" s="277">
        <v>3681624.88</v>
      </c>
      <c r="E33" s="246">
        <f>4189375.16+12856</f>
        <v>4202231.16</v>
      </c>
      <c r="F33" s="73"/>
    </row>
    <row r="34" spans="2:6">
      <c r="B34" s="110" t="s">
        <v>6</v>
      </c>
      <c r="C34" s="6" t="s">
        <v>26</v>
      </c>
      <c r="D34" s="277"/>
      <c r="E34" s="246"/>
      <c r="F34" s="73"/>
    </row>
    <row r="35" spans="2:6">
      <c r="B35" s="110" t="s">
        <v>8</v>
      </c>
      <c r="C35" s="6" t="s">
        <v>27</v>
      </c>
      <c r="D35" s="277">
        <v>68935.320000000007</v>
      </c>
      <c r="E35" s="246">
        <v>61882.130000000005</v>
      </c>
      <c r="F35" s="73"/>
    </row>
    <row r="36" spans="2:6">
      <c r="B36" s="110" t="s">
        <v>9</v>
      </c>
      <c r="C36" s="6" t="s">
        <v>28</v>
      </c>
      <c r="D36" s="277"/>
      <c r="E36" s="246"/>
      <c r="F36" s="73"/>
    </row>
    <row r="37" spans="2:6" ht="25.5">
      <c r="B37" s="110" t="s">
        <v>29</v>
      </c>
      <c r="C37" s="6" t="s">
        <v>30</v>
      </c>
      <c r="D37" s="277">
        <v>272376.46000000002</v>
      </c>
      <c r="E37" s="246">
        <v>209179.58000000002</v>
      </c>
      <c r="F37" s="73"/>
    </row>
    <row r="38" spans="2:6">
      <c r="B38" s="110" t="s">
        <v>31</v>
      </c>
      <c r="C38" s="6" t="s">
        <v>32</v>
      </c>
      <c r="D38" s="277"/>
      <c r="E38" s="246"/>
      <c r="F38" s="73"/>
    </row>
    <row r="39" spans="2:6">
      <c r="B39" s="111" t="s">
        <v>33</v>
      </c>
      <c r="C39" s="13" t="s">
        <v>34</v>
      </c>
      <c r="D39" s="278">
        <v>311555.81</v>
      </c>
      <c r="E39" s="248">
        <v>136941.69</v>
      </c>
      <c r="F39" s="73"/>
    </row>
    <row r="40" spans="2:6" ht="13.5" thickBot="1">
      <c r="B40" s="103" t="s">
        <v>35</v>
      </c>
      <c r="C40" s="104" t="s">
        <v>36</v>
      </c>
      <c r="D40" s="279">
        <v>1688101.65</v>
      </c>
      <c r="E40" s="275">
        <v>-768742.26</v>
      </c>
    </row>
    <row r="41" spans="2:6" ht="13.5" thickBot="1">
      <c r="B41" s="105" t="s">
        <v>37</v>
      </c>
      <c r="C41" s="106" t="s">
        <v>38</v>
      </c>
      <c r="D41" s="239">
        <v>30868548.049999997</v>
      </c>
      <c r="E41" s="154">
        <f>E26+E27+E40</f>
        <v>23074805.389999997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94">
        <v>246897.13389999999</v>
      </c>
      <c r="E47" s="75">
        <v>200882.4307</v>
      </c>
    </row>
    <row r="48" spans="2:6">
      <c r="B48" s="129" t="s">
        <v>6</v>
      </c>
      <c r="C48" s="23" t="s">
        <v>41</v>
      </c>
      <c r="D48" s="291">
        <v>225564.83343847509</v>
      </c>
      <c r="E48" s="75">
        <v>172023.05564000001</v>
      </c>
    </row>
    <row r="49" spans="2:5">
      <c r="B49" s="126" t="s">
        <v>23</v>
      </c>
      <c r="C49" s="130" t="s">
        <v>194</v>
      </c>
      <c r="D49" s="295"/>
      <c r="E49" s="131"/>
    </row>
    <row r="50" spans="2:5">
      <c r="B50" s="108" t="s">
        <v>4</v>
      </c>
      <c r="C50" s="16" t="s">
        <v>40</v>
      </c>
      <c r="D50" s="292">
        <v>129.78591020657899</v>
      </c>
      <c r="E50" s="75">
        <v>138.36354752522999</v>
      </c>
    </row>
    <row r="51" spans="2:5">
      <c r="B51" s="108" t="s">
        <v>6</v>
      </c>
      <c r="C51" s="16" t="s">
        <v>195</v>
      </c>
      <c r="D51" s="296">
        <v>129.7859</v>
      </c>
      <c r="E51" s="282">
        <v>133.65549999999999</v>
      </c>
    </row>
    <row r="52" spans="2:5" ht="12.75" customHeight="1">
      <c r="B52" s="108" t="s">
        <v>8</v>
      </c>
      <c r="C52" s="16" t="s">
        <v>196</v>
      </c>
      <c r="D52" s="296">
        <v>137.6369</v>
      </c>
      <c r="E52" s="282">
        <v>140.15600000000001</v>
      </c>
    </row>
    <row r="53" spans="2:5" ht="13.5" thickBot="1">
      <c r="B53" s="109" t="s">
        <v>9</v>
      </c>
      <c r="C53" s="18" t="s">
        <v>41</v>
      </c>
      <c r="D53" s="216">
        <v>136.85000263314399</v>
      </c>
      <c r="E53" s="281">
        <v>134.13786485774901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23081725.129999999</v>
      </c>
      <c r="E58" s="33">
        <f>D58/E21</f>
        <v>1.0002998829191858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21835439.75-15741.14</f>
        <v>21819698.609999999</v>
      </c>
      <c r="E64" s="83">
        <f>D64/E21</f>
        <v>0.94560704808613771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1262009.23+17.29</f>
        <v>1262026.52</v>
      </c>
      <c r="E69" s="81">
        <f>D69/E21</f>
        <v>5.4692834833048182E-2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37.07</v>
      </c>
      <c r="E71" s="68">
        <f>D71/E21</f>
        <v>1.6065140907348731E-6</v>
      </c>
    </row>
    <row r="72" spans="2:5">
      <c r="B72" s="122" t="s">
        <v>60</v>
      </c>
      <c r="C72" s="123" t="s">
        <v>63</v>
      </c>
      <c r="D72" s="124">
        <f>E14</f>
        <v>10649.35</v>
      </c>
      <c r="E72" s="125">
        <f>D72/E21</f>
        <v>4.6151418484400924E-4</v>
      </c>
    </row>
    <row r="73" spans="2:5">
      <c r="B73" s="24" t="s">
        <v>62</v>
      </c>
      <c r="C73" s="25" t="s">
        <v>65</v>
      </c>
      <c r="D73" s="26">
        <f>E17</f>
        <v>17606.16</v>
      </c>
      <c r="E73" s="27">
        <f>D73/E21</f>
        <v>7.630036181206553E-4</v>
      </c>
    </row>
    <row r="74" spans="2:5">
      <c r="B74" s="126" t="s">
        <v>64</v>
      </c>
      <c r="C74" s="127" t="s">
        <v>66</v>
      </c>
      <c r="D74" s="128">
        <f>D58+D71+D72-D73</f>
        <v>23074805.390000001</v>
      </c>
      <c r="E74" s="68">
        <f>E58+E72-E73</f>
        <v>0.99999839348590924</v>
      </c>
    </row>
    <row r="75" spans="2:5">
      <c r="B75" s="15" t="s">
        <v>4</v>
      </c>
      <c r="C75" s="16" t="s">
        <v>67</v>
      </c>
      <c r="D75" s="80">
        <f>D74</f>
        <v>23074805.390000001</v>
      </c>
      <c r="E75" s="81">
        <f>E74</f>
        <v>0.99999839348590924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0"/>
      <c r="C4" s="150"/>
      <c r="D4" s="150"/>
      <c r="E4" s="15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149</v>
      </c>
      <c r="C6" s="311"/>
      <c r="D6" s="311"/>
      <c r="E6" s="311"/>
    </row>
    <row r="7" spans="2:5" ht="14.25">
      <c r="B7" s="148"/>
      <c r="C7" s="148"/>
      <c r="D7" s="148"/>
      <c r="E7" s="148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9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6841466.8399999999</v>
      </c>
      <c r="E11" s="9">
        <f>E12</f>
        <v>6008759.7199999997</v>
      </c>
    </row>
    <row r="12" spans="2:5">
      <c r="B12" s="180" t="s">
        <v>4</v>
      </c>
      <c r="C12" s="181" t="s">
        <v>5</v>
      </c>
      <c r="D12" s="235">
        <v>6841466.8399999999</v>
      </c>
      <c r="E12" s="87">
        <v>6008759.7199999997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6841466.8399999999</v>
      </c>
      <c r="E21" s="154">
        <f>E11</f>
        <v>6008759.7199999997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7933746.6600000001</v>
      </c>
      <c r="E26" s="274">
        <f>D21</f>
        <v>6841466.8399999999</v>
      </c>
    </row>
    <row r="27" spans="2:6">
      <c r="B27" s="10" t="s">
        <v>17</v>
      </c>
      <c r="C27" s="11" t="s">
        <v>192</v>
      </c>
      <c r="D27" s="207">
        <v>-325014.56999999995</v>
      </c>
      <c r="E27" s="243">
        <f>E28-E32</f>
        <v>-712765.81</v>
      </c>
      <c r="F27" s="73"/>
    </row>
    <row r="28" spans="2:6">
      <c r="B28" s="10" t="s">
        <v>18</v>
      </c>
      <c r="C28" s="11" t="s">
        <v>19</v>
      </c>
      <c r="D28" s="207">
        <v>3945.82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3945.82</v>
      </c>
      <c r="E31" s="246"/>
      <c r="F31" s="73"/>
    </row>
    <row r="32" spans="2:6">
      <c r="B32" s="97" t="s">
        <v>23</v>
      </c>
      <c r="C32" s="12" t="s">
        <v>24</v>
      </c>
      <c r="D32" s="207">
        <v>328960.38999999996</v>
      </c>
      <c r="E32" s="244">
        <f>SUM(E33:E39)</f>
        <v>712765.81</v>
      </c>
      <c r="F32" s="73"/>
    </row>
    <row r="33" spans="2:6">
      <c r="B33" s="188" t="s">
        <v>4</v>
      </c>
      <c r="C33" s="181" t="s">
        <v>25</v>
      </c>
      <c r="D33" s="208">
        <v>213417.33</v>
      </c>
      <c r="E33" s="246">
        <v>322393.92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2134.44</v>
      </c>
      <c r="E35" s="246">
        <v>1939.84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64230.64</v>
      </c>
      <c r="E37" s="246">
        <v>53509.34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49177.98</v>
      </c>
      <c r="E39" s="248">
        <v>334922.71000000002</v>
      </c>
      <c r="F39" s="73"/>
    </row>
    <row r="40" spans="2:6" ht="13.5" thickBot="1">
      <c r="B40" s="103" t="s">
        <v>35</v>
      </c>
      <c r="C40" s="104" t="s">
        <v>36</v>
      </c>
      <c r="D40" s="210">
        <v>188124.79</v>
      </c>
      <c r="E40" s="275">
        <v>-119941.31</v>
      </c>
    </row>
    <row r="41" spans="2:6" ht="13.5" thickBot="1">
      <c r="B41" s="105" t="s">
        <v>37</v>
      </c>
      <c r="C41" s="106" t="s">
        <v>38</v>
      </c>
      <c r="D41" s="211">
        <v>7796856.8799999999</v>
      </c>
      <c r="E41" s="154">
        <f>E26+E27+E40</f>
        <v>6008759.7199999997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563076.41299999994</v>
      </c>
      <c r="E47" s="75">
        <v>480440.087</v>
      </c>
    </row>
    <row r="48" spans="2:6">
      <c r="B48" s="193" t="s">
        <v>6</v>
      </c>
      <c r="C48" s="194" t="s">
        <v>41</v>
      </c>
      <c r="D48" s="213">
        <v>540697.42599999998</v>
      </c>
      <c r="E48" s="155">
        <v>430735.46399999998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14.09</v>
      </c>
      <c r="E50" s="77">
        <v>14.24</v>
      </c>
    </row>
    <row r="51" spans="2:5">
      <c r="B51" s="191" t="s">
        <v>6</v>
      </c>
      <c r="C51" s="192" t="s">
        <v>195</v>
      </c>
      <c r="D51" s="215">
        <v>13.79</v>
      </c>
      <c r="E51" s="77">
        <v>13.9</v>
      </c>
    </row>
    <row r="52" spans="2:5">
      <c r="B52" s="191" t="s">
        <v>8</v>
      </c>
      <c r="C52" s="192" t="s">
        <v>196</v>
      </c>
      <c r="D52" s="215">
        <v>14.78</v>
      </c>
      <c r="E52" s="77">
        <v>14.5</v>
      </c>
    </row>
    <row r="53" spans="2:5" ht="14.25" customHeight="1" thickBot="1">
      <c r="B53" s="195" t="s">
        <v>9</v>
      </c>
      <c r="C53" s="196" t="s">
        <v>41</v>
      </c>
      <c r="D53" s="216">
        <v>14.42</v>
      </c>
      <c r="E53" s="281">
        <v>13.95</v>
      </c>
    </row>
    <row r="54" spans="2:5">
      <c r="B54" s="197"/>
      <c r="C54" s="198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6008759.7199999997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6008759.7199999997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6008759.7199999997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6008759.7199999997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0"/>
      <c r="C4" s="150"/>
      <c r="D4" s="150"/>
      <c r="E4" s="15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150</v>
      </c>
      <c r="C6" s="311"/>
      <c r="D6" s="311"/>
      <c r="E6" s="311"/>
    </row>
    <row r="7" spans="2:5" ht="14.25">
      <c r="B7" s="148"/>
      <c r="C7" s="148"/>
      <c r="D7" s="148"/>
      <c r="E7" s="148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9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11673425.619999999</v>
      </c>
      <c r="E11" s="9">
        <f>E12</f>
        <v>9539178.3599999994</v>
      </c>
    </row>
    <row r="12" spans="2:5">
      <c r="B12" s="180" t="s">
        <v>4</v>
      </c>
      <c r="C12" s="181" t="s">
        <v>5</v>
      </c>
      <c r="D12" s="235">
        <v>11673425.619999999</v>
      </c>
      <c r="E12" s="87">
        <f>9544919.54-5741.18</f>
        <v>9539178.3599999994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11673425.619999999</v>
      </c>
      <c r="E21" s="154">
        <f>E11</f>
        <v>9539178.3599999994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10676382.380000001</v>
      </c>
      <c r="E26" s="274">
        <f>D21</f>
        <v>11673425.619999999</v>
      </c>
    </row>
    <row r="27" spans="2:6">
      <c r="B27" s="10" t="s">
        <v>17</v>
      </c>
      <c r="C27" s="11" t="s">
        <v>192</v>
      </c>
      <c r="D27" s="207">
        <v>3887760.02</v>
      </c>
      <c r="E27" s="243">
        <f>E28-E32</f>
        <v>-1792413.41</v>
      </c>
      <c r="F27" s="73"/>
    </row>
    <row r="28" spans="2:6">
      <c r="B28" s="10" t="s">
        <v>18</v>
      </c>
      <c r="C28" s="11" t="s">
        <v>19</v>
      </c>
      <c r="D28" s="207">
        <v>4733531.71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4733531.71</v>
      </c>
      <c r="E31" s="246"/>
      <c r="F31" s="73"/>
    </row>
    <row r="32" spans="2:6">
      <c r="B32" s="97" t="s">
        <v>23</v>
      </c>
      <c r="C32" s="12" t="s">
        <v>24</v>
      </c>
      <c r="D32" s="207">
        <v>845771.69</v>
      </c>
      <c r="E32" s="244">
        <f>SUM(E33:E39)</f>
        <v>1792413.41</v>
      </c>
      <c r="F32" s="73"/>
    </row>
    <row r="33" spans="2:6">
      <c r="B33" s="188" t="s">
        <v>4</v>
      </c>
      <c r="C33" s="181" t="s">
        <v>25</v>
      </c>
      <c r="D33" s="208">
        <v>393514.23999999999</v>
      </c>
      <c r="E33" s="246">
        <f>458171.74+5695.95</f>
        <v>463867.69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7405.86</v>
      </c>
      <c r="E35" s="246">
        <v>5646.67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100144.67</v>
      </c>
      <c r="E37" s="246">
        <v>86446.9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344706.92</v>
      </c>
      <c r="E39" s="248">
        <v>1236452.1499999999</v>
      </c>
      <c r="F39" s="73"/>
    </row>
    <row r="40" spans="2:6" ht="13.5" thickBot="1">
      <c r="B40" s="103" t="s">
        <v>35</v>
      </c>
      <c r="C40" s="104" t="s">
        <v>36</v>
      </c>
      <c r="D40" s="210">
        <v>416576.79</v>
      </c>
      <c r="E40" s="275">
        <v>-341833.85</v>
      </c>
    </row>
    <row r="41" spans="2:6" ht="13.5" thickBot="1">
      <c r="B41" s="105" t="s">
        <v>37</v>
      </c>
      <c r="C41" s="106" t="s">
        <v>38</v>
      </c>
      <c r="D41" s="211">
        <v>14980719.189999999</v>
      </c>
      <c r="E41" s="154">
        <f>E26+E27+E40</f>
        <v>9539178.3599999994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9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122239.322</v>
      </c>
      <c r="E47" s="75">
        <v>129575.656</v>
      </c>
    </row>
    <row r="48" spans="2:6">
      <c r="B48" s="129" t="s">
        <v>6</v>
      </c>
      <c r="C48" s="23" t="s">
        <v>41</v>
      </c>
      <c r="D48" s="213">
        <v>165258.89895201323</v>
      </c>
      <c r="E48" s="155">
        <v>109822.4541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87.34</v>
      </c>
      <c r="E50" s="77">
        <v>90.09</v>
      </c>
    </row>
    <row r="51" spans="2:5">
      <c r="B51" s="108" t="s">
        <v>6</v>
      </c>
      <c r="C51" s="16" t="s">
        <v>195</v>
      </c>
      <c r="D51" s="215">
        <v>85.84</v>
      </c>
      <c r="E51" s="77">
        <v>86.86</v>
      </c>
    </row>
    <row r="52" spans="2:5">
      <c r="B52" s="108" t="s">
        <v>8</v>
      </c>
      <c r="C52" s="16" t="s">
        <v>196</v>
      </c>
      <c r="D52" s="215">
        <v>92.59</v>
      </c>
      <c r="E52" s="77">
        <v>91.94</v>
      </c>
    </row>
    <row r="53" spans="2:5" ht="14.25" customHeight="1" thickBot="1">
      <c r="B53" s="109" t="s">
        <v>9</v>
      </c>
      <c r="C53" s="18" t="s">
        <v>41</v>
      </c>
      <c r="D53" s="216">
        <v>90.65</v>
      </c>
      <c r="E53" s="281">
        <v>86.86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9539178.3599999994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9539178.3599999994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9539178.3599999994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9539178.3599999994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0"/>
      <c r="C4" s="150"/>
      <c r="D4" s="150"/>
      <c r="E4" s="15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171</v>
      </c>
      <c r="C6" s="311"/>
      <c r="D6" s="311"/>
      <c r="E6" s="311"/>
    </row>
    <row r="7" spans="2:7" ht="14.25">
      <c r="B7" s="148"/>
      <c r="C7" s="148"/>
      <c r="D7" s="148"/>
      <c r="E7" s="148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9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53143.45</v>
      </c>
      <c r="E11" s="9">
        <f>E12</f>
        <v>31662.05</v>
      </c>
    </row>
    <row r="12" spans="2:7">
      <c r="B12" s="180" t="s">
        <v>4</v>
      </c>
      <c r="C12" s="181" t="s">
        <v>5</v>
      </c>
      <c r="D12" s="235">
        <v>53143.45</v>
      </c>
      <c r="E12" s="87">
        <v>31662.05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53143.45</v>
      </c>
      <c r="E21" s="154">
        <f>E11</f>
        <v>31662.05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47606.3</v>
      </c>
      <c r="E26" s="274">
        <f>D21</f>
        <v>53143.45</v>
      </c>
    </row>
    <row r="27" spans="2:6">
      <c r="B27" s="10" t="s">
        <v>17</v>
      </c>
      <c r="C27" s="11" t="s">
        <v>192</v>
      </c>
      <c r="D27" s="207">
        <v>-505.5</v>
      </c>
      <c r="E27" s="243">
        <f>E28-E32</f>
        <v>-17460.560000000001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505.5</v>
      </c>
      <c r="E32" s="244">
        <f>SUM(E33:E39)</f>
        <v>17460.560000000001</v>
      </c>
      <c r="F32" s="73"/>
    </row>
    <row r="33" spans="2:6">
      <c r="B33" s="188" t="s">
        <v>4</v>
      </c>
      <c r="C33" s="181" t="s">
        <v>25</v>
      </c>
      <c r="D33" s="208"/>
      <c r="E33" s="246">
        <v>17137.36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100.55</v>
      </c>
      <c r="E35" s="246">
        <v>54.64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404.95</v>
      </c>
      <c r="E37" s="246">
        <v>268.56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5606.6</v>
      </c>
      <c r="E40" s="275">
        <v>-4020.84</v>
      </c>
    </row>
    <row r="41" spans="2:6" ht="13.5" thickBot="1">
      <c r="B41" s="105" t="s">
        <v>37</v>
      </c>
      <c r="C41" s="106" t="s">
        <v>38</v>
      </c>
      <c r="D41" s="211">
        <v>52707.4</v>
      </c>
      <c r="E41" s="154">
        <f>E26+E27+E40</f>
        <v>31662.05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7380.8209999999999</v>
      </c>
      <c r="E47" s="75">
        <v>6804.5389999999998</v>
      </c>
    </row>
    <row r="48" spans="2:6">
      <c r="B48" s="193" t="s">
        <v>6</v>
      </c>
      <c r="C48" s="194" t="s">
        <v>41</v>
      </c>
      <c r="D48" s="213">
        <v>7310.3190000000004</v>
      </c>
      <c r="E48" s="155">
        <v>4732.7430000000004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6.45</v>
      </c>
      <c r="E50" s="77">
        <v>7.81</v>
      </c>
    </row>
    <row r="51" spans="2:5">
      <c r="B51" s="191" t="s">
        <v>6</v>
      </c>
      <c r="C51" s="192" t="s">
        <v>195</v>
      </c>
      <c r="D51" s="215">
        <v>6.42</v>
      </c>
      <c r="E51" s="77">
        <v>6.55</v>
      </c>
    </row>
    <row r="52" spans="2:5">
      <c r="B52" s="191" t="s">
        <v>8</v>
      </c>
      <c r="C52" s="192" t="s">
        <v>196</v>
      </c>
      <c r="D52" s="215">
        <v>7.73</v>
      </c>
      <c r="E52" s="77">
        <v>8.84</v>
      </c>
    </row>
    <row r="53" spans="2:5" ht="14.25" customHeight="1" thickBot="1">
      <c r="B53" s="195" t="s">
        <v>9</v>
      </c>
      <c r="C53" s="196" t="s">
        <v>41</v>
      </c>
      <c r="D53" s="216">
        <v>7.21</v>
      </c>
      <c r="E53" s="281">
        <v>6.69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31662.05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31662.05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31662.05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31662.05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0"/>
      <c r="C4" s="150"/>
      <c r="D4" s="150"/>
      <c r="E4" s="15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269</v>
      </c>
      <c r="C6" s="311"/>
      <c r="D6" s="311"/>
      <c r="E6" s="311"/>
    </row>
    <row r="7" spans="2:7" ht="14.25">
      <c r="B7" s="148"/>
      <c r="C7" s="148"/>
      <c r="D7" s="148"/>
      <c r="E7" s="148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9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186984.3</v>
      </c>
      <c r="E11" s="9">
        <f>E12</f>
        <v>169384.05</v>
      </c>
    </row>
    <row r="12" spans="2:7">
      <c r="B12" s="180" t="s">
        <v>4</v>
      </c>
      <c r="C12" s="181" t="s">
        <v>5</v>
      </c>
      <c r="D12" s="235">
        <v>186984.3</v>
      </c>
      <c r="E12" s="87">
        <v>169384.05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186984.3</v>
      </c>
      <c r="E21" s="154">
        <f>E11</f>
        <v>169384.05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241638.35</v>
      </c>
      <c r="E26" s="274">
        <f>D21</f>
        <v>186984.3</v>
      </c>
    </row>
    <row r="27" spans="2:6">
      <c r="B27" s="10" t="s">
        <v>17</v>
      </c>
      <c r="C27" s="11" t="s">
        <v>192</v>
      </c>
      <c r="D27" s="207">
        <v>-11814.189999999997</v>
      </c>
      <c r="E27" s="243">
        <f>E28-E32</f>
        <v>-13137.7</v>
      </c>
      <c r="F27" s="73"/>
    </row>
    <row r="28" spans="2:6">
      <c r="B28" s="10" t="s">
        <v>18</v>
      </c>
      <c r="C28" s="11" t="s">
        <v>19</v>
      </c>
      <c r="D28" s="207">
        <v>9659.35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>
        <v>5791.5</v>
      </c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3867.85</v>
      </c>
      <c r="E31" s="246"/>
      <c r="F31" s="73"/>
    </row>
    <row r="32" spans="2:6">
      <c r="B32" s="97" t="s">
        <v>23</v>
      </c>
      <c r="C32" s="12" t="s">
        <v>24</v>
      </c>
      <c r="D32" s="207">
        <v>21473.539999999997</v>
      </c>
      <c r="E32" s="244">
        <f>SUM(E33:E39)</f>
        <v>13137.7</v>
      </c>
      <c r="F32" s="73"/>
    </row>
    <row r="33" spans="2:6">
      <c r="B33" s="188" t="s">
        <v>4</v>
      </c>
      <c r="C33" s="181" t="s">
        <v>25</v>
      </c>
      <c r="D33" s="208">
        <v>16892.91</v>
      </c>
      <c r="E33" s="246">
        <v>11664.02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365.69</v>
      </c>
      <c r="E35" s="246">
        <v>273.07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1749.84</v>
      </c>
      <c r="E37" s="246">
        <v>1200.6099999999999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2465.1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14727.95</v>
      </c>
      <c r="E40" s="275">
        <v>-4462.55</v>
      </c>
    </row>
    <row r="41" spans="2:6" ht="13.5" thickBot="1">
      <c r="B41" s="105" t="s">
        <v>37</v>
      </c>
      <c r="C41" s="106" t="s">
        <v>38</v>
      </c>
      <c r="D41" s="211">
        <v>244552.11000000002</v>
      </c>
      <c r="E41" s="154">
        <f>E26+E27+E40</f>
        <v>169384.05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1910.0336</v>
      </c>
      <c r="E47" s="75">
        <v>1407.5903000000001</v>
      </c>
    </row>
    <row r="48" spans="2:6">
      <c r="B48" s="193" t="s">
        <v>6</v>
      </c>
      <c r="C48" s="194" t="s">
        <v>41</v>
      </c>
      <c r="D48" s="213">
        <v>1821.4815000000001</v>
      </c>
      <c r="E48" s="155">
        <v>1308.288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126.51</v>
      </c>
      <c r="E50" s="77">
        <v>132.84</v>
      </c>
    </row>
    <row r="51" spans="2:5">
      <c r="B51" s="191" t="s">
        <v>6</v>
      </c>
      <c r="C51" s="192" t="s">
        <v>195</v>
      </c>
      <c r="D51" s="215">
        <v>126.51</v>
      </c>
      <c r="E51" s="77">
        <v>127.68</v>
      </c>
    </row>
    <row r="52" spans="2:5">
      <c r="B52" s="191" t="s">
        <v>8</v>
      </c>
      <c r="C52" s="192" t="s">
        <v>196</v>
      </c>
      <c r="D52" s="215">
        <v>136.72999999999999</v>
      </c>
      <c r="E52" s="77">
        <v>139.44</v>
      </c>
    </row>
    <row r="53" spans="2:5" ht="14.25" customHeight="1" thickBot="1">
      <c r="B53" s="195" t="s">
        <v>9</v>
      </c>
      <c r="C53" s="196" t="s">
        <v>41</v>
      </c>
      <c r="D53" s="216">
        <v>134.26</v>
      </c>
      <c r="E53" s="281">
        <v>129.47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169384.05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169384.05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169384.05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169384.05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0"/>
      <c r="C4" s="150"/>
      <c r="D4" s="150"/>
      <c r="E4" s="15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132</v>
      </c>
      <c r="C6" s="311"/>
      <c r="D6" s="311"/>
      <c r="E6" s="311"/>
    </row>
    <row r="7" spans="2:7" ht="14.25">
      <c r="B7" s="148"/>
      <c r="C7" s="148"/>
      <c r="D7" s="148"/>
      <c r="E7" s="148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9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223618.74000000002</v>
      </c>
      <c r="E11" s="9">
        <f>E12</f>
        <v>196074.81</v>
      </c>
    </row>
    <row r="12" spans="2:7">
      <c r="B12" s="180" t="s">
        <v>4</v>
      </c>
      <c r="C12" s="181" t="s">
        <v>5</v>
      </c>
      <c r="D12" s="235">
        <v>223618.74000000002</v>
      </c>
      <c r="E12" s="87">
        <f>196387.15-312.34</f>
        <v>196074.81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223618.74000000002</v>
      </c>
      <c r="E21" s="154">
        <f>E11-E17</f>
        <v>196074.81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262403.26</v>
      </c>
      <c r="E26" s="274">
        <f>D21</f>
        <v>223618.74000000002</v>
      </c>
    </row>
    <row r="27" spans="2:6">
      <c r="B27" s="10" t="s">
        <v>17</v>
      </c>
      <c r="C27" s="11" t="s">
        <v>192</v>
      </c>
      <c r="D27" s="207">
        <v>-5338.8500000000022</v>
      </c>
      <c r="E27" s="243">
        <f>E28-E32</f>
        <v>-17767.830000000002</v>
      </c>
      <c r="F27" s="73"/>
    </row>
    <row r="28" spans="2:6">
      <c r="B28" s="10" t="s">
        <v>18</v>
      </c>
      <c r="C28" s="11" t="s">
        <v>19</v>
      </c>
      <c r="D28" s="207">
        <v>27000.989999999998</v>
      </c>
      <c r="E28" s="244">
        <f>SUM(E29:E31)</f>
        <v>8398.4500000000007</v>
      </c>
      <c r="F28" s="73"/>
    </row>
    <row r="29" spans="2:6">
      <c r="B29" s="188" t="s">
        <v>4</v>
      </c>
      <c r="C29" s="181" t="s">
        <v>20</v>
      </c>
      <c r="D29" s="208">
        <v>10723.97</v>
      </c>
      <c r="E29" s="246">
        <v>8334.94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16277.02</v>
      </c>
      <c r="E31" s="246">
        <v>63.51</v>
      </c>
      <c r="F31" s="73"/>
    </row>
    <row r="32" spans="2:6">
      <c r="B32" s="97" t="s">
        <v>23</v>
      </c>
      <c r="C32" s="12" t="s">
        <v>24</v>
      </c>
      <c r="D32" s="207">
        <v>32339.84</v>
      </c>
      <c r="E32" s="244">
        <f>SUM(E33:E39)</f>
        <v>26166.280000000002</v>
      </c>
      <c r="F32" s="73"/>
    </row>
    <row r="33" spans="2:6">
      <c r="B33" s="188" t="s">
        <v>4</v>
      </c>
      <c r="C33" s="181" t="s">
        <v>25</v>
      </c>
      <c r="D33" s="208">
        <v>13485.95</v>
      </c>
      <c r="E33" s="246">
        <f>17966.72+106.94</f>
        <v>18073.66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570.29</v>
      </c>
      <c r="E35" s="246">
        <v>400.9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2129.0500000000002</v>
      </c>
      <c r="E37" s="246">
        <v>1579.61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16154.55</v>
      </c>
      <c r="E39" s="248">
        <v>6112.11</v>
      </c>
      <c r="F39" s="73"/>
    </row>
    <row r="40" spans="2:6" ht="13.5" thickBot="1">
      <c r="B40" s="103" t="s">
        <v>35</v>
      </c>
      <c r="C40" s="104" t="s">
        <v>36</v>
      </c>
      <c r="D40" s="210">
        <v>34965.160000000003</v>
      </c>
      <c r="E40" s="275">
        <v>-9776.1</v>
      </c>
    </row>
    <row r="41" spans="2:6" ht="13.5" thickBot="1">
      <c r="B41" s="105" t="s">
        <v>37</v>
      </c>
      <c r="C41" s="106" t="s">
        <v>38</v>
      </c>
      <c r="D41" s="211">
        <v>292029.57</v>
      </c>
      <c r="E41" s="154">
        <f>E26+E27+E40</f>
        <v>196074.81000000003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9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2613.0578</v>
      </c>
      <c r="E47" s="75">
        <v>2030.498</v>
      </c>
    </row>
    <row r="48" spans="2:6">
      <c r="B48" s="129" t="s">
        <v>6</v>
      </c>
      <c r="C48" s="23" t="s">
        <v>41</v>
      </c>
      <c r="D48" s="213">
        <v>2567.5186390012309</v>
      </c>
      <c r="E48" s="155">
        <v>1871.6572000000001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100.42</v>
      </c>
      <c r="E50" s="77">
        <v>110.13</v>
      </c>
    </row>
    <row r="51" spans="2:5">
      <c r="B51" s="108" t="s">
        <v>6</v>
      </c>
      <c r="C51" s="16" t="s">
        <v>195</v>
      </c>
      <c r="D51" s="215">
        <v>100.42</v>
      </c>
      <c r="E51" s="77">
        <v>104.32</v>
      </c>
    </row>
    <row r="52" spans="2:5">
      <c r="B52" s="108" t="s">
        <v>8</v>
      </c>
      <c r="C52" s="16" t="s">
        <v>196</v>
      </c>
      <c r="D52" s="215">
        <v>114.28</v>
      </c>
      <c r="E52" s="77">
        <v>115.01</v>
      </c>
    </row>
    <row r="53" spans="2:5" ht="13.5" customHeight="1" thickBot="1">
      <c r="B53" s="109" t="s">
        <v>9</v>
      </c>
      <c r="C53" s="18" t="s">
        <v>41</v>
      </c>
      <c r="D53" s="216">
        <v>113.74</v>
      </c>
      <c r="E53" s="281">
        <v>104.76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196074.81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196074.81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D75</f>
        <v>196074.81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D58-D73</f>
        <v>196074.81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163</v>
      </c>
      <c r="C6" s="311"/>
      <c r="D6" s="311"/>
      <c r="E6" s="311"/>
    </row>
    <row r="7" spans="2:7" ht="14.25">
      <c r="B7" s="151"/>
      <c r="C7" s="151"/>
      <c r="D7" s="151"/>
      <c r="E7" s="151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2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115825.60000000001</v>
      </c>
      <c r="E11" s="9">
        <f>E12</f>
        <v>128067.04999999999</v>
      </c>
    </row>
    <row r="12" spans="2:7">
      <c r="B12" s="180" t="s">
        <v>4</v>
      </c>
      <c r="C12" s="181" t="s">
        <v>5</v>
      </c>
      <c r="D12" s="235">
        <v>115825.60000000001</v>
      </c>
      <c r="E12" s="87">
        <f>128717.68-650.63</f>
        <v>128067.04999999999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115825.60000000001</v>
      </c>
      <c r="E21" s="154">
        <f>E11</f>
        <v>128067.04999999999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117844.04</v>
      </c>
      <c r="E26" s="274">
        <f>D21</f>
        <v>115825.60000000001</v>
      </c>
    </row>
    <row r="27" spans="2:6">
      <c r="B27" s="10" t="s">
        <v>17</v>
      </c>
      <c r="C27" s="11" t="s">
        <v>192</v>
      </c>
      <c r="D27" s="207">
        <v>-19384.249999999996</v>
      </c>
      <c r="E27" s="243">
        <f>E28-E32</f>
        <v>21779.67</v>
      </c>
      <c r="F27" s="73"/>
    </row>
    <row r="28" spans="2:6">
      <c r="B28" s="10" t="s">
        <v>18</v>
      </c>
      <c r="C28" s="11" t="s">
        <v>19</v>
      </c>
      <c r="D28" s="207">
        <v>32738.23</v>
      </c>
      <c r="E28" s="244">
        <f>SUM(E29:E31)</f>
        <v>29482.01</v>
      </c>
      <c r="F28" s="73"/>
    </row>
    <row r="29" spans="2:6">
      <c r="B29" s="188" t="s">
        <v>4</v>
      </c>
      <c r="C29" s="181" t="s">
        <v>20</v>
      </c>
      <c r="D29" s="208">
        <v>3292.91</v>
      </c>
      <c r="E29" s="246">
        <v>3292.07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29445.32</v>
      </c>
      <c r="E31" s="246">
        <v>26189.94</v>
      </c>
      <c r="F31" s="73"/>
    </row>
    <row r="32" spans="2:6">
      <c r="B32" s="97" t="s">
        <v>23</v>
      </c>
      <c r="C32" s="12" t="s">
        <v>24</v>
      </c>
      <c r="D32" s="207">
        <v>52122.479999999996</v>
      </c>
      <c r="E32" s="244">
        <f>SUM(E33:E39)</f>
        <v>7702.34</v>
      </c>
      <c r="F32" s="73"/>
    </row>
    <row r="33" spans="2:6">
      <c r="B33" s="188" t="s">
        <v>4</v>
      </c>
      <c r="C33" s="181" t="s">
        <v>25</v>
      </c>
      <c r="D33" s="208">
        <v>19924.68</v>
      </c>
      <c r="E33" s="246">
        <f>4072.09+621.79</f>
        <v>4693.88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337.59</v>
      </c>
      <c r="E35" s="246">
        <v>334.33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477.01</v>
      </c>
      <c r="E37" s="246">
        <v>374.02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31383.200000000001</v>
      </c>
      <c r="E39" s="248">
        <v>2300.11</v>
      </c>
      <c r="F39" s="73"/>
    </row>
    <row r="40" spans="2:6" ht="13.5" thickBot="1">
      <c r="B40" s="103" t="s">
        <v>35</v>
      </c>
      <c r="C40" s="104" t="s">
        <v>36</v>
      </c>
      <c r="D40" s="210">
        <v>12587.42</v>
      </c>
      <c r="E40" s="275">
        <v>-9538.2199999999993</v>
      </c>
    </row>
    <row r="41" spans="2:6" ht="13.5" thickBot="1">
      <c r="B41" s="105" t="s">
        <v>37</v>
      </c>
      <c r="C41" s="106" t="s">
        <v>38</v>
      </c>
      <c r="D41" s="211">
        <v>111047.20999999999</v>
      </c>
      <c r="E41" s="154">
        <f>E26+E27+E40</f>
        <v>128067.05000000002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1023.8405</v>
      </c>
      <c r="E47" s="75">
        <v>865.79160000000002</v>
      </c>
    </row>
    <row r="48" spans="2:6">
      <c r="B48" s="193" t="s">
        <v>6</v>
      </c>
      <c r="C48" s="194" t="s">
        <v>41</v>
      </c>
      <c r="D48" s="213">
        <v>872.46393777498417</v>
      </c>
      <c r="E48" s="155">
        <v>1027.578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115.1</v>
      </c>
      <c r="E50" s="77">
        <v>133.78</v>
      </c>
    </row>
    <row r="51" spans="2:5">
      <c r="B51" s="191" t="s">
        <v>6</v>
      </c>
      <c r="C51" s="192" t="s">
        <v>195</v>
      </c>
      <c r="D51" s="215">
        <v>115</v>
      </c>
      <c r="E51" s="77">
        <v>121.44</v>
      </c>
    </row>
    <row r="52" spans="2:5">
      <c r="B52" s="191" t="s">
        <v>8</v>
      </c>
      <c r="C52" s="192" t="s">
        <v>196</v>
      </c>
      <c r="D52" s="215">
        <v>127.84</v>
      </c>
      <c r="E52" s="77">
        <v>139.91999999999999</v>
      </c>
    </row>
    <row r="53" spans="2:5" ht="13.5" customHeight="1" thickBot="1">
      <c r="B53" s="195" t="s">
        <v>9</v>
      </c>
      <c r="C53" s="196" t="s">
        <v>41</v>
      </c>
      <c r="D53" s="216">
        <v>127.28</v>
      </c>
      <c r="E53" s="281">
        <v>124.63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128067.04999999999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128067.04999999999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128067.04999999999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128067.04999999999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137</v>
      </c>
      <c r="C6" s="311"/>
      <c r="D6" s="311"/>
      <c r="E6" s="311"/>
    </row>
    <row r="7" spans="2:5" ht="14.25">
      <c r="B7" s="151"/>
      <c r="C7" s="151"/>
      <c r="D7" s="151"/>
      <c r="E7" s="15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5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90376.75</v>
      </c>
      <c r="E11" s="9">
        <f>E12</f>
        <v>82173.31</v>
      </c>
    </row>
    <row r="12" spans="2:5">
      <c r="B12" s="180" t="s">
        <v>4</v>
      </c>
      <c r="C12" s="181" t="s">
        <v>5</v>
      </c>
      <c r="D12" s="235">
        <v>90376.75</v>
      </c>
      <c r="E12" s="87">
        <v>82173.31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90376.75</v>
      </c>
      <c r="E21" s="154">
        <f>E11</f>
        <v>82173.31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54787.77</v>
      </c>
      <c r="E26" s="274">
        <f>D21</f>
        <v>90376.75</v>
      </c>
    </row>
    <row r="27" spans="2:6">
      <c r="B27" s="10" t="s">
        <v>17</v>
      </c>
      <c r="C27" s="11" t="s">
        <v>192</v>
      </c>
      <c r="D27" s="207">
        <v>63539.200000000004</v>
      </c>
      <c r="E27" s="243">
        <f>E28-E32</f>
        <v>-823.83999999999992</v>
      </c>
      <c r="F27" s="73"/>
    </row>
    <row r="28" spans="2:6">
      <c r="B28" s="10" t="s">
        <v>18</v>
      </c>
      <c r="C28" s="11" t="s">
        <v>19</v>
      </c>
      <c r="D28" s="207">
        <v>88028.69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88028.69</v>
      </c>
      <c r="E31" s="246"/>
      <c r="F31" s="73"/>
    </row>
    <row r="32" spans="2:6">
      <c r="B32" s="97" t="s">
        <v>23</v>
      </c>
      <c r="C32" s="12" t="s">
        <v>24</v>
      </c>
      <c r="D32" s="207">
        <v>24489.489999999998</v>
      </c>
      <c r="E32" s="244">
        <f>SUM(E33:E39)</f>
        <v>823.83999999999992</v>
      </c>
      <c r="F32" s="73"/>
    </row>
    <row r="33" spans="2:6">
      <c r="B33" s="188" t="s">
        <v>4</v>
      </c>
      <c r="C33" s="181" t="s">
        <v>25</v>
      </c>
      <c r="D33" s="208">
        <v>23574.82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76.209999999999994</v>
      </c>
      <c r="E35" s="246">
        <v>65.319999999999993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838.46</v>
      </c>
      <c r="E37" s="246">
        <v>758.52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8298.17</v>
      </c>
      <c r="E40" s="275">
        <v>-7379.6</v>
      </c>
    </row>
    <row r="41" spans="2:6" ht="13.5" thickBot="1">
      <c r="B41" s="105" t="s">
        <v>37</v>
      </c>
      <c r="C41" s="106" t="s">
        <v>38</v>
      </c>
      <c r="D41" s="211">
        <v>126625.14</v>
      </c>
      <c r="E41" s="154">
        <f>E26+E27+E40</f>
        <v>82173.31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539.7278</v>
      </c>
      <c r="E47" s="75">
        <v>776.56600000000003</v>
      </c>
    </row>
    <row r="48" spans="2:6">
      <c r="B48" s="193" t="s">
        <v>6</v>
      </c>
      <c r="C48" s="194" t="s">
        <v>41</v>
      </c>
      <c r="D48" s="213">
        <v>1099.9404</v>
      </c>
      <c r="E48" s="155">
        <v>769.41300000000001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101.51</v>
      </c>
      <c r="E50" s="77">
        <v>116.38</v>
      </c>
    </row>
    <row r="51" spans="2:5">
      <c r="B51" s="191" t="s">
        <v>6</v>
      </c>
      <c r="C51" s="192" t="s">
        <v>195</v>
      </c>
      <c r="D51" s="215">
        <v>101.51</v>
      </c>
      <c r="E51" s="77">
        <v>106.68</v>
      </c>
    </row>
    <row r="52" spans="2:5">
      <c r="B52" s="191" t="s">
        <v>8</v>
      </c>
      <c r="C52" s="192" t="s">
        <v>196</v>
      </c>
      <c r="D52" s="215">
        <v>116.65</v>
      </c>
      <c r="E52" s="77">
        <v>121.62</v>
      </c>
    </row>
    <row r="53" spans="2:5" ht="12.75" customHeight="1" thickBot="1">
      <c r="B53" s="195" t="s">
        <v>9</v>
      </c>
      <c r="C53" s="196" t="s">
        <v>41</v>
      </c>
      <c r="D53" s="216">
        <v>115.12</v>
      </c>
      <c r="E53" s="281">
        <v>106.8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82173.31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82173.31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82173.31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82173.31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131</v>
      </c>
      <c r="C6" s="311"/>
      <c r="D6" s="311"/>
      <c r="E6" s="311"/>
    </row>
    <row r="7" spans="2:7" ht="14.25">
      <c r="B7" s="151"/>
      <c r="C7" s="151"/>
      <c r="D7" s="151"/>
      <c r="E7" s="151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2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565749.92000000004</v>
      </c>
      <c r="E11" s="9">
        <f>E12</f>
        <v>448137.74</v>
      </c>
    </row>
    <row r="12" spans="2:7">
      <c r="B12" s="180" t="s">
        <v>4</v>
      </c>
      <c r="C12" s="181" t="s">
        <v>5</v>
      </c>
      <c r="D12" s="235">
        <v>565749.92000000004</v>
      </c>
      <c r="E12" s="87">
        <v>448137.74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565749.92000000004</v>
      </c>
      <c r="E21" s="154">
        <f>E11</f>
        <v>448137.74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687908.93</v>
      </c>
      <c r="E26" s="274">
        <f>D21</f>
        <v>565749.92000000004</v>
      </c>
    </row>
    <row r="27" spans="2:6">
      <c r="B27" s="10" t="s">
        <v>17</v>
      </c>
      <c r="C27" s="11" t="s">
        <v>192</v>
      </c>
      <c r="D27" s="207">
        <v>-121645.64999999997</v>
      </c>
      <c r="E27" s="243">
        <f>E28-E32</f>
        <v>-58803.5</v>
      </c>
      <c r="F27" s="73"/>
    </row>
    <row r="28" spans="2:6">
      <c r="B28" s="10" t="s">
        <v>18</v>
      </c>
      <c r="C28" s="11" t="s">
        <v>19</v>
      </c>
      <c r="D28" s="207">
        <v>289331.09000000003</v>
      </c>
      <c r="E28" s="244">
        <f>SUM(E29:E31)</f>
        <v>1871.84</v>
      </c>
      <c r="F28" s="73"/>
    </row>
    <row r="29" spans="2:6">
      <c r="B29" s="188" t="s">
        <v>4</v>
      </c>
      <c r="C29" s="181" t="s">
        <v>20</v>
      </c>
      <c r="D29" s="208">
        <v>3056.45</v>
      </c>
      <c r="E29" s="246">
        <v>1871.84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286274.64</v>
      </c>
      <c r="E31" s="246"/>
      <c r="F31" s="73"/>
    </row>
    <row r="32" spans="2:6">
      <c r="B32" s="97" t="s">
        <v>23</v>
      </c>
      <c r="C32" s="12" t="s">
        <v>24</v>
      </c>
      <c r="D32" s="207">
        <v>410976.74</v>
      </c>
      <c r="E32" s="244">
        <f>SUM(E33:E39)</f>
        <v>60675.34</v>
      </c>
      <c r="F32" s="73"/>
    </row>
    <row r="33" spans="2:6">
      <c r="B33" s="188" t="s">
        <v>4</v>
      </c>
      <c r="C33" s="181" t="s">
        <v>25</v>
      </c>
      <c r="D33" s="208">
        <v>369413.81</v>
      </c>
      <c r="E33" s="246">
        <v>31075.69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339.37</v>
      </c>
      <c r="E35" s="246">
        <v>241.33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6757.96</v>
      </c>
      <c r="E37" s="246">
        <v>4039.23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34465.599999999999</v>
      </c>
      <c r="E39" s="248">
        <v>25319.09</v>
      </c>
      <c r="F39" s="73"/>
    </row>
    <row r="40" spans="2:6" ht="13.5" thickBot="1">
      <c r="B40" s="103" t="s">
        <v>35</v>
      </c>
      <c r="C40" s="104" t="s">
        <v>36</v>
      </c>
      <c r="D40" s="210">
        <v>104672.29</v>
      </c>
      <c r="E40" s="275">
        <v>-58808.68</v>
      </c>
    </row>
    <row r="41" spans="2:6" ht="13.5" thickBot="1">
      <c r="B41" s="105" t="s">
        <v>37</v>
      </c>
      <c r="C41" s="106" t="s">
        <v>38</v>
      </c>
      <c r="D41" s="211">
        <v>670935.57000000007</v>
      </c>
      <c r="E41" s="154">
        <f>E26+E27+E40</f>
        <v>448137.74000000005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3402.9627999999998</v>
      </c>
      <c r="E47" s="75">
        <v>2369.4346999999998</v>
      </c>
    </row>
    <row r="48" spans="2:6">
      <c r="B48" s="193" t="s">
        <v>6</v>
      </c>
      <c r="C48" s="194" t="s">
        <v>41</v>
      </c>
      <c r="D48" s="213">
        <v>2918.2530999999999</v>
      </c>
      <c r="E48" s="155">
        <v>2110.8701999999998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202.15</v>
      </c>
      <c r="E50" s="77">
        <v>238.77</v>
      </c>
    </row>
    <row r="51" spans="2:5">
      <c r="B51" s="191" t="s">
        <v>6</v>
      </c>
      <c r="C51" s="192" t="s">
        <v>195</v>
      </c>
      <c r="D51" s="215">
        <v>202.15</v>
      </c>
      <c r="E51" s="77">
        <v>211.92</v>
      </c>
    </row>
    <row r="52" spans="2:5">
      <c r="B52" s="191" t="s">
        <v>8</v>
      </c>
      <c r="C52" s="192" t="s">
        <v>196</v>
      </c>
      <c r="D52" s="215">
        <v>237.21</v>
      </c>
      <c r="E52" s="77">
        <v>251.45</v>
      </c>
    </row>
    <row r="53" spans="2:5" ht="13.5" customHeight="1" thickBot="1">
      <c r="B53" s="195" t="s">
        <v>9</v>
      </c>
      <c r="C53" s="196" t="s">
        <v>41</v>
      </c>
      <c r="D53" s="216">
        <v>229.91</v>
      </c>
      <c r="E53" s="281">
        <v>212.3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448137.74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448137.74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448137.74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448137.74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136</v>
      </c>
      <c r="C6" s="311"/>
      <c r="D6" s="311"/>
      <c r="E6" s="311"/>
    </row>
    <row r="7" spans="2:7" ht="14.25">
      <c r="B7" s="151"/>
      <c r="C7" s="151"/>
      <c r="D7" s="151"/>
      <c r="E7" s="151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2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686021.21</v>
      </c>
      <c r="E11" s="9">
        <f>E12</f>
        <v>676703.06</v>
      </c>
    </row>
    <row r="12" spans="2:7">
      <c r="B12" s="180" t="s">
        <v>4</v>
      </c>
      <c r="C12" s="181" t="s">
        <v>5</v>
      </c>
      <c r="D12" s="235">
        <v>686021.21</v>
      </c>
      <c r="E12" s="87">
        <f>676902.41-199.35</f>
        <v>676703.06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686021.21</v>
      </c>
      <c r="E21" s="154">
        <f>E11-E17</f>
        <v>676703.06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860630.64</v>
      </c>
      <c r="E26" s="274">
        <f>D21</f>
        <v>686021.21</v>
      </c>
    </row>
    <row r="27" spans="2:6">
      <c r="B27" s="10" t="s">
        <v>17</v>
      </c>
      <c r="C27" s="11" t="s">
        <v>192</v>
      </c>
      <c r="D27" s="207">
        <v>-52513.329999999994</v>
      </c>
      <c r="E27" s="243">
        <f>E28-E32</f>
        <v>-11910.63</v>
      </c>
      <c r="F27" s="73"/>
    </row>
    <row r="28" spans="2:6">
      <c r="B28" s="10" t="s">
        <v>18</v>
      </c>
      <c r="C28" s="11" t="s">
        <v>19</v>
      </c>
      <c r="D28" s="207">
        <v>6055.43</v>
      </c>
      <c r="E28" s="244">
        <f>SUM(E29:E31)</f>
        <v>7734.1</v>
      </c>
      <c r="F28" s="73"/>
    </row>
    <row r="29" spans="2:6">
      <c r="B29" s="188" t="s">
        <v>4</v>
      </c>
      <c r="C29" s="181" t="s">
        <v>20</v>
      </c>
      <c r="D29" s="208">
        <v>5535.58</v>
      </c>
      <c r="E29" s="246">
        <v>4604.1400000000003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519.85</v>
      </c>
      <c r="E31" s="246">
        <v>3129.96</v>
      </c>
      <c r="F31" s="73"/>
    </row>
    <row r="32" spans="2:6">
      <c r="B32" s="97" t="s">
        <v>23</v>
      </c>
      <c r="C32" s="12" t="s">
        <v>24</v>
      </c>
      <c r="D32" s="207">
        <v>58568.759999999995</v>
      </c>
      <c r="E32" s="244">
        <f>SUM(E33:E39)</f>
        <v>19644.73</v>
      </c>
      <c r="F32" s="73"/>
    </row>
    <row r="33" spans="2:6">
      <c r="B33" s="188" t="s">
        <v>4</v>
      </c>
      <c r="C33" s="181" t="s">
        <v>25</v>
      </c>
      <c r="D33" s="208">
        <v>48217.079999999994</v>
      </c>
      <c r="E33" s="246">
        <f>10857.64+0.74</f>
        <v>10858.38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873.79</v>
      </c>
      <c r="E35" s="246">
        <v>710.33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6389.82</v>
      </c>
      <c r="E37" s="246">
        <v>4897.82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3088.07</v>
      </c>
      <c r="E39" s="248">
        <v>3178.2</v>
      </c>
      <c r="F39" s="73"/>
    </row>
    <row r="40" spans="2:6" ht="13.5" thickBot="1">
      <c r="B40" s="103" t="s">
        <v>35</v>
      </c>
      <c r="C40" s="104" t="s">
        <v>36</v>
      </c>
      <c r="D40" s="210">
        <v>19620.61</v>
      </c>
      <c r="E40" s="275">
        <v>2592.48</v>
      </c>
    </row>
    <row r="41" spans="2:6" ht="13.5" thickBot="1">
      <c r="B41" s="105" t="s">
        <v>37</v>
      </c>
      <c r="C41" s="106" t="s">
        <v>38</v>
      </c>
      <c r="D41" s="211">
        <v>827737.92</v>
      </c>
      <c r="E41" s="154">
        <f>E26+E27+E40</f>
        <v>676703.05999999994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2590.6223199999999</v>
      </c>
      <c r="E47" s="75">
        <v>1983.3508099999999</v>
      </c>
    </row>
    <row r="48" spans="2:6">
      <c r="B48" s="129" t="s">
        <v>6</v>
      </c>
      <c r="C48" s="23" t="s">
        <v>41</v>
      </c>
      <c r="D48" s="213">
        <v>2433.1635850554103</v>
      </c>
      <c r="E48" s="155">
        <v>1949.1979699999999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332.21</v>
      </c>
      <c r="E50" s="77">
        <v>345.89</v>
      </c>
    </row>
    <row r="51" spans="2:5">
      <c r="B51" s="108" t="s">
        <v>6</v>
      </c>
      <c r="C51" s="16" t="s">
        <v>195</v>
      </c>
      <c r="D51" s="215">
        <v>330.79</v>
      </c>
      <c r="E51" s="77">
        <v>345.64</v>
      </c>
    </row>
    <row r="52" spans="2:5">
      <c r="B52" s="108" t="s">
        <v>8</v>
      </c>
      <c r="C52" s="16" t="s">
        <v>196</v>
      </c>
      <c r="D52" s="215">
        <v>341.57</v>
      </c>
      <c r="E52" s="77">
        <v>351.52</v>
      </c>
    </row>
    <row r="53" spans="2:5" ht="13.5" customHeight="1" thickBot="1">
      <c r="B53" s="109" t="s">
        <v>9</v>
      </c>
      <c r="C53" s="18" t="s">
        <v>41</v>
      </c>
      <c r="D53" s="216">
        <v>340.19</v>
      </c>
      <c r="E53" s="281">
        <v>347.17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676703.06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676703.06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676703.06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676703.06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134</v>
      </c>
      <c r="C6" s="311"/>
      <c r="D6" s="311"/>
      <c r="E6" s="311"/>
    </row>
    <row r="7" spans="2:5" ht="14.25">
      <c r="B7" s="151"/>
      <c r="C7" s="151"/>
      <c r="D7" s="151"/>
      <c r="E7" s="15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5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247940.58</v>
      </c>
      <c r="E11" s="9">
        <f>E12</f>
        <v>175965.08</v>
      </c>
    </row>
    <row r="12" spans="2:5">
      <c r="B12" s="180" t="s">
        <v>4</v>
      </c>
      <c r="C12" s="181" t="s">
        <v>5</v>
      </c>
      <c r="D12" s="235">
        <v>247940.58</v>
      </c>
      <c r="E12" s="87">
        <f>176077.62-112.54</f>
        <v>175965.08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247940.58</v>
      </c>
      <c r="E21" s="154">
        <f>E11-E17</f>
        <v>175965.08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307157.87</v>
      </c>
      <c r="E26" s="274">
        <f>D21</f>
        <v>247940.58</v>
      </c>
    </row>
    <row r="27" spans="2:6">
      <c r="B27" s="10" t="s">
        <v>17</v>
      </c>
      <c r="C27" s="11" t="s">
        <v>192</v>
      </c>
      <c r="D27" s="207">
        <v>5875.9699999999939</v>
      </c>
      <c r="E27" s="243">
        <f>E28-E32</f>
        <v>-74178.470000000016</v>
      </c>
      <c r="F27" s="73"/>
    </row>
    <row r="28" spans="2:6">
      <c r="B28" s="10" t="s">
        <v>18</v>
      </c>
      <c r="C28" s="11" t="s">
        <v>19</v>
      </c>
      <c r="D28" s="207">
        <v>61957.06</v>
      </c>
      <c r="E28" s="244">
        <f>SUM(E29:E31)</f>
        <v>99531.76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61957.06</v>
      </c>
      <c r="E31" s="246">
        <v>99531.76</v>
      </c>
      <c r="F31" s="73"/>
    </row>
    <row r="32" spans="2:6">
      <c r="B32" s="97" t="s">
        <v>23</v>
      </c>
      <c r="C32" s="12" t="s">
        <v>24</v>
      </c>
      <c r="D32" s="207">
        <v>56081.090000000004</v>
      </c>
      <c r="E32" s="244">
        <f>SUM(E33:E39)</f>
        <v>173710.23</v>
      </c>
      <c r="F32" s="73"/>
    </row>
    <row r="33" spans="2:6">
      <c r="B33" s="188" t="s">
        <v>4</v>
      </c>
      <c r="C33" s="181" t="s">
        <v>25</v>
      </c>
      <c r="D33" s="208">
        <v>28655.61</v>
      </c>
      <c r="E33" s="246">
        <f>39474.05+1.09</f>
        <v>39475.14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239.48</v>
      </c>
      <c r="E35" s="246">
        <v>201.52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2926.42</v>
      </c>
      <c r="E37" s="246">
        <v>2013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24259.58</v>
      </c>
      <c r="E39" s="248">
        <v>132020.57</v>
      </c>
      <c r="F39" s="73"/>
    </row>
    <row r="40" spans="2:6" ht="13.5" thickBot="1">
      <c r="B40" s="103" t="s">
        <v>35</v>
      </c>
      <c r="C40" s="104" t="s">
        <v>36</v>
      </c>
      <c r="D40" s="210">
        <v>7024.72</v>
      </c>
      <c r="E40" s="275">
        <v>2202.9699999999998</v>
      </c>
    </row>
    <row r="41" spans="2:6" ht="13.5" thickBot="1">
      <c r="B41" s="105" t="s">
        <v>37</v>
      </c>
      <c r="C41" s="106" t="s">
        <v>38</v>
      </c>
      <c r="D41" s="211">
        <v>320058.55999999994</v>
      </c>
      <c r="E41" s="154">
        <f>E26+E27+E40</f>
        <v>175965.08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1479.4946</v>
      </c>
      <c r="E47" s="75">
        <v>1145.5780999999999</v>
      </c>
    </row>
    <row r="48" spans="2:6">
      <c r="B48" s="129" t="s">
        <v>6</v>
      </c>
      <c r="C48" s="23" t="s">
        <v>41</v>
      </c>
      <c r="D48" s="213">
        <v>1507.0799077082449</v>
      </c>
      <c r="E48" s="155">
        <v>804.77970000000005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207.61</v>
      </c>
      <c r="E50" s="77">
        <v>216.53</v>
      </c>
    </row>
    <row r="51" spans="2:5">
      <c r="B51" s="108" t="s">
        <v>6</v>
      </c>
      <c r="C51" s="16" t="s">
        <v>195</v>
      </c>
      <c r="D51" s="215">
        <v>207.53</v>
      </c>
      <c r="E51" s="77">
        <v>216.53</v>
      </c>
    </row>
    <row r="52" spans="2:5">
      <c r="B52" s="108" t="s">
        <v>8</v>
      </c>
      <c r="C52" s="16" t="s">
        <v>196</v>
      </c>
      <c r="D52" s="215">
        <v>212.56</v>
      </c>
      <c r="E52" s="77">
        <v>219.18</v>
      </c>
    </row>
    <row r="53" spans="2:5" ht="14.25" customHeight="1" thickBot="1">
      <c r="B53" s="109" t="s">
        <v>9</v>
      </c>
      <c r="C53" s="18" t="s">
        <v>41</v>
      </c>
      <c r="D53" s="216">
        <v>212.37</v>
      </c>
      <c r="E53" s="281">
        <v>218.65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175965.08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175965.08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83">
        <f>D73/E21</f>
        <v>0</v>
      </c>
    </row>
    <row r="74" spans="2:5">
      <c r="B74" s="136" t="s">
        <v>64</v>
      </c>
      <c r="C74" s="127" t="s">
        <v>66</v>
      </c>
      <c r="D74" s="128">
        <f>D58-D73</f>
        <v>175965.08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175965.08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6.285156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92"/>
      <c r="C4" s="92"/>
      <c r="D4" s="92"/>
      <c r="E4" s="92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102</v>
      </c>
      <c r="C6" s="311"/>
      <c r="D6" s="311"/>
      <c r="E6" s="311"/>
    </row>
    <row r="7" spans="2:8" ht="14.25">
      <c r="B7" s="94"/>
      <c r="C7" s="94"/>
      <c r="D7" s="94"/>
      <c r="E7" s="94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93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37604020.210000001</v>
      </c>
      <c r="E11" s="9">
        <f>E12+E13+E14</f>
        <v>32266297.490000002</v>
      </c>
    </row>
    <row r="12" spans="2:8">
      <c r="B12" s="112" t="s">
        <v>4</v>
      </c>
      <c r="C12" s="6" t="s">
        <v>5</v>
      </c>
      <c r="D12" s="235">
        <v>37604020.210000001</v>
      </c>
      <c r="E12" s="87">
        <f>30425983.99+1855317.08+25.42-24327.37</f>
        <v>32256999.120000001</v>
      </c>
    </row>
    <row r="13" spans="2:8">
      <c r="B13" s="112" t="s">
        <v>6</v>
      </c>
      <c r="C13" s="70" t="s">
        <v>7</v>
      </c>
      <c r="D13" s="235"/>
      <c r="E13" s="87">
        <v>55.3</v>
      </c>
    </row>
    <row r="14" spans="2:8">
      <c r="B14" s="112" t="s">
        <v>8</v>
      </c>
      <c r="C14" s="70" t="s">
        <v>10</v>
      </c>
      <c r="D14" s="235"/>
      <c r="E14" s="87">
        <f>E15</f>
        <v>9243.07</v>
      </c>
    </row>
    <row r="15" spans="2:8">
      <c r="B15" s="112" t="s">
        <v>187</v>
      </c>
      <c r="C15" s="70" t="s">
        <v>11</v>
      </c>
      <c r="D15" s="235"/>
      <c r="E15" s="87">
        <v>9243.07</v>
      </c>
    </row>
    <row r="16" spans="2:8">
      <c r="B16" s="113" t="s">
        <v>188</v>
      </c>
      <c r="C16" s="96" t="s">
        <v>12</v>
      </c>
      <c r="D16" s="236"/>
      <c r="E16" s="88"/>
    </row>
    <row r="17" spans="2:7">
      <c r="B17" s="10" t="s">
        <v>13</v>
      </c>
      <c r="C17" s="12" t="s">
        <v>65</v>
      </c>
      <c r="D17" s="264">
        <v>446414.97</v>
      </c>
      <c r="E17" s="98">
        <f>SUM(E18:E20)</f>
        <v>8650.36</v>
      </c>
    </row>
    <row r="18" spans="2:7">
      <c r="B18" s="112" t="s">
        <v>4</v>
      </c>
      <c r="C18" s="6" t="s">
        <v>11</v>
      </c>
      <c r="D18" s="235">
        <v>446414.97</v>
      </c>
      <c r="E18" s="88">
        <v>8650.36</v>
      </c>
    </row>
    <row r="19" spans="2:7" ht="15" customHeight="1">
      <c r="B19" s="112" t="s">
        <v>6</v>
      </c>
      <c r="C19" s="70" t="s">
        <v>189</v>
      </c>
      <c r="D19" s="235"/>
      <c r="E19" s="87"/>
    </row>
    <row r="20" spans="2:7" ht="13.5" thickBot="1">
      <c r="B20" s="114" t="s">
        <v>8</v>
      </c>
      <c r="C20" s="71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37157605.240000002</v>
      </c>
      <c r="E21" s="154">
        <f>E11-E17</f>
        <v>32257647.130000003</v>
      </c>
      <c r="F21" s="79"/>
      <c r="G21" s="69"/>
    </row>
    <row r="22" spans="2:7">
      <c r="B22" s="3"/>
      <c r="C22" s="7"/>
      <c r="D22" s="8"/>
      <c r="E22" s="8"/>
    </row>
    <row r="23" spans="2:7" ht="13.5">
      <c r="B23" s="313" t="s">
        <v>185</v>
      </c>
      <c r="C23" s="321"/>
      <c r="D23" s="321"/>
      <c r="E23" s="321"/>
    </row>
    <row r="24" spans="2:7" ht="15.75" customHeight="1" thickBot="1">
      <c r="B24" s="312" t="s">
        <v>186</v>
      </c>
      <c r="C24" s="322"/>
      <c r="D24" s="322"/>
      <c r="E24" s="322"/>
    </row>
    <row r="25" spans="2:7" ht="13.5" thickBot="1">
      <c r="B25" s="93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45379889.990000002</v>
      </c>
      <c r="E26" s="274">
        <f>D21</f>
        <v>37157605.240000002</v>
      </c>
    </row>
    <row r="27" spans="2:7">
      <c r="B27" s="10" t="s">
        <v>17</v>
      </c>
      <c r="C27" s="11" t="s">
        <v>192</v>
      </c>
      <c r="D27" s="207">
        <v>-7036290.2799999993</v>
      </c>
      <c r="E27" s="243">
        <f>E28-E32</f>
        <v>-5913773.9399999985</v>
      </c>
      <c r="F27" s="73"/>
    </row>
    <row r="28" spans="2:7">
      <c r="B28" s="10" t="s">
        <v>18</v>
      </c>
      <c r="C28" s="11" t="s">
        <v>19</v>
      </c>
      <c r="D28" s="207">
        <v>733747.84</v>
      </c>
      <c r="E28" s="244">
        <f>SUM(E29:E31)</f>
        <v>528018.61</v>
      </c>
      <c r="F28" s="73"/>
    </row>
    <row r="29" spans="2:7">
      <c r="B29" s="110" t="s">
        <v>4</v>
      </c>
      <c r="C29" s="6" t="s">
        <v>20</v>
      </c>
      <c r="D29" s="208">
        <v>5433.01</v>
      </c>
      <c r="E29" s="246">
        <v>2000</v>
      </c>
      <c r="F29" s="73"/>
    </row>
    <row r="30" spans="2:7">
      <c r="B30" s="110" t="s">
        <v>6</v>
      </c>
      <c r="C30" s="6" t="s">
        <v>21</v>
      </c>
      <c r="D30" s="208"/>
      <c r="E30" s="246"/>
      <c r="F30" s="73"/>
    </row>
    <row r="31" spans="2:7">
      <c r="B31" s="110" t="s">
        <v>8</v>
      </c>
      <c r="C31" s="6" t="s">
        <v>22</v>
      </c>
      <c r="D31" s="208">
        <v>728314.83</v>
      </c>
      <c r="E31" s="246">
        <v>526018.61</v>
      </c>
      <c r="F31" s="73"/>
    </row>
    <row r="32" spans="2:7">
      <c r="B32" s="97" t="s">
        <v>23</v>
      </c>
      <c r="C32" s="12" t="s">
        <v>24</v>
      </c>
      <c r="D32" s="207">
        <v>7770038.1199999992</v>
      </c>
      <c r="E32" s="244">
        <f>SUM(E33:E39)</f>
        <v>6441792.5499999989</v>
      </c>
      <c r="F32" s="73"/>
    </row>
    <row r="33" spans="2:6">
      <c r="B33" s="110" t="s">
        <v>4</v>
      </c>
      <c r="C33" s="6" t="s">
        <v>25</v>
      </c>
      <c r="D33" s="208">
        <v>5087834.04</v>
      </c>
      <c r="E33" s="246">
        <f>5634471.17+8073.21</f>
        <v>5642544.3799999999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17530.55</v>
      </c>
      <c r="E35" s="246">
        <v>15109.6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413154.27</v>
      </c>
      <c r="E37" s="246">
        <v>327119.18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2251519.2599999998</v>
      </c>
      <c r="E39" s="248">
        <v>457019.39</v>
      </c>
      <c r="F39" s="73"/>
    </row>
    <row r="40" spans="2:6" ht="13.5" thickBot="1">
      <c r="B40" s="103" t="s">
        <v>35</v>
      </c>
      <c r="C40" s="104" t="s">
        <v>36</v>
      </c>
      <c r="D40" s="210">
        <v>2627719.41</v>
      </c>
      <c r="E40" s="275">
        <v>1013815.83</v>
      </c>
    </row>
    <row r="41" spans="2:6" ht="13.5" thickBot="1">
      <c r="B41" s="105" t="s">
        <v>37</v>
      </c>
      <c r="C41" s="106" t="s">
        <v>38</v>
      </c>
      <c r="D41" s="211">
        <v>40971319.120000005</v>
      </c>
      <c r="E41" s="154">
        <f>E26+E27+E40</f>
        <v>32257647.130000003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366500.28830000001</v>
      </c>
      <c r="E47" s="75">
        <v>264866.79619999998</v>
      </c>
    </row>
    <row r="48" spans="2:6">
      <c r="B48" s="129" t="s">
        <v>6</v>
      </c>
      <c r="C48" s="23" t="s">
        <v>41</v>
      </c>
      <c r="D48" s="213">
        <v>311965.7156</v>
      </c>
      <c r="E48" s="75">
        <v>222945.76572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123.819520583572</v>
      </c>
      <c r="E50" s="75">
        <v>140.28789478624401</v>
      </c>
    </row>
    <row r="51" spans="2:5">
      <c r="B51" s="108" t="s">
        <v>6</v>
      </c>
      <c r="C51" s="16" t="s">
        <v>195</v>
      </c>
      <c r="D51" s="280">
        <v>123.81950000000001</v>
      </c>
      <c r="E51" s="282">
        <v>135.80860000000001</v>
      </c>
    </row>
    <row r="52" spans="2:5" ht="12" customHeight="1">
      <c r="B52" s="108" t="s">
        <v>8</v>
      </c>
      <c r="C52" s="16" t="s">
        <v>196</v>
      </c>
      <c r="D52" s="280">
        <v>134.79929999999999</v>
      </c>
      <c r="E52" s="282">
        <v>149.435</v>
      </c>
    </row>
    <row r="53" spans="2:5" ht="13.5" thickBot="1">
      <c r="B53" s="109" t="s">
        <v>9</v>
      </c>
      <c r="C53" s="18" t="s">
        <v>41</v>
      </c>
      <c r="D53" s="216">
        <v>131.33276213125001</v>
      </c>
      <c r="E53" s="281">
        <v>144.688314785204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32256999.120000001</v>
      </c>
      <c r="E58" s="33">
        <f>D58/E21</f>
        <v>0.99997991143007459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v>30401656.620000001</v>
      </c>
      <c r="E64" s="83">
        <f>D64/E21</f>
        <v>0.94246354972759594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1855317.08+25.42</f>
        <v>1855342.5</v>
      </c>
      <c r="E69" s="81">
        <f>D69/E21</f>
        <v>5.751636170247857E-2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55.3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9243.07</v>
      </c>
      <c r="E72" s="125">
        <f>D72/E21</f>
        <v>2.8653887751794001E-4</v>
      </c>
    </row>
    <row r="73" spans="2:5">
      <c r="B73" s="24" t="s">
        <v>62</v>
      </c>
      <c r="C73" s="25" t="s">
        <v>65</v>
      </c>
      <c r="D73" s="26">
        <f>E17</f>
        <v>8650.36</v>
      </c>
      <c r="E73" s="27">
        <f>D73/E21</f>
        <v>2.6816462977409972E-4</v>
      </c>
    </row>
    <row r="74" spans="2:5">
      <c r="B74" s="126" t="s">
        <v>64</v>
      </c>
      <c r="C74" s="127" t="s">
        <v>66</v>
      </c>
      <c r="D74" s="128">
        <f>D58+D71+D72-D73</f>
        <v>32257647.130000003</v>
      </c>
      <c r="E74" s="68">
        <f>E58+E72-E73</f>
        <v>0.99999828567781834</v>
      </c>
    </row>
    <row r="75" spans="2:5">
      <c r="B75" s="15" t="s">
        <v>4</v>
      </c>
      <c r="C75" s="16" t="s">
        <v>67</v>
      </c>
      <c r="D75" s="80">
        <f>E21-D76</f>
        <v>25809633.450000003</v>
      </c>
      <c r="E75" s="81">
        <f>D75/E21</f>
        <v>0.80010898953621234</v>
      </c>
    </row>
    <row r="76" spans="2:5">
      <c r="B76" s="15" t="s">
        <v>6</v>
      </c>
      <c r="C76" s="16" t="s">
        <v>200</v>
      </c>
      <c r="D76" s="80">
        <v>6448013.6799999997</v>
      </c>
      <c r="E76" s="81">
        <f>D76/E21</f>
        <v>0.19989101046378763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135</v>
      </c>
      <c r="C6" s="311"/>
      <c r="D6" s="311"/>
      <c r="E6" s="311"/>
    </row>
    <row r="7" spans="2:5" ht="14.25">
      <c r="B7" s="151"/>
      <c r="C7" s="151"/>
      <c r="D7" s="151"/>
      <c r="E7" s="15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5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150486.65</v>
      </c>
      <c r="E11" s="9">
        <f>E12</f>
        <v>147326.44</v>
      </c>
    </row>
    <row r="12" spans="2:5">
      <c r="B12" s="180" t="s">
        <v>4</v>
      </c>
      <c r="C12" s="181" t="s">
        <v>5</v>
      </c>
      <c r="D12" s="235">
        <v>150486.65</v>
      </c>
      <c r="E12" s="87">
        <v>147326.44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150486.65</v>
      </c>
      <c r="E21" s="154">
        <f>E11</f>
        <v>147326.44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144698.82</v>
      </c>
      <c r="E26" s="274">
        <f>D21</f>
        <v>150486.65</v>
      </c>
    </row>
    <row r="27" spans="2:6">
      <c r="B27" s="10" t="s">
        <v>17</v>
      </c>
      <c r="C27" s="11" t="s">
        <v>192</v>
      </c>
      <c r="D27" s="207">
        <v>9421.7099999999991</v>
      </c>
      <c r="E27" s="243">
        <f>E28-E32</f>
        <v>3866.9400000000005</v>
      </c>
      <c r="F27" s="73"/>
    </row>
    <row r="28" spans="2:6">
      <c r="B28" s="10" t="s">
        <v>18</v>
      </c>
      <c r="C28" s="11" t="s">
        <v>19</v>
      </c>
      <c r="D28" s="207">
        <v>48368.01</v>
      </c>
      <c r="E28" s="244">
        <f>SUM(E29:E31)</f>
        <v>5088.1400000000003</v>
      </c>
      <c r="F28" s="73"/>
    </row>
    <row r="29" spans="2:6">
      <c r="B29" s="188" t="s">
        <v>4</v>
      </c>
      <c r="C29" s="181" t="s">
        <v>20</v>
      </c>
      <c r="D29" s="208">
        <v>6313.08</v>
      </c>
      <c r="E29" s="246">
        <v>5088.1400000000003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42054.93</v>
      </c>
      <c r="E31" s="246"/>
      <c r="F31" s="73"/>
    </row>
    <row r="32" spans="2:6">
      <c r="B32" s="97" t="s">
        <v>23</v>
      </c>
      <c r="C32" s="12" t="s">
        <v>24</v>
      </c>
      <c r="D32" s="207">
        <v>38946.300000000003</v>
      </c>
      <c r="E32" s="244">
        <f>SUM(E33:E39)</f>
        <v>1221.1999999999998</v>
      </c>
      <c r="F32" s="73"/>
    </row>
    <row r="33" spans="2:6">
      <c r="B33" s="188" t="s">
        <v>4</v>
      </c>
      <c r="C33" s="181" t="s">
        <v>25</v>
      </c>
      <c r="D33" s="208">
        <v>544.65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296.93</v>
      </c>
      <c r="E35" s="246">
        <v>296.73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1056.47</v>
      </c>
      <c r="E37" s="246">
        <v>917.18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37048.25</v>
      </c>
      <c r="E39" s="248">
        <v>7.29</v>
      </c>
      <c r="F39" s="73"/>
    </row>
    <row r="40" spans="2:6" ht="13.5" thickBot="1">
      <c r="B40" s="103" t="s">
        <v>35</v>
      </c>
      <c r="C40" s="104" t="s">
        <v>36</v>
      </c>
      <c r="D40" s="210">
        <v>13789.71</v>
      </c>
      <c r="E40" s="275">
        <v>-7027.15</v>
      </c>
    </row>
    <row r="41" spans="2:6" ht="13.5" thickBot="1">
      <c r="B41" s="105" t="s">
        <v>37</v>
      </c>
      <c r="C41" s="106" t="s">
        <v>38</v>
      </c>
      <c r="D41" s="211">
        <v>167910.24</v>
      </c>
      <c r="E41" s="154">
        <f>E26+E27+E40</f>
        <v>147326.44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472.65570000000002</v>
      </c>
      <c r="E47" s="75">
        <v>444.59539999999998</v>
      </c>
    </row>
    <row r="48" spans="2:6">
      <c r="B48" s="129" t="s">
        <v>6</v>
      </c>
      <c r="C48" s="23" t="s">
        <v>41</v>
      </c>
      <c r="D48" s="213">
        <v>502.10890000000001</v>
      </c>
      <c r="E48" s="155">
        <v>456.11900000000003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306.14</v>
      </c>
      <c r="E50" s="77">
        <v>338.48</v>
      </c>
    </row>
    <row r="51" spans="2:5">
      <c r="B51" s="108" t="s">
        <v>6</v>
      </c>
      <c r="C51" s="16" t="s">
        <v>195</v>
      </c>
      <c r="D51" s="215">
        <v>306.14</v>
      </c>
      <c r="E51" s="77">
        <v>323</v>
      </c>
    </row>
    <row r="52" spans="2:5">
      <c r="B52" s="108" t="s">
        <v>8</v>
      </c>
      <c r="C52" s="16" t="s">
        <v>196</v>
      </c>
      <c r="D52" s="215">
        <v>339.12</v>
      </c>
      <c r="E52" s="77">
        <v>350.65</v>
      </c>
    </row>
    <row r="53" spans="2:5" ht="13.5" customHeight="1" thickBot="1">
      <c r="B53" s="109" t="s">
        <v>9</v>
      </c>
      <c r="C53" s="18" t="s">
        <v>41</v>
      </c>
      <c r="D53" s="216">
        <v>334.41</v>
      </c>
      <c r="E53" s="281">
        <v>323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147326.44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147326.44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147326.44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147326.44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138</v>
      </c>
      <c r="C6" s="311"/>
      <c r="D6" s="311"/>
      <c r="E6" s="311"/>
    </row>
    <row r="7" spans="2:5" ht="14.25">
      <c r="B7" s="151"/>
      <c r="C7" s="151"/>
      <c r="D7" s="151"/>
      <c r="E7" s="15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5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22242.32</v>
      </c>
      <c r="E11" s="9">
        <f>E12</f>
        <v>22250.51</v>
      </c>
    </row>
    <row r="12" spans="2:5">
      <c r="B12" s="180" t="s">
        <v>4</v>
      </c>
      <c r="C12" s="181" t="s">
        <v>5</v>
      </c>
      <c r="D12" s="235">
        <v>22242.32</v>
      </c>
      <c r="E12" s="87">
        <v>22250.51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22242.32</v>
      </c>
      <c r="E21" s="154">
        <f>E11</f>
        <v>22250.51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17081.25</v>
      </c>
      <c r="E26" s="274">
        <f>D21</f>
        <v>22242.32</v>
      </c>
    </row>
    <row r="27" spans="2:6">
      <c r="B27" s="10" t="s">
        <v>17</v>
      </c>
      <c r="C27" s="11" t="s">
        <v>192</v>
      </c>
      <c r="D27" s="207">
        <v>-136.43</v>
      </c>
      <c r="E27" s="243">
        <f>E28-E32</f>
        <v>-267.2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136.43</v>
      </c>
      <c r="E32" s="244">
        <f>SUM(E33:E39)</f>
        <v>267.2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23.05</v>
      </c>
      <c r="E35" s="246">
        <v>40.18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113.38</v>
      </c>
      <c r="E37" s="246">
        <v>227.02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198.54</v>
      </c>
      <c r="E40" s="275">
        <v>275.39</v>
      </c>
    </row>
    <row r="41" spans="2:6" ht="13.5" thickBot="1">
      <c r="B41" s="105" t="s">
        <v>37</v>
      </c>
      <c r="C41" s="106" t="s">
        <v>38</v>
      </c>
      <c r="D41" s="211">
        <v>17143.36</v>
      </c>
      <c r="E41" s="154">
        <f>E26+E27+E40</f>
        <v>22250.51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145.47139999999999</v>
      </c>
      <c r="E47" s="75">
        <v>184.96729999999999</v>
      </c>
    </row>
    <row r="48" spans="2:6">
      <c r="B48" s="129" t="s">
        <v>6</v>
      </c>
      <c r="C48" s="23" t="s">
        <v>41</v>
      </c>
      <c r="D48" s="213">
        <v>144.31649999999999</v>
      </c>
      <c r="E48" s="155">
        <v>182.75569999999999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117.42</v>
      </c>
      <c r="E50" s="77">
        <v>120.25</v>
      </c>
    </row>
    <row r="51" spans="2:5">
      <c r="B51" s="108" t="s">
        <v>6</v>
      </c>
      <c r="C51" s="16" t="s">
        <v>195</v>
      </c>
      <c r="D51" s="215">
        <v>117.42</v>
      </c>
      <c r="E51" s="77">
        <v>120.25</v>
      </c>
    </row>
    <row r="52" spans="2:5">
      <c r="B52" s="108" t="s">
        <v>8</v>
      </c>
      <c r="C52" s="16" t="s">
        <v>196</v>
      </c>
      <c r="D52" s="215">
        <v>118.79</v>
      </c>
      <c r="E52" s="77">
        <v>121.75</v>
      </c>
    </row>
    <row r="53" spans="2:5" ht="13.5" customHeight="1" thickBot="1">
      <c r="B53" s="109" t="s">
        <v>9</v>
      </c>
      <c r="C53" s="18" t="s">
        <v>41</v>
      </c>
      <c r="D53" s="216">
        <v>118.79</v>
      </c>
      <c r="E53" s="281">
        <v>121.75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22250.51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22250.51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22250.51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22250.51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168</v>
      </c>
      <c r="C6" s="311"/>
      <c r="D6" s="311"/>
      <c r="E6" s="311"/>
    </row>
    <row r="7" spans="2:5" ht="14.25">
      <c r="B7" s="151"/>
      <c r="C7" s="151"/>
      <c r="D7" s="151"/>
      <c r="E7" s="15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5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596963.11</v>
      </c>
      <c r="E11" s="9">
        <f>E12</f>
        <v>284796.93</v>
      </c>
    </row>
    <row r="12" spans="2:5">
      <c r="B12" s="180" t="s">
        <v>4</v>
      </c>
      <c r="C12" s="181" t="s">
        <v>5</v>
      </c>
      <c r="D12" s="235">
        <v>596963.11</v>
      </c>
      <c r="E12" s="87">
        <v>284796.93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596963.11</v>
      </c>
      <c r="E21" s="154">
        <f>E11</f>
        <v>284796.93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932848.72</v>
      </c>
      <c r="E26" s="274">
        <f>D21</f>
        <v>596963.11</v>
      </c>
    </row>
    <row r="27" spans="2:6">
      <c r="B27" s="10" t="s">
        <v>17</v>
      </c>
      <c r="C27" s="11" t="s">
        <v>192</v>
      </c>
      <c r="D27" s="207">
        <v>-305457.95999999996</v>
      </c>
      <c r="E27" s="243">
        <f>E28-E32</f>
        <v>-295638.79000000004</v>
      </c>
      <c r="F27" s="73"/>
    </row>
    <row r="28" spans="2:6">
      <c r="B28" s="10" t="s">
        <v>18</v>
      </c>
      <c r="C28" s="11" t="s">
        <v>19</v>
      </c>
      <c r="D28" s="207">
        <v>726.82</v>
      </c>
      <c r="E28" s="244">
        <f>SUM(E29:E31)</f>
        <v>748.63</v>
      </c>
      <c r="F28" s="73"/>
    </row>
    <row r="29" spans="2:6">
      <c r="B29" s="188" t="s">
        <v>4</v>
      </c>
      <c r="C29" s="181" t="s">
        <v>20</v>
      </c>
      <c r="D29" s="208">
        <v>726.82</v>
      </c>
      <c r="E29" s="246">
        <v>748.63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306184.77999999997</v>
      </c>
      <c r="E32" s="244">
        <f>SUM(E33:E39)</f>
        <v>296387.42000000004</v>
      </c>
      <c r="F32" s="73"/>
    </row>
    <row r="33" spans="2:6">
      <c r="B33" s="188" t="s">
        <v>4</v>
      </c>
      <c r="C33" s="181" t="s">
        <v>25</v>
      </c>
      <c r="D33" s="208">
        <v>272294.86</v>
      </c>
      <c r="E33" s="246">
        <v>293233.82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14.7</v>
      </c>
      <c r="E35" s="246">
        <v>12.01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6753.55</v>
      </c>
      <c r="E37" s="246">
        <v>3141.59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27121.67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-10907.4</v>
      </c>
      <c r="E40" s="275">
        <v>-16527.39</v>
      </c>
    </row>
    <row r="41" spans="2:6" ht="13.5" thickBot="1">
      <c r="B41" s="105" t="s">
        <v>37</v>
      </c>
      <c r="C41" s="106" t="s">
        <v>38</v>
      </c>
      <c r="D41" s="211">
        <v>616483.36</v>
      </c>
      <c r="E41" s="154">
        <f>E26+E27+E40</f>
        <v>284796.92999999993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4616.6917000000003</v>
      </c>
      <c r="E47" s="75">
        <v>3052.4268000000002</v>
      </c>
    </row>
    <row r="48" spans="2:6">
      <c r="B48" s="129" t="s">
        <v>6</v>
      </c>
      <c r="C48" s="23" t="s">
        <v>41</v>
      </c>
      <c r="D48" s="213">
        <v>3072.2782999999999</v>
      </c>
      <c r="E48" s="155">
        <v>1533.3922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202.06</v>
      </c>
      <c r="E50" s="77">
        <v>195.57</v>
      </c>
    </row>
    <row r="51" spans="2:5">
      <c r="B51" s="108" t="s">
        <v>6</v>
      </c>
      <c r="C51" s="16" t="s">
        <v>195</v>
      </c>
      <c r="D51" s="215">
        <v>194.19</v>
      </c>
      <c r="E51" s="77">
        <v>182.53</v>
      </c>
    </row>
    <row r="52" spans="2:5">
      <c r="B52" s="108" t="s">
        <v>8</v>
      </c>
      <c r="C52" s="16" t="s">
        <v>196</v>
      </c>
      <c r="D52" s="215">
        <v>203.18</v>
      </c>
      <c r="E52" s="77">
        <v>197.07</v>
      </c>
    </row>
    <row r="53" spans="2:5" ht="13.5" customHeight="1" thickBot="1">
      <c r="B53" s="109" t="s">
        <v>9</v>
      </c>
      <c r="C53" s="18" t="s">
        <v>41</v>
      </c>
      <c r="D53" s="216">
        <v>200.66</v>
      </c>
      <c r="E53" s="281">
        <v>185.73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284796.93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284796.93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284796.93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284796.93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F81"/>
  <sheetViews>
    <sheetView topLeftCell="A13"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133</v>
      </c>
      <c r="C6" s="311"/>
      <c r="D6" s="311"/>
      <c r="E6" s="311"/>
    </row>
    <row r="7" spans="2:5" ht="14.25">
      <c r="B7" s="151"/>
      <c r="C7" s="151"/>
      <c r="D7" s="151"/>
      <c r="E7" s="15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5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75258.92</v>
      </c>
      <c r="E11" s="9">
        <f>E12</f>
        <v>32128.71</v>
      </c>
    </row>
    <row r="12" spans="2:5">
      <c r="B12" s="180" t="s">
        <v>4</v>
      </c>
      <c r="C12" s="181" t="s">
        <v>5</v>
      </c>
      <c r="D12" s="235">
        <v>75258.92</v>
      </c>
      <c r="E12" s="87">
        <v>32128.71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75258.92</v>
      </c>
      <c r="E21" s="154">
        <f>E11</f>
        <v>32128.71</v>
      </c>
      <c r="F21" s="79"/>
    </row>
    <row r="22" spans="2:6">
      <c r="B22" s="3"/>
      <c r="C22" s="7"/>
      <c r="D22" s="8"/>
      <c r="E22" s="230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65369.14</v>
      </c>
      <c r="E26" s="274">
        <f>D21</f>
        <v>75258.92</v>
      </c>
    </row>
    <row r="27" spans="2:6">
      <c r="B27" s="10" t="s">
        <v>17</v>
      </c>
      <c r="C27" s="11" t="s">
        <v>192</v>
      </c>
      <c r="D27" s="207">
        <v>1813.67</v>
      </c>
      <c r="E27" s="243">
        <f>E28-E32</f>
        <v>-43021.94999999999</v>
      </c>
      <c r="F27" s="73"/>
    </row>
    <row r="28" spans="2:6">
      <c r="B28" s="10" t="s">
        <v>18</v>
      </c>
      <c r="C28" s="11" t="s">
        <v>19</v>
      </c>
      <c r="D28" s="207">
        <v>2362.44</v>
      </c>
      <c r="E28" s="244">
        <f>SUM(E29:E31)</f>
        <v>2451.44</v>
      </c>
      <c r="F28" s="73"/>
    </row>
    <row r="29" spans="2:6">
      <c r="B29" s="188" t="s">
        <v>4</v>
      </c>
      <c r="C29" s="181" t="s">
        <v>20</v>
      </c>
      <c r="D29" s="208">
        <v>2362.44</v>
      </c>
      <c r="E29" s="246">
        <v>2451.44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548.77</v>
      </c>
      <c r="E32" s="244">
        <f>SUM(E33:E39)</f>
        <v>45473.389999999992</v>
      </c>
      <c r="F32" s="73"/>
    </row>
    <row r="33" spans="2:6">
      <c r="B33" s="188" t="s">
        <v>4</v>
      </c>
      <c r="C33" s="181" t="s">
        <v>25</v>
      </c>
      <c r="D33" s="208"/>
      <c r="E33" s="246">
        <v>45025.59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56.42</v>
      </c>
      <c r="E35" s="246">
        <v>45.92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492.35</v>
      </c>
      <c r="E37" s="246">
        <v>401.88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4442.32</v>
      </c>
      <c r="E40" s="275">
        <v>-108.26</v>
      </c>
    </row>
    <row r="41" spans="2:6" ht="13.5" thickBot="1">
      <c r="B41" s="105" t="s">
        <v>37</v>
      </c>
      <c r="C41" s="106" t="s">
        <v>38</v>
      </c>
      <c r="D41" s="211">
        <v>71625.13</v>
      </c>
      <c r="E41" s="154">
        <f>E26+E27+E40</f>
        <v>32128.71000000001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393.6003</v>
      </c>
      <c r="E47" s="75">
        <v>414.3073</v>
      </c>
    </row>
    <row r="48" spans="2:6">
      <c r="B48" s="129" t="s">
        <v>6</v>
      </c>
      <c r="C48" s="23" t="s">
        <v>41</v>
      </c>
      <c r="D48" s="213">
        <v>404.09100000000001</v>
      </c>
      <c r="E48" s="155">
        <v>182.0736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166.08</v>
      </c>
      <c r="E50" s="77">
        <v>181.65</v>
      </c>
    </row>
    <row r="51" spans="2:5">
      <c r="B51" s="108" t="s">
        <v>6</v>
      </c>
      <c r="C51" s="16" t="s">
        <v>195</v>
      </c>
      <c r="D51" s="215">
        <v>165.92</v>
      </c>
      <c r="E51" s="77">
        <v>176.42</v>
      </c>
    </row>
    <row r="52" spans="2:5">
      <c r="B52" s="108" t="s">
        <v>8</v>
      </c>
      <c r="C52" s="16" t="s">
        <v>196</v>
      </c>
      <c r="D52" s="215">
        <v>178.23</v>
      </c>
      <c r="E52" s="77">
        <v>185.64</v>
      </c>
    </row>
    <row r="53" spans="2:5" ht="13.5" customHeight="1" thickBot="1">
      <c r="B53" s="109" t="s">
        <v>9</v>
      </c>
      <c r="C53" s="18" t="s">
        <v>41</v>
      </c>
      <c r="D53" s="216">
        <v>177.25</v>
      </c>
      <c r="E53" s="281">
        <v>176.46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32128.71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32128.71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32128.71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32128.71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1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270</v>
      </c>
      <c r="C6" s="311"/>
      <c r="D6" s="311"/>
      <c r="E6" s="311"/>
    </row>
    <row r="7" spans="2:7" ht="14.25">
      <c r="B7" s="151"/>
      <c r="C7" s="151"/>
      <c r="D7" s="151"/>
      <c r="E7" s="151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2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0</v>
      </c>
      <c r="E11" s="9">
        <f>E12</f>
        <v>0</v>
      </c>
    </row>
    <row r="12" spans="2:7">
      <c r="B12" s="180" t="s">
        <v>4</v>
      </c>
      <c r="C12" s="181" t="s">
        <v>5</v>
      </c>
      <c r="D12" s="235"/>
      <c r="E12" s="87"/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0</v>
      </c>
      <c r="E21" s="154">
        <f>E11</f>
        <v>0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485575.32</v>
      </c>
      <c r="E26" s="274">
        <f>D21</f>
        <v>0</v>
      </c>
    </row>
    <row r="27" spans="2:6">
      <c r="B27" s="10" t="s">
        <v>17</v>
      </c>
      <c r="C27" s="11" t="s">
        <v>192</v>
      </c>
      <c r="D27" s="207">
        <v>-485430.05</v>
      </c>
      <c r="E27" s="243">
        <f>E28-E32</f>
        <v>0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485430.05</v>
      </c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250.27</v>
      </c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916.42</v>
      </c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484263.36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-145.27000000000001</v>
      </c>
      <c r="E40" s="275">
        <v>0</v>
      </c>
    </row>
    <row r="41" spans="2:6" ht="13.5" thickBot="1">
      <c r="B41" s="105" t="s">
        <v>37</v>
      </c>
      <c r="C41" s="106" t="s">
        <v>38</v>
      </c>
      <c r="D41" s="211">
        <v>0</v>
      </c>
      <c r="E41" s="154">
        <v>0</v>
      </c>
      <c r="F41" s="79"/>
    </row>
    <row r="42" spans="2:6">
      <c r="B42" s="99"/>
      <c r="C42" s="99"/>
      <c r="D42" s="100"/>
      <c r="E42" s="231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4851.3869999999997</v>
      </c>
      <c r="E47" s="75"/>
    </row>
    <row r="48" spans="2:6">
      <c r="B48" s="129" t="s">
        <v>6</v>
      </c>
      <c r="C48" s="23" t="s">
        <v>41</v>
      </c>
      <c r="D48" s="213"/>
      <c r="E48" s="155"/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100.09</v>
      </c>
      <c r="E50" s="77"/>
    </row>
    <row r="51" spans="2:5">
      <c r="B51" s="108" t="s">
        <v>6</v>
      </c>
      <c r="C51" s="16" t="s">
        <v>195</v>
      </c>
      <c r="D51" s="215">
        <v>100.06</v>
      </c>
      <c r="E51" s="77"/>
    </row>
    <row r="52" spans="2:5">
      <c r="B52" s="108" t="s">
        <v>8</v>
      </c>
      <c r="C52" s="16" t="s">
        <v>196</v>
      </c>
      <c r="D52" s="215">
        <v>100.09</v>
      </c>
      <c r="E52" s="77"/>
    </row>
    <row r="53" spans="2:5" ht="12.75" customHeight="1" thickBot="1">
      <c r="B53" s="109" t="s">
        <v>9</v>
      </c>
      <c r="C53" s="18" t="s">
        <v>41</v>
      </c>
      <c r="D53" s="216"/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0</v>
      </c>
      <c r="E64" s="83">
        <f>E58</f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999999999999995" right="0.75" top="0.61" bottom="0.49" header="0.5" footer="0.5"/>
  <pageSetup paperSize="9" scale="70" orientation="portrait" r:id="rId1"/>
  <headerFooter alignWithMargins="0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172</v>
      </c>
      <c r="C6" s="311"/>
      <c r="D6" s="311"/>
      <c r="E6" s="311"/>
    </row>
    <row r="7" spans="2:7" ht="14.25">
      <c r="B7" s="151"/>
      <c r="C7" s="151"/>
      <c r="D7" s="151"/>
      <c r="E7" s="151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2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1769900.47</v>
      </c>
      <c r="E11" s="9">
        <f>E12</f>
        <v>1486286.13</v>
      </c>
    </row>
    <row r="12" spans="2:7">
      <c r="B12" s="180" t="s">
        <v>4</v>
      </c>
      <c r="C12" s="181" t="s">
        <v>5</v>
      </c>
      <c r="D12" s="235">
        <v>1769900.47</v>
      </c>
      <c r="E12" s="87">
        <f>1490086.15-3800.02</f>
        <v>1486286.13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1769900.47</v>
      </c>
      <c r="E21" s="154">
        <f>E11</f>
        <v>1486286.13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1978121.52</v>
      </c>
      <c r="E26" s="274">
        <f>D21</f>
        <v>1769900.47</v>
      </c>
    </row>
    <row r="27" spans="2:6">
      <c r="B27" s="10" t="s">
        <v>17</v>
      </c>
      <c r="C27" s="11" t="s">
        <v>192</v>
      </c>
      <c r="D27" s="207">
        <v>-302606.36000000004</v>
      </c>
      <c r="E27" s="243">
        <f>E28-E32</f>
        <v>-257410.74000000002</v>
      </c>
      <c r="F27" s="73"/>
    </row>
    <row r="28" spans="2:6">
      <c r="B28" s="10" t="s">
        <v>18</v>
      </c>
      <c r="C28" s="11" t="s">
        <v>19</v>
      </c>
      <c r="D28" s="207">
        <v>483134.04</v>
      </c>
      <c r="E28" s="244">
        <f>SUM(E29:E31)</f>
        <v>39653.72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483134.04</v>
      </c>
      <c r="E31" s="246">
        <v>39653.72</v>
      </c>
      <c r="F31" s="73"/>
    </row>
    <row r="32" spans="2:6">
      <c r="B32" s="97" t="s">
        <v>23</v>
      </c>
      <c r="C32" s="12" t="s">
        <v>24</v>
      </c>
      <c r="D32" s="207">
        <v>785740.4</v>
      </c>
      <c r="E32" s="244">
        <f>SUM(E33:E39)</f>
        <v>297064.46000000002</v>
      </c>
      <c r="F32" s="73"/>
    </row>
    <row r="33" spans="2:6">
      <c r="B33" s="188" t="s">
        <v>4</v>
      </c>
      <c r="C33" s="181" t="s">
        <v>25</v>
      </c>
      <c r="D33" s="208">
        <v>365401.9</v>
      </c>
      <c r="E33" s="246">
        <f>239059.89+3800.02</f>
        <v>242859.91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3819.55</v>
      </c>
      <c r="E35" s="246">
        <v>1902.06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16070.74</v>
      </c>
      <c r="E37" s="246">
        <v>12655.13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400448.21</v>
      </c>
      <c r="E39" s="248">
        <v>39647.360000000001</v>
      </c>
      <c r="F39" s="73"/>
    </row>
    <row r="40" spans="2:6" ht="13.5" thickBot="1">
      <c r="B40" s="103" t="s">
        <v>35</v>
      </c>
      <c r="C40" s="104" t="s">
        <v>36</v>
      </c>
      <c r="D40" s="210">
        <v>72102</v>
      </c>
      <c r="E40" s="275">
        <v>-26203.599999999999</v>
      </c>
    </row>
    <row r="41" spans="2:6" ht="13.5" thickBot="1">
      <c r="B41" s="105" t="s">
        <v>37</v>
      </c>
      <c r="C41" s="106" t="s">
        <v>38</v>
      </c>
      <c r="D41" s="211">
        <v>1747617.16</v>
      </c>
      <c r="E41" s="154">
        <f>E26+E27+E40</f>
        <v>1486286.13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13344.947200000001</v>
      </c>
      <c r="E47" s="75">
        <v>11323.7394</v>
      </c>
    </row>
    <row r="48" spans="2:6">
      <c r="B48" s="129" t="s">
        <v>6</v>
      </c>
      <c r="C48" s="23" t="s">
        <v>41</v>
      </c>
      <c r="D48" s="213">
        <v>11380.679599999999</v>
      </c>
      <c r="E48" s="155">
        <v>9670.0463999999993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148.22999999999999</v>
      </c>
      <c r="E50" s="77">
        <v>156.30000000000001</v>
      </c>
    </row>
    <row r="51" spans="2:5">
      <c r="B51" s="108" t="s">
        <v>6</v>
      </c>
      <c r="C51" s="16" t="s">
        <v>195</v>
      </c>
      <c r="D51" s="215">
        <v>145.79</v>
      </c>
      <c r="E51" s="77">
        <v>153.30000000000001</v>
      </c>
    </row>
    <row r="52" spans="2:5">
      <c r="B52" s="108" t="s">
        <v>8</v>
      </c>
      <c r="C52" s="16" t="s">
        <v>196</v>
      </c>
      <c r="D52" s="215">
        <v>154.51</v>
      </c>
      <c r="E52" s="77">
        <v>158</v>
      </c>
    </row>
    <row r="53" spans="2:5" ht="13.5" customHeight="1" thickBot="1">
      <c r="B53" s="109" t="s">
        <v>9</v>
      </c>
      <c r="C53" s="18" t="s">
        <v>41</v>
      </c>
      <c r="D53" s="216">
        <v>153.56</v>
      </c>
      <c r="E53" s="281">
        <v>153.69999999999999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1486286.13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1486286.13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1486286.13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1486286.13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274</v>
      </c>
      <c r="C6" s="311"/>
      <c r="D6" s="311"/>
      <c r="E6" s="311"/>
    </row>
    <row r="7" spans="2:7" ht="14.25">
      <c r="B7" s="228"/>
      <c r="C7" s="228"/>
      <c r="D7" s="228"/>
      <c r="E7" s="228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229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0</v>
      </c>
      <c r="E11" s="9">
        <f>E12</f>
        <v>126583.19</v>
      </c>
    </row>
    <row r="12" spans="2:7">
      <c r="B12" s="180" t="s">
        <v>4</v>
      </c>
      <c r="C12" s="181" t="s">
        <v>5</v>
      </c>
      <c r="D12" s="235"/>
      <c r="E12" s="87">
        <v>126583.19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0</v>
      </c>
      <c r="E21" s="154">
        <f>E11</f>
        <v>126583.19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9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/>
      <c r="E26" s="274">
        <f>D21</f>
        <v>0</v>
      </c>
    </row>
    <row r="27" spans="2:6">
      <c r="B27" s="10" t="s">
        <v>17</v>
      </c>
      <c r="C27" s="11" t="s">
        <v>192</v>
      </c>
      <c r="D27" s="207"/>
      <c r="E27" s="243">
        <f>E28-E32</f>
        <v>143416.19</v>
      </c>
      <c r="F27" s="73"/>
    </row>
    <row r="28" spans="2:6">
      <c r="B28" s="10" t="s">
        <v>18</v>
      </c>
      <c r="C28" s="11" t="s">
        <v>19</v>
      </c>
      <c r="D28" s="207"/>
      <c r="E28" s="244">
        <f>SUM(E29:E31)</f>
        <v>144145.78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144145.78</v>
      </c>
      <c r="F31" s="73"/>
    </row>
    <row r="32" spans="2:6">
      <c r="B32" s="97" t="s">
        <v>23</v>
      </c>
      <c r="C32" s="12" t="s">
        <v>24</v>
      </c>
      <c r="D32" s="207"/>
      <c r="E32" s="244">
        <f>SUM(E33:E39)</f>
        <v>729.59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>
        <v>729.59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/>
      <c r="E40" s="275">
        <v>-16833</v>
      </c>
    </row>
    <row r="41" spans="2:6" ht="13.5" thickBot="1">
      <c r="B41" s="105" t="s">
        <v>37</v>
      </c>
      <c r="C41" s="106" t="s">
        <v>38</v>
      </c>
      <c r="D41" s="211"/>
      <c r="E41" s="154">
        <f>E26+E27+E40</f>
        <v>126583.19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229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/>
      <c r="E47" s="75"/>
    </row>
    <row r="48" spans="2:6">
      <c r="B48" s="129" t="s">
        <v>6</v>
      </c>
      <c r="C48" s="23" t="s">
        <v>41</v>
      </c>
      <c r="D48" s="213"/>
      <c r="E48" s="155">
        <v>1173.9143999999999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/>
      <c r="E50" s="77"/>
    </row>
    <row r="51" spans="2:5">
      <c r="B51" s="108" t="s">
        <v>6</v>
      </c>
      <c r="C51" s="16" t="s">
        <v>195</v>
      </c>
      <c r="D51" s="215"/>
      <c r="E51" s="77">
        <v>107.83</v>
      </c>
    </row>
    <row r="52" spans="2:5">
      <c r="B52" s="108" t="s">
        <v>8</v>
      </c>
      <c r="C52" s="16" t="s">
        <v>196</v>
      </c>
      <c r="D52" s="215"/>
      <c r="E52" s="77">
        <v>122.27</v>
      </c>
    </row>
    <row r="53" spans="2:5" ht="12.75" customHeight="1" thickBot="1">
      <c r="B53" s="109" t="s">
        <v>9</v>
      </c>
      <c r="C53" s="18" t="s">
        <v>41</v>
      </c>
      <c r="D53" s="216"/>
      <c r="E53" s="281">
        <v>107.83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126583.19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126583.19</v>
      </c>
      <c r="E64" s="83">
        <f>E58</f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126583.19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126583.19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F49"/>
  <sheetViews>
    <sheetView tabSelected="1" workbookViewId="0">
      <selection activeCell="E18" sqref="E18"/>
    </sheetView>
  </sheetViews>
  <sheetFormatPr defaultRowHeight="12.75"/>
  <cols>
    <col min="3" max="3" width="13.85546875" customWidth="1"/>
    <col min="4" max="4" width="19" customWidth="1"/>
    <col min="5" max="5" width="16.7109375" customWidth="1"/>
    <col min="6" max="6" width="11.28515625" bestFit="1" customWidth="1"/>
  </cols>
  <sheetData>
    <row r="1" spans="1:6">
      <c r="A1" s="34"/>
      <c r="B1" s="35"/>
      <c r="C1" s="35" t="s">
        <v>93</v>
      </c>
      <c r="D1" s="36"/>
      <c r="E1" s="36"/>
      <c r="F1" s="36"/>
    </row>
    <row r="2" spans="1:6">
      <c r="A2" s="34"/>
      <c r="B2" s="35"/>
      <c r="C2" s="35" t="s">
        <v>94</v>
      </c>
      <c r="D2" s="36"/>
      <c r="E2" s="36"/>
      <c r="F2" s="36"/>
    </row>
    <row r="3" spans="1:6">
      <c r="A3" s="34"/>
      <c r="B3" s="35"/>
      <c r="C3" s="35" t="s">
        <v>95</v>
      </c>
      <c r="D3" s="36"/>
      <c r="E3" s="36"/>
      <c r="F3" s="36"/>
    </row>
    <row r="4" spans="1:6">
      <c r="A4" s="34"/>
      <c r="B4" s="35"/>
      <c r="C4" s="35" t="s">
        <v>96</v>
      </c>
      <c r="D4" s="36"/>
      <c r="E4" s="36"/>
      <c r="F4" s="36"/>
    </row>
    <row r="5" spans="1:6">
      <c r="A5" s="34"/>
      <c r="B5" s="35"/>
      <c r="C5" s="35" t="s">
        <v>275</v>
      </c>
      <c r="D5" s="36"/>
      <c r="E5" s="36"/>
      <c r="F5" s="36"/>
    </row>
    <row r="6" spans="1:6" ht="13.5" thickBot="1">
      <c r="A6" s="34"/>
      <c r="B6" s="35"/>
      <c r="C6" s="35"/>
      <c r="D6" s="36"/>
      <c r="E6" s="36"/>
      <c r="F6" s="36"/>
    </row>
    <row r="7" spans="1:6">
      <c r="A7" s="34"/>
      <c r="B7" s="37"/>
      <c r="C7" s="38"/>
      <c r="D7" s="39"/>
      <c r="E7" s="40"/>
      <c r="F7" s="41"/>
    </row>
    <row r="8" spans="1:6">
      <c r="A8" s="34"/>
      <c r="B8" s="42"/>
      <c r="C8" s="43"/>
      <c r="D8" s="44"/>
      <c r="E8" s="45"/>
      <c r="F8" s="41"/>
    </row>
    <row r="9" spans="1:6">
      <c r="A9" s="34"/>
      <c r="B9" s="42"/>
      <c r="C9" s="43"/>
      <c r="D9" s="44" t="s">
        <v>233</v>
      </c>
      <c r="E9" s="45" t="s">
        <v>232</v>
      </c>
      <c r="F9" s="41"/>
    </row>
    <row r="10" spans="1:6" ht="13.5" thickBot="1">
      <c r="A10" s="34"/>
      <c r="B10" s="46"/>
      <c r="C10" s="47"/>
      <c r="D10" s="48"/>
      <c r="E10" s="49"/>
      <c r="F10" s="41"/>
    </row>
    <row r="11" spans="1:6">
      <c r="A11" s="34"/>
      <c r="B11" s="42"/>
      <c r="C11" s="43"/>
      <c r="D11" s="44"/>
      <c r="E11" s="45"/>
      <c r="F11" s="161"/>
    </row>
    <row r="12" spans="1:6">
      <c r="A12" s="34"/>
      <c r="B12" s="42"/>
      <c r="C12" s="43"/>
      <c r="D12" s="50"/>
      <c r="E12" s="51"/>
      <c r="F12" s="161"/>
    </row>
    <row r="13" spans="1:6">
      <c r="A13" s="34"/>
      <c r="B13" s="52" t="s">
        <v>97</v>
      </c>
      <c r="C13" s="53"/>
      <c r="D13" s="54">
        <v>104612613.23</v>
      </c>
      <c r="E13" s="55">
        <v>90525578.849999994</v>
      </c>
      <c r="F13" s="161"/>
    </row>
    <row r="14" spans="1:6">
      <c r="A14" s="34"/>
      <c r="B14" s="52"/>
      <c r="C14" s="53"/>
      <c r="D14" s="56"/>
      <c r="E14" s="57"/>
      <c r="F14" s="161"/>
    </row>
    <row r="15" spans="1:6">
      <c r="A15" s="34"/>
      <c r="B15" s="52"/>
      <c r="C15" s="53"/>
      <c r="D15" s="56"/>
      <c r="E15" s="57"/>
      <c r="F15" s="41"/>
    </row>
    <row r="16" spans="1:6" ht="13.5" thickBot="1">
      <c r="A16" s="34"/>
      <c r="B16" s="52"/>
      <c r="C16" s="53"/>
      <c r="D16" s="56"/>
      <c r="E16" s="57"/>
      <c r="F16" s="41"/>
    </row>
    <row r="17" spans="1:6">
      <c r="A17" s="34"/>
      <c r="B17" s="58"/>
      <c r="C17" s="59"/>
      <c r="D17" s="60"/>
      <c r="E17" s="61"/>
      <c r="F17" s="34"/>
    </row>
    <row r="18" spans="1:6">
      <c r="A18" s="34"/>
      <c r="B18" s="52" t="s">
        <v>98</v>
      </c>
      <c r="C18" s="53"/>
      <c r="D18" s="74">
        <f>SUM('Fundusz Gwarantowany:UniAkcje Daleki Wschod'!D35)</f>
        <v>12773723.589999996</v>
      </c>
      <c r="E18" s="74">
        <f>SUM('Fundusz Gwarantowany:UniAkcje Daleki Wschod'!E35)</f>
        <v>11875394.650000012</v>
      </c>
      <c r="F18" s="34"/>
    </row>
    <row r="19" spans="1:6">
      <c r="A19" s="34"/>
      <c r="B19" s="52"/>
      <c r="C19" s="53"/>
      <c r="D19" s="56"/>
      <c r="E19" s="57"/>
      <c r="F19" s="34"/>
    </row>
    <row r="20" spans="1:6" ht="13.5" thickBot="1">
      <c r="A20" s="34"/>
      <c r="B20" s="62"/>
      <c r="C20" s="63"/>
      <c r="D20" s="64"/>
      <c r="E20" s="65"/>
      <c r="F20" s="34"/>
    </row>
    <row r="21" spans="1:6">
      <c r="A21" s="34"/>
      <c r="B21" s="52"/>
      <c r="C21" s="53"/>
      <c r="D21" s="56"/>
      <c r="E21" s="57"/>
      <c r="F21" s="34"/>
    </row>
    <row r="22" spans="1:6">
      <c r="A22" s="34"/>
      <c r="B22" s="52"/>
      <c r="C22" s="53"/>
      <c r="D22" s="56"/>
      <c r="E22" s="57"/>
      <c r="F22" s="34"/>
    </row>
    <row r="23" spans="1:6">
      <c r="A23" s="34"/>
      <c r="B23" s="52" t="s">
        <v>99</v>
      </c>
      <c r="C23" s="53"/>
      <c r="D23" s="56">
        <f>D13-D18</f>
        <v>91838889.640000015</v>
      </c>
      <c r="E23" s="57">
        <f>E13-E18</f>
        <v>78650184.199999988</v>
      </c>
      <c r="F23" s="34"/>
    </row>
    <row r="24" spans="1:6">
      <c r="A24" s="34"/>
      <c r="B24" s="42"/>
      <c r="C24" s="43"/>
      <c r="D24" s="50"/>
      <c r="E24" s="51"/>
      <c r="F24" s="34"/>
    </row>
    <row r="25" spans="1:6">
      <c r="A25" s="34"/>
      <c r="B25" s="42"/>
      <c r="C25" s="43"/>
      <c r="D25" s="50"/>
      <c r="E25" s="51"/>
      <c r="F25" s="34"/>
    </row>
    <row r="26" spans="1:6" ht="13.5" thickBot="1">
      <c r="A26" s="34"/>
      <c r="B26" s="46"/>
      <c r="C26" s="47"/>
      <c r="D26" s="66"/>
      <c r="E26" s="67"/>
      <c r="F26" s="34"/>
    </row>
    <row r="28" spans="1:6">
      <c r="E28" s="69"/>
    </row>
    <row r="38" spans="4:5">
      <c r="E38" s="73"/>
    </row>
    <row r="39" spans="4:5">
      <c r="E39" s="73"/>
    </row>
    <row r="40" spans="4:5">
      <c r="E40" s="73"/>
    </row>
    <row r="41" spans="4:5">
      <c r="E41" s="73"/>
    </row>
    <row r="42" spans="4:5">
      <c r="E42" s="73"/>
    </row>
    <row r="43" spans="4:5">
      <c r="E43" s="73"/>
    </row>
    <row r="44" spans="4:5">
      <c r="E44" s="73"/>
    </row>
    <row r="45" spans="4:5">
      <c r="D45" s="73"/>
      <c r="E45" s="73"/>
    </row>
    <row r="46" spans="4:5">
      <c r="E46" s="73"/>
    </row>
    <row r="48" spans="4:5">
      <c r="E48" s="73"/>
    </row>
    <row r="49" spans="5:5">
      <c r="E49" s="73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103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5353523.03</v>
      </c>
      <c r="E11" s="9">
        <f>E12+E13+E14</f>
        <v>4620803.58</v>
      </c>
    </row>
    <row r="12" spans="2:7">
      <c r="B12" s="112" t="s">
        <v>4</v>
      </c>
      <c r="C12" s="6" t="s">
        <v>5</v>
      </c>
      <c r="D12" s="235">
        <v>5258414.1100000003</v>
      </c>
      <c r="E12" s="87">
        <f>4496580.98+145769.79+2-21553.44</f>
        <v>4620799.33</v>
      </c>
    </row>
    <row r="13" spans="2:7">
      <c r="B13" s="112" t="s">
        <v>6</v>
      </c>
      <c r="C13" s="70" t="s">
        <v>7</v>
      </c>
      <c r="D13" s="235">
        <v>2.4900000000000002</v>
      </c>
      <c r="E13" s="87">
        <v>4.25</v>
      </c>
    </row>
    <row r="14" spans="2:7">
      <c r="B14" s="112" t="s">
        <v>8</v>
      </c>
      <c r="C14" s="70" t="s">
        <v>10</v>
      </c>
      <c r="D14" s="235">
        <v>95106.43</v>
      </c>
      <c r="E14" s="87">
        <f>E15</f>
        <v>0</v>
      </c>
    </row>
    <row r="15" spans="2:7">
      <c r="B15" s="112" t="s">
        <v>187</v>
      </c>
      <c r="C15" s="70" t="s">
        <v>11</v>
      </c>
      <c r="D15" s="235">
        <v>95106.43</v>
      </c>
      <c r="E15" s="87">
        <v>0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509.53</v>
      </c>
      <c r="E17" s="98">
        <f>E18</f>
        <v>549.04</v>
      </c>
    </row>
    <row r="18" spans="2:6">
      <c r="B18" s="112" t="s">
        <v>4</v>
      </c>
      <c r="C18" s="6" t="s">
        <v>11</v>
      </c>
      <c r="D18" s="235">
        <v>509.53</v>
      </c>
      <c r="E18" s="88">
        <v>549.04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5353013.5</v>
      </c>
      <c r="E21" s="154">
        <f>E11-E17</f>
        <v>4620254.54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67">
        <v>5356721.9400000004</v>
      </c>
      <c r="E26" s="274">
        <f>D21</f>
        <v>5353013.5</v>
      </c>
    </row>
    <row r="27" spans="2:6">
      <c r="B27" s="10" t="s">
        <v>17</v>
      </c>
      <c r="C27" s="11" t="s">
        <v>192</v>
      </c>
      <c r="D27" s="276">
        <v>304855.35999999987</v>
      </c>
      <c r="E27" s="243">
        <f>E28-E32</f>
        <v>-335779.14</v>
      </c>
      <c r="F27" s="73"/>
    </row>
    <row r="28" spans="2:6">
      <c r="B28" s="10" t="s">
        <v>18</v>
      </c>
      <c r="C28" s="11" t="s">
        <v>19</v>
      </c>
      <c r="D28" s="276">
        <v>1505478.65</v>
      </c>
      <c r="E28" s="244">
        <f>SUM(E29:E31)</f>
        <v>653218.87</v>
      </c>
      <c r="F28" s="73"/>
    </row>
    <row r="29" spans="2:6">
      <c r="B29" s="110" t="s">
        <v>4</v>
      </c>
      <c r="C29" s="6" t="s">
        <v>20</v>
      </c>
      <c r="D29" s="277"/>
      <c r="E29" s="246"/>
      <c r="F29" s="73"/>
    </row>
    <row r="30" spans="2:6">
      <c r="B30" s="110" t="s">
        <v>6</v>
      </c>
      <c r="C30" s="6" t="s">
        <v>21</v>
      </c>
      <c r="D30" s="277"/>
      <c r="E30" s="246"/>
      <c r="F30" s="73"/>
    </row>
    <row r="31" spans="2:6">
      <c r="B31" s="110" t="s">
        <v>8</v>
      </c>
      <c r="C31" s="6" t="s">
        <v>22</v>
      </c>
      <c r="D31" s="277">
        <v>1505478.65</v>
      </c>
      <c r="E31" s="246">
        <v>653218.87</v>
      </c>
      <c r="F31" s="73"/>
    </row>
    <row r="32" spans="2:6">
      <c r="B32" s="97" t="s">
        <v>23</v>
      </c>
      <c r="C32" s="12" t="s">
        <v>24</v>
      </c>
      <c r="D32" s="276">
        <v>1200623.29</v>
      </c>
      <c r="E32" s="244">
        <f>SUM(E33:E39)</f>
        <v>988998.01</v>
      </c>
      <c r="F32" s="73"/>
    </row>
    <row r="33" spans="2:6">
      <c r="B33" s="110" t="s">
        <v>4</v>
      </c>
      <c r="C33" s="6" t="s">
        <v>25</v>
      </c>
      <c r="D33" s="277">
        <v>751067.25</v>
      </c>
      <c r="E33" s="246">
        <f>604607.94+21553.44</f>
        <v>626161.37999999989</v>
      </c>
      <c r="F33" s="73"/>
    </row>
    <row r="34" spans="2:6">
      <c r="B34" s="110" t="s">
        <v>6</v>
      </c>
      <c r="C34" s="6" t="s">
        <v>26</v>
      </c>
      <c r="D34" s="277"/>
      <c r="E34" s="246"/>
      <c r="F34" s="73"/>
    </row>
    <row r="35" spans="2:6">
      <c r="B35" s="110" t="s">
        <v>8</v>
      </c>
      <c r="C35" s="6" t="s">
        <v>27</v>
      </c>
      <c r="D35" s="277">
        <v>2423.9899999999998</v>
      </c>
      <c r="E35" s="246">
        <v>2111.5500000000002</v>
      </c>
      <c r="F35" s="73"/>
    </row>
    <row r="36" spans="2:6">
      <c r="B36" s="110" t="s">
        <v>9</v>
      </c>
      <c r="C36" s="6" t="s">
        <v>28</v>
      </c>
      <c r="D36" s="277"/>
      <c r="E36" s="246"/>
      <c r="F36" s="73"/>
    </row>
    <row r="37" spans="2:6" ht="25.5">
      <c r="B37" s="110" t="s">
        <v>29</v>
      </c>
      <c r="C37" s="6" t="s">
        <v>30</v>
      </c>
      <c r="D37" s="277">
        <v>54420.6</v>
      </c>
      <c r="E37" s="246">
        <v>50053.27</v>
      </c>
      <c r="F37" s="73"/>
    </row>
    <row r="38" spans="2:6">
      <c r="B38" s="110" t="s">
        <v>31</v>
      </c>
      <c r="C38" s="6" t="s">
        <v>32</v>
      </c>
      <c r="D38" s="277"/>
      <c r="E38" s="246"/>
      <c r="F38" s="73"/>
    </row>
    <row r="39" spans="2:6">
      <c r="B39" s="111" t="s">
        <v>33</v>
      </c>
      <c r="C39" s="13" t="s">
        <v>34</v>
      </c>
      <c r="D39" s="278">
        <v>392711.45</v>
      </c>
      <c r="E39" s="248">
        <v>310671.81</v>
      </c>
      <c r="F39" s="73"/>
    </row>
    <row r="40" spans="2:6" ht="13.5" thickBot="1">
      <c r="B40" s="103" t="s">
        <v>35</v>
      </c>
      <c r="C40" s="104" t="s">
        <v>36</v>
      </c>
      <c r="D40" s="279">
        <v>610503.01</v>
      </c>
      <c r="E40" s="275">
        <v>-396979.82</v>
      </c>
    </row>
    <row r="41" spans="2:6" ht="13.5" thickBot="1">
      <c r="B41" s="105" t="s">
        <v>37</v>
      </c>
      <c r="C41" s="106" t="s">
        <v>38</v>
      </c>
      <c r="D41" s="239">
        <v>6272080.3100000005</v>
      </c>
      <c r="E41" s="154">
        <f>E26+E27+E40</f>
        <v>4620254.54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94">
        <v>49443.5749</v>
      </c>
      <c r="E47" s="75">
        <v>41791.439200000001</v>
      </c>
    </row>
    <row r="48" spans="2:6">
      <c r="B48" s="129" t="s">
        <v>6</v>
      </c>
      <c r="C48" s="23" t="s">
        <v>41</v>
      </c>
      <c r="D48" s="291">
        <v>51991.566099999996</v>
      </c>
      <c r="E48" s="75">
        <v>38980.577299999997</v>
      </c>
    </row>
    <row r="49" spans="2:5">
      <c r="B49" s="126" t="s">
        <v>23</v>
      </c>
      <c r="C49" s="130" t="s">
        <v>194</v>
      </c>
      <c r="D49" s="295"/>
      <c r="E49" s="131"/>
    </row>
    <row r="50" spans="2:5">
      <c r="B50" s="108" t="s">
        <v>4</v>
      </c>
      <c r="C50" s="16" t="s">
        <v>40</v>
      </c>
      <c r="D50" s="292">
        <v>108.340101840006</v>
      </c>
      <c r="E50" s="75">
        <v>128.088756991168</v>
      </c>
    </row>
    <row r="51" spans="2:5">
      <c r="B51" s="108" t="s">
        <v>6</v>
      </c>
      <c r="C51" s="16" t="s">
        <v>195</v>
      </c>
      <c r="D51" s="296">
        <v>108.34010000000001</v>
      </c>
      <c r="E51" s="282">
        <v>116.64190000000001</v>
      </c>
    </row>
    <row r="52" spans="2:5">
      <c r="B52" s="108" t="s">
        <v>8</v>
      </c>
      <c r="C52" s="16" t="s">
        <v>196</v>
      </c>
      <c r="D52" s="296">
        <v>121.6991</v>
      </c>
      <c r="E52" s="282">
        <v>134.35300000000001</v>
      </c>
    </row>
    <row r="53" spans="2:5" ht="12.75" customHeight="1" thickBot="1">
      <c r="B53" s="109" t="s">
        <v>9</v>
      </c>
      <c r="C53" s="18" t="s">
        <v>41</v>
      </c>
      <c r="D53" s="216">
        <v>120.636495118003</v>
      </c>
      <c r="E53" s="281">
        <v>118.52709372696501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4620799.33</v>
      </c>
      <c r="E58" s="33">
        <f>D58/E21</f>
        <v>1.0001179134169522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5.5">
      <c r="B60" s="15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4496580.98-21553.44</f>
        <v>4475027.54</v>
      </c>
      <c r="E64" s="83">
        <f>D64/E21</f>
        <v>0.96856731620678194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145769.79+2</f>
        <v>145771.79</v>
      </c>
      <c r="E69" s="81">
        <f>D69/E21</f>
        <v>3.1550597210170159E-2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4.25</v>
      </c>
      <c r="E71" s="68">
        <f>D71/E21</f>
        <v>9.1986273985675256E-7</v>
      </c>
    </row>
    <row r="72" spans="2:5">
      <c r="B72" s="122" t="s">
        <v>60</v>
      </c>
      <c r="C72" s="123" t="s">
        <v>63</v>
      </c>
      <c r="D72" s="124">
        <f>E14</f>
        <v>0</v>
      </c>
      <c r="E72" s="125">
        <f>D72/E21</f>
        <v>0</v>
      </c>
    </row>
    <row r="73" spans="2:5">
      <c r="B73" s="24" t="s">
        <v>62</v>
      </c>
      <c r="C73" s="25" t="s">
        <v>65</v>
      </c>
      <c r="D73" s="26">
        <f>E17</f>
        <v>549.04</v>
      </c>
      <c r="E73" s="27">
        <f>D73/E21</f>
        <v>1.1883327969198857E-4</v>
      </c>
    </row>
    <row r="74" spans="2:5">
      <c r="B74" s="126" t="s">
        <v>64</v>
      </c>
      <c r="C74" s="127" t="s">
        <v>66</v>
      </c>
      <c r="D74" s="128">
        <f>D58-D73+D71+D72</f>
        <v>4620254.54</v>
      </c>
      <c r="E74" s="68">
        <f>E58+E72-E73</f>
        <v>0.99999908013726024</v>
      </c>
    </row>
    <row r="75" spans="2:5">
      <c r="B75" s="15" t="s">
        <v>4</v>
      </c>
      <c r="C75" s="16" t="s">
        <v>67</v>
      </c>
      <c r="D75" s="80">
        <f>E21-D76</f>
        <v>3964663.64</v>
      </c>
      <c r="E75" s="81">
        <f>D75/E21</f>
        <v>0.85810502552961077</v>
      </c>
    </row>
    <row r="76" spans="2:5">
      <c r="B76" s="15" t="s">
        <v>6</v>
      </c>
      <c r="C76" s="16" t="s">
        <v>200</v>
      </c>
      <c r="D76" s="80">
        <v>655590.9</v>
      </c>
      <c r="E76" s="81">
        <f>D76/E21</f>
        <v>0.14189497447038923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 customHeight="1">
      <c r="B6" s="311" t="s">
        <v>104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20480381.490000002</v>
      </c>
      <c r="E11" s="9">
        <f>E12+E13+E14</f>
        <v>17177267.990000002</v>
      </c>
    </row>
    <row r="12" spans="2:7">
      <c r="B12" s="112" t="s">
        <v>4</v>
      </c>
      <c r="C12" s="6" t="s">
        <v>5</v>
      </c>
      <c r="D12" s="235">
        <v>20480381.490000002</v>
      </c>
      <c r="E12" s="87">
        <f>17033838.11+139840.61+1.92-6321.21</f>
        <v>17167359.43</v>
      </c>
    </row>
    <row r="13" spans="2:7">
      <c r="B13" s="112" t="s">
        <v>6</v>
      </c>
      <c r="C13" s="70" t="s">
        <v>7</v>
      </c>
      <c r="D13" s="235"/>
      <c r="E13" s="87">
        <v>4.9400000000000004</v>
      </c>
    </row>
    <row r="14" spans="2:7">
      <c r="B14" s="112" t="s">
        <v>8</v>
      </c>
      <c r="C14" s="70" t="s">
        <v>10</v>
      </c>
      <c r="D14" s="235"/>
      <c r="E14" s="87">
        <f>E15</f>
        <v>9903.6200000000008</v>
      </c>
    </row>
    <row r="15" spans="2:7">
      <c r="B15" s="112" t="s">
        <v>187</v>
      </c>
      <c r="C15" s="70" t="s">
        <v>11</v>
      </c>
      <c r="D15" s="235"/>
      <c r="E15" s="87">
        <v>9903.6200000000008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1702.44</v>
      </c>
      <c r="E17" s="98">
        <f>E18</f>
        <v>46441.69</v>
      </c>
    </row>
    <row r="18" spans="2:6">
      <c r="B18" s="112" t="s">
        <v>4</v>
      </c>
      <c r="C18" s="6" t="s">
        <v>11</v>
      </c>
      <c r="D18" s="235">
        <v>1702.44</v>
      </c>
      <c r="E18" s="273">
        <v>46441.69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20478679.050000001</v>
      </c>
      <c r="E21" s="154">
        <f>E11-E17</f>
        <v>17130826.300000001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23250929.969999999</v>
      </c>
      <c r="E26" s="274">
        <f>D21</f>
        <v>20478679.050000001</v>
      </c>
    </row>
    <row r="27" spans="2:6">
      <c r="B27" s="10" t="s">
        <v>17</v>
      </c>
      <c r="C27" s="11" t="s">
        <v>192</v>
      </c>
      <c r="D27" s="207">
        <v>-2395919.8100000005</v>
      </c>
      <c r="E27" s="243">
        <f>E28-E32</f>
        <v>-2904706.6199999992</v>
      </c>
      <c r="F27" s="73"/>
    </row>
    <row r="28" spans="2:6">
      <c r="B28" s="10" t="s">
        <v>18</v>
      </c>
      <c r="C28" s="11" t="s">
        <v>19</v>
      </c>
      <c r="D28" s="207">
        <v>1452714.46</v>
      </c>
      <c r="E28" s="244">
        <f>SUM(E29:E31)</f>
        <v>131849.32999999999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1452714.46</v>
      </c>
      <c r="E31" s="246">
        <v>131849.32999999999</v>
      </c>
      <c r="F31" s="73"/>
    </row>
    <row r="32" spans="2:6">
      <c r="B32" s="97" t="s">
        <v>23</v>
      </c>
      <c r="C32" s="12" t="s">
        <v>24</v>
      </c>
      <c r="D32" s="207">
        <v>3848634.2700000005</v>
      </c>
      <c r="E32" s="244">
        <f>SUM(E33:E39)</f>
        <v>3036555.9499999993</v>
      </c>
      <c r="F32" s="73"/>
    </row>
    <row r="33" spans="2:6">
      <c r="B33" s="110" t="s">
        <v>4</v>
      </c>
      <c r="C33" s="6" t="s">
        <v>25</v>
      </c>
      <c r="D33" s="208">
        <v>2798939.67</v>
      </c>
      <c r="E33" s="246">
        <f>2689794.51+1171.51</f>
        <v>2690966.0199999996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10662.99</v>
      </c>
      <c r="E35" s="246">
        <v>8840.7099999999991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207364.56</v>
      </c>
      <c r="E37" s="246">
        <v>173982.03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831667.05</v>
      </c>
      <c r="E39" s="248">
        <v>162767.19</v>
      </c>
      <c r="F39" s="73"/>
    </row>
    <row r="40" spans="2:6" ht="13.5" thickBot="1">
      <c r="B40" s="103" t="s">
        <v>35</v>
      </c>
      <c r="C40" s="104" t="s">
        <v>36</v>
      </c>
      <c r="D40" s="210">
        <v>582811.75</v>
      </c>
      <c r="E40" s="275">
        <v>-443146.13</v>
      </c>
    </row>
    <row r="41" spans="2:6" ht="13.5" thickBot="1">
      <c r="B41" s="105" t="s">
        <v>37</v>
      </c>
      <c r="C41" s="106" t="s">
        <v>38</v>
      </c>
      <c r="D41" s="211">
        <v>21437821.909999996</v>
      </c>
      <c r="E41" s="154">
        <f>E26+E27+E40</f>
        <v>17130826.300000001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217378.77299999999</v>
      </c>
      <c r="E47" s="75">
        <v>183746.82709999999</v>
      </c>
    </row>
    <row r="48" spans="2:6">
      <c r="B48" s="129" t="s">
        <v>6</v>
      </c>
      <c r="C48" s="23" t="s">
        <v>41</v>
      </c>
      <c r="D48" s="213">
        <v>195178.92360000001</v>
      </c>
      <c r="E48" s="75">
        <v>157576.63519999999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106.960443511197</v>
      </c>
      <c r="E50" s="75">
        <v>111.45051791253</v>
      </c>
    </row>
    <row r="51" spans="2:5">
      <c r="B51" s="108" t="s">
        <v>6</v>
      </c>
      <c r="C51" s="16" t="s">
        <v>195</v>
      </c>
      <c r="D51" s="280">
        <v>106.96040000000001</v>
      </c>
      <c r="E51" s="282">
        <v>108.6621</v>
      </c>
    </row>
    <row r="52" spans="2:5">
      <c r="B52" s="108" t="s">
        <v>8</v>
      </c>
      <c r="C52" s="16" t="s">
        <v>196</v>
      </c>
      <c r="D52" s="280">
        <v>110.1925</v>
      </c>
      <c r="E52" s="282">
        <v>112.292</v>
      </c>
    </row>
    <row r="53" spans="2:5" ht="13.5" customHeight="1" thickBot="1">
      <c r="B53" s="109" t="s">
        <v>9</v>
      </c>
      <c r="C53" s="18" t="s">
        <v>41</v>
      </c>
      <c r="D53" s="216">
        <v>109.836766770651</v>
      </c>
      <c r="E53" s="281">
        <v>108.714253710471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17167359.43</v>
      </c>
      <c r="E58" s="33">
        <f>D58/E21</f>
        <v>1.0021325959040281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17033838.11-6321.21</f>
        <v>17027516.899999999</v>
      </c>
      <c r="E64" s="83">
        <f>D64/E21</f>
        <v>0.99396938605349106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f>139840.61+1.92</f>
        <v>139842.53</v>
      </c>
      <c r="E69" s="81">
        <f>D69/E21</f>
        <v>8.1632098505370985E-3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f>E13</f>
        <v>4.9400000000000004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9903.6200000000008</v>
      </c>
      <c r="E72" s="125">
        <f>D72/E21</f>
        <v>5.7811688861733428E-4</v>
      </c>
    </row>
    <row r="73" spans="2:5">
      <c r="B73" s="138" t="s">
        <v>62</v>
      </c>
      <c r="C73" s="25" t="s">
        <v>65</v>
      </c>
      <c r="D73" s="26">
        <f>E17</f>
        <v>46441.69</v>
      </c>
      <c r="E73" s="27">
        <f>D73/E21</f>
        <v>2.7110011616894394E-3</v>
      </c>
    </row>
    <row r="74" spans="2:5">
      <c r="B74" s="136" t="s">
        <v>64</v>
      </c>
      <c r="C74" s="127" t="s">
        <v>66</v>
      </c>
      <c r="D74" s="128">
        <f>D58-D73+D71+D72</f>
        <v>17130826.300000001</v>
      </c>
      <c r="E74" s="68">
        <f>E58+E72-E73</f>
        <v>0.99999971163095613</v>
      </c>
    </row>
    <row r="75" spans="2:5">
      <c r="B75" s="108" t="s">
        <v>4</v>
      </c>
      <c r="C75" s="16" t="s">
        <v>67</v>
      </c>
      <c r="D75" s="80">
        <f>E21-D76</f>
        <v>12889241.52</v>
      </c>
      <c r="E75" s="81">
        <f>D75/E21</f>
        <v>0.75240045601302952</v>
      </c>
    </row>
    <row r="76" spans="2:5">
      <c r="B76" s="108" t="s">
        <v>6</v>
      </c>
      <c r="C76" s="16" t="s">
        <v>200</v>
      </c>
      <c r="D76" s="80">
        <v>4241584.78</v>
      </c>
      <c r="E76" s="81">
        <f>D76/E21</f>
        <v>0.24759954398697043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8.7109375" customWidth="1"/>
    <col min="8" max="8" width="15.28515625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90"/>
      <c r="C4" s="90"/>
      <c r="D4" s="90"/>
      <c r="E4" s="90"/>
    </row>
    <row r="5" spans="2:8" ht="14.25">
      <c r="B5" s="310" t="s">
        <v>1</v>
      </c>
      <c r="C5" s="310"/>
      <c r="D5" s="310"/>
      <c r="E5" s="310"/>
    </row>
    <row r="6" spans="2:8" ht="14.25">
      <c r="B6" s="311" t="s">
        <v>85</v>
      </c>
      <c r="C6" s="311"/>
      <c r="D6" s="311"/>
      <c r="E6" s="311"/>
    </row>
    <row r="7" spans="2:8" ht="14.25">
      <c r="B7" s="94"/>
      <c r="C7" s="94"/>
      <c r="D7" s="94"/>
      <c r="E7" s="94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91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99" t="s">
        <v>190</v>
      </c>
      <c r="D11" s="232">
        <f>D12+D13+D14</f>
        <v>185969204.19</v>
      </c>
      <c r="E11" s="9">
        <f>E12+E13+E14</f>
        <v>175824305.45999998</v>
      </c>
    </row>
    <row r="12" spans="2:8">
      <c r="B12" s="112" t="s">
        <v>4</v>
      </c>
      <c r="C12" s="200" t="s">
        <v>5</v>
      </c>
      <c r="D12" s="235">
        <f>191428394.71-6004259.19</f>
        <v>185424135.52000001</v>
      </c>
      <c r="E12" s="87">
        <f>185070902.25+193023.03+2.64-9959280.34</f>
        <v>175304647.57999998</v>
      </c>
    </row>
    <row r="13" spans="2:8">
      <c r="B13" s="112" t="s">
        <v>6</v>
      </c>
      <c r="C13" s="200" t="s">
        <v>7</v>
      </c>
      <c r="D13" s="235"/>
      <c r="E13" s="87">
        <v>7.98</v>
      </c>
    </row>
    <row r="14" spans="2:8">
      <c r="B14" s="112" t="s">
        <v>8</v>
      </c>
      <c r="C14" s="200" t="s">
        <v>10</v>
      </c>
      <c r="D14" s="235">
        <f>D15</f>
        <v>545068.66999999993</v>
      </c>
      <c r="E14" s="87">
        <f>E15</f>
        <v>519649.9</v>
      </c>
    </row>
    <row r="15" spans="2:8">
      <c r="B15" s="112" t="s">
        <v>187</v>
      </c>
      <c r="C15" s="200" t="s">
        <v>11</v>
      </c>
      <c r="D15" s="235">
        <v>545068.66999999993</v>
      </c>
      <c r="E15" s="87">
        <v>519649.9</v>
      </c>
    </row>
    <row r="16" spans="2:8">
      <c r="B16" s="113" t="s">
        <v>188</v>
      </c>
      <c r="C16" s="201" t="s">
        <v>12</v>
      </c>
      <c r="D16" s="236"/>
      <c r="E16" s="88"/>
    </row>
    <row r="17" spans="2:7">
      <c r="B17" s="10" t="s">
        <v>13</v>
      </c>
      <c r="C17" s="202" t="s">
        <v>65</v>
      </c>
      <c r="D17" s="237">
        <f>SUM(D18:D19)</f>
        <v>447947.93</v>
      </c>
      <c r="E17" s="98">
        <f>SUM(E18:E19)</f>
        <v>251277.11</v>
      </c>
    </row>
    <row r="18" spans="2:7">
      <c r="B18" s="112" t="s">
        <v>4</v>
      </c>
      <c r="C18" s="200" t="s">
        <v>11</v>
      </c>
      <c r="D18" s="236">
        <v>447947.93</v>
      </c>
      <c r="E18" s="88">
        <v>251277.11</v>
      </c>
    </row>
    <row r="19" spans="2:7" ht="15" customHeight="1">
      <c r="B19" s="112" t="s">
        <v>6</v>
      </c>
      <c r="C19" s="200" t="s">
        <v>189</v>
      </c>
      <c r="D19" s="235"/>
      <c r="E19" s="87"/>
    </row>
    <row r="20" spans="2:7" ht="13.5" thickBot="1">
      <c r="B20" s="114" t="s">
        <v>8</v>
      </c>
      <c r="C20" s="71" t="s">
        <v>14</v>
      </c>
      <c r="D20" s="238"/>
      <c r="E20" s="89"/>
    </row>
    <row r="21" spans="2:7" ht="13.5" thickBot="1">
      <c r="B21" s="319" t="s">
        <v>191</v>
      </c>
      <c r="C21" s="320"/>
      <c r="D21" s="263">
        <f>D11-D17</f>
        <v>185521256.25999999</v>
      </c>
      <c r="E21" s="252">
        <f>E11-E17</f>
        <v>175573028.34999996</v>
      </c>
      <c r="F21" s="79"/>
      <c r="G21" s="170">
        <f>E21-E41</f>
        <v>0</v>
      </c>
    </row>
    <row r="22" spans="2:7">
      <c r="B22" s="3"/>
      <c r="C22" s="7"/>
      <c r="D22" s="8"/>
      <c r="E22" s="8"/>
    </row>
    <row r="23" spans="2:7" ht="13.5">
      <c r="B23" s="313" t="s">
        <v>185</v>
      </c>
      <c r="C23" s="321"/>
      <c r="D23" s="321"/>
      <c r="E23" s="321"/>
    </row>
    <row r="24" spans="2:7" ht="15.75" customHeight="1" thickBot="1">
      <c r="B24" s="312" t="s">
        <v>186</v>
      </c>
      <c r="C24" s="322"/>
      <c r="D24" s="322"/>
      <c r="E24" s="322"/>
    </row>
    <row r="25" spans="2:7" ht="13.5" thickBot="1">
      <c r="B25" s="91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178474257.16999999</v>
      </c>
      <c r="E26" s="274">
        <f>D21</f>
        <v>185521256.25999999</v>
      </c>
    </row>
    <row r="27" spans="2:7">
      <c r="B27" s="10" t="s">
        <v>17</v>
      </c>
      <c r="C27" s="11" t="s">
        <v>192</v>
      </c>
      <c r="D27" s="207">
        <v>-1032296.2599999998</v>
      </c>
      <c r="E27" s="243">
        <f>E28-E32</f>
        <v>-4336557.1199999992</v>
      </c>
      <c r="F27" s="73"/>
    </row>
    <row r="28" spans="2:7">
      <c r="B28" s="10" t="s">
        <v>18</v>
      </c>
      <c r="C28" s="11" t="s">
        <v>19</v>
      </c>
      <c r="D28" s="207">
        <v>12781121.16</v>
      </c>
      <c r="E28" s="244">
        <f>SUM(E29:E31)</f>
        <v>11807599.42</v>
      </c>
      <c r="F28" s="73"/>
    </row>
    <row r="29" spans="2:7">
      <c r="B29" s="110" t="s">
        <v>4</v>
      </c>
      <c r="C29" s="6" t="s">
        <v>20</v>
      </c>
      <c r="D29" s="208">
        <v>12089845.140000001</v>
      </c>
      <c r="E29" s="246">
        <v>10983351.75</v>
      </c>
      <c r="F29" s="73"/>
    </row>
    <row r="30" spans="2:7">
      <c r="B30" s="110" t="s">
        <v>6</v>
      </c>
      <c r="C30" s="6" t="s">
        <v>21</v>
      </c>
      <c r="D30" s="208"/>
      <c r="E30" s="246"/>
      <c r="F30" s="73"/>
    </row>
    <row r="31" spans="2:7">
      <c r="B31" s="110" t="s">
        <v>8</v>
      </c>
      <c r="C31" s="6" t="s">
        <v>22</v>
      </c>
      <c r="D31" s="208">
        <v>691276.02</v>
      </c>
      <c r="E31" s="246">
        <v>824247.67</v>
      </c>
      <c r="F31" s="73"/>
    </row>
    <row r="32" spans="2:7">
      <c r="B32" s="97" t="s">
        <v>23</v>
      </c>
      <c r="C32" s="12" t="s">
        <v>24</v>
      </c>
      <c r="D32" s="207">
        <v>13813417.42</v>
      </c>
      <c r="E32" s="244">
        <f>SUM(E33:E39)</f>
        <v>16144156.539999999</v>
      </c>
      <c r="F32" s="73"/>
    </row>
    <row r="33" spans="2:6">
      <c r="B33" s="110" t="s">
        <v>4</v>
      </c>
      <c r="C33" s="6" t="s">
        <v>25</v>
      </c>
      <c r="D33" s="208">
        <v>11076525.719999999</v>
      </c>
      <c r="E33" s="246">
        <f>9251864.12+3955021.15</f>
        <v>13206885.27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2065316.8900000001</v>
      </c>
      <c r="E35" s="246">
        <v>1949404.76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671574.81</v>
      </c>
      <c r="E39" s="248">
        <v>987866.51</v>
      </c>
      <c r="F39" s="73"/>
    </row>
    <row r="40" spans="2:6" ht="13.5" thickBot="1">
      <c r="B40" s="103" t="s">
        <v>35</v>
      </c>
      <c r="C40" s="104" t="s">
        <v>36</v>
      </c>
      <c r="D40" s="210">
        <v>10967250.130000001</v>
      </c>
      <c r="E40" s="275">
        <v>-5611670.79</v>
      </c>
    </row>
    <row r="41" spans="2:6" ht="13.5" thickBot="1">
      <c r="B41" s="105" t="s">
        <v>37</v>
      </c>
      <c r="C41" s="106" t="s">
        <v>38</v>
      </c>
      <c r="D41" s="211">
        <v>188409211.03999999</v>
      </c>
      <c r="E41" s="154">
        <f>E26+E27+E40</f>
        <v>175573028.34999999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5.7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225"/>
      <c r="E46" s="29"/>
    </row>
    <row r="47" spans="2:6">
      <c r="B47" s="108" t="s">
        <v>4</v>
      </c>
      <c r="C47" s="16" t="s">
        <v>40</v>
      </c>
      <c r="D47" s="212">
        <v>9503363.3462617602</v>
      </c>
      <c r="E47" s="75">
        <v>9269398.1071000006</v>
      </c>
    </row>
    <row r="48" spans="2:6">
      <c r="B48" s="129" t="s">
        <v>6</v>
      </c>
      <c r="C48" s="23" t="s">
        <v>41</v>
      </c>
      <c r="D48" s="213">
        <v>9463742.9144704491</v>
      </c>
      <c r="E48" s="75">
        <v>9037194.1688000001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18.780115067388699</v>
      </c>
      <c r="E50" s="75">
        <v>20.014380018663999</v>
      </c>
    </row>
    <row r="51" spans="2:5">
      <c r="B51" s="108" t="s">
        <v>6</v>
      </c>
      <c r="C51" s="16" t="s">
        <v>195</v>
      </c>
      <c r="D51" s="280">
        <v>18.780100000000001</v>
      </c>
      <c r="E51" s="155">
        <v>19.312799999999999</v>
      </c>
    </row>
    <row r="52" spans="2:5">
      <c r="B52" s="108" t="s">
        <v>8</v>
      </c>
      <c r="C52" s="16" t="s">
        <v>196</v>
      </c>
      <c r="D52" s="280">
        <v>20.02</v>
      </c>
      <c r="E52" s="155">
        <v>20.590399999999999</v>
      </c>
    </row>
    <row r="53" spans="2:5" ht="13.5" thickBot="1">
      <c r="B53" s="109" t="s">
        <v>9</v>
      </c>
      <c r="C53" s="18" t="s">
        <v>41</v>
      </c>
      <c r="D53" s="216">
        <v>19.908530138949001</v>
      </c>
      <c r="E53" s="281">
        <v>19.427825171164699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D64+D69</f>
        <v>175304647.57999998</v>
      </c>
      <c r="E58" s="33">
        <f>D58/E21</f>
        <v>0.99847140091777098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5.5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185070902.25-9959280.34</f>
        <v>175111621.91</v>
      </c>
      <c r="E64" s="83">
        <f>D64/E21</f>
        <v>0.99737199702974788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193023.03+2.64</f>
        <v>193025.67</v>
      </c>
      <c r="E69" s="81">
        <f>D69/E21</f>
        <v>1.0994038880232145E-3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7.98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519649.9</v>
      </c>
      <c r="E72" s="125">
        <f>D72/E21</f>
        <v>2.9597364975905774E-3</v>
      </c>
    </row>
    <row r="73" spans="2:5">
      <c r="B73" s="24" t="s">
        <v>62</v>
      </c>
      <c r="C73" s="25" t="s">
        <v>65</v>
      </c>
      <c r="D73" s="26">
        <f>E17</f>
        <v>251277.11</v>
      </c>
      <c r="E73" s="27">
        <f>D73/E21</f>
        <v>1.4311828665339531E-3</v>
      </c>
    </row>
    <row r="74" spans="2:5">
      <c r="B74" s="126" t="s">
        <v>64</v>
      </c>
      <c r="C74" s="127" t="s">
        <v>66</v>
      </c>
      <c r="D74" s="128">
        <f>D58+D71+D72-D73</f>
        <v>175573028.34999996</v>
      </c>
      <c r="E74" s="68">
        <f>E58+E72-E73</f>
        <v>0.99999995454882751</v>
      </c>
    </row>
    <row r="75" spans="2:5">
      <c r="B75" s="15" t="s">
        <v>4</v>
      </c>
      <c r="C75" s="16" t="s">
        <v>67</v>
      </c>
      <c r="D75" s="80">
        <f>D74</f>
        <v>175573028.34999996</v>
      </c>
      <c r="E75" s="81">
        <f>E74</f>
        <v>0.99999995454882751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219</v>
      </c>
      <c r="C6" s="311"/>
      <c r="D6" s="311"/>
      <c r="E6" s="311"/>
    </row>
    <row r="7" spans="2:7" ht="14.25">
      <c r="B7" s="156"/>
      <c r="C7" s="156"/>
      <c r="D7" s="156"/>
      <c r="E7" s="156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7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203194.14</v>
      </c>
      <c r="E11" s="9">
        <f>E12</f>
        <v>192487.83</v>
      </c>
    </row>
    <row r="12" spans="2:7">
      <c r="B12" s="112" t="s">
        <v>4</v>
      </c>
      <c r="C12" s="6" t="s">
        <v>5</v>
      </c>
      <c r="D12" s="235">
        <v>203194.14</v>
      </c>
      <c r="E12" s="87">
        <f>244433.8+677.77-52623.74</f>
        <v>192487.83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203194.14</v>
      </c>
      <c r="E21" s="154">
        <f>E11-E17</f>
        <v>192487.83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57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117389.89</v>
      </c>
      <c r="E26" s="274">
        <f>D21</f>
        <v>203194.14</v>
      </c>
    </row>
    <row r="27" spans="2:6">
      <c r="B27" s="10" t="s">
        <v>17</v>
      </c>
      <c r="C27" s="11" t="s">
        <v>192</v>
      </c>
      <c r="D27" s="207">
        <v>-2327.3999999999996</v>
      </c>
      <c r="E27" s="243">
        <f>E28-E32</f>
        <v>-9651.1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2327.3999999999996</v>
      </c>
      <c r="E32" s="244">
        <f>SUM(E33:E39)</f>
        <v>9651.1</v>
      </c>
      <c r="F32" s="73"/>
    </row>
    <row r="33" spans="2:6">
      <c r="B33" s="110" t="s">
        <v>4</v>
      </c>
      <c r="C33" s="6" t="s">
        <v>25</v>
      </c>
      <c r="D33" s="208"/>
      <c r="E33" s="246"/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569.03</v>
      </c>
      <c r="E35" s="246">
        <v>703.57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997.38</v>
      </c>
      <c r="E37" s="246">
        <v>1661.15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760.99</v>
      </c>
      <c r="E39" s="248">
        <v>7286.38</v>
      </c>
      <c r="F39" s="73"/>
    </row>
    <row r="40" spans="2:6" ht="13.5" thickBot="1">
      <c r="B40" s="103" t="s">
        <v>35</v>
      </c>
      <c r="C40" s="104" t="s">
        <v>36</v>
      </c>
      <c r="D40" s="210">
        <v>2483.54</v>
      </c>
      <c r="E40" s="275">
        <v>-1055.21</v>
      </c>
    </row>
    <row r="41" spans="2:6" ht="13.5" thickBot="1">
      <c r="B41" s="105" t="s">
        <v>37</v>
      </c>
      <c r="C41" s="106" t="s">
        <v>38</v>
      </c>
      <c r="D41" s="211">
        <v>117546.03</v>
      </c>
      <c r="E41" s="154">
        <f>E26+E27+E40</f>
        <v>192487.83000000002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7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1138.769</v>
      </c>
      <c r="E47" s="75">
        <v>1922.2987000000001</v>
      </c>
    </row>
    <row r="48" spans="2:6">
      <c r="B48" s="129" t="s">
        <v>6</v>
      </c>
      <c r="C48" s="23" t="s">
        <v>41</v>
      </c>
      <c r="D48" s="213">
        <v>1140.2834</v>
      </c>
      <c r="E48" s="75">
        <v>1828.9092000000001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103.08492533114701</v>
      </c>
      <c r="E50" s="75">
        <v>105.703729745689</v>
      </c>
    </row>
    <row r="51" spans="2:5">
      <c r="B51" s="108" t="s">
        <v>6</v>
      </c>
      <c r="C51" s="16" t="s">
        <v>195</v>
      </c>
      <c r="D51" s="280">
        <v>103.0506</v>
      </c>
      <c r="E51" s="282">
        <v>105.19329999999999</v>
      </c>
    </row>
    <row r="52" spans="2:5">
      <c r="B52" s="108" t="s">
        <v>8</v>
      </c>
      <c r="C52" s="16" t="s">
        <v>196</v>
      </c>
      <c r="D52" s="280">
        <v>104.6335</v>
      </c>
      <c r="E52" s="282">
        <v>105.937</v>
      </c>
    </row>
    <row r="53" spans="2:5" ht="13.5" thickBot="1">
      <c r="B53" s="109" t="s">
        <v>9</v>
      </c>
      <c r="C53" s="18" t="s">
        <v>41</v>
      </c>
      <c r="D53" s="216">
        <v>103.08492533114701</v>
      </c>
      <c r="E53" s="281">
        <v>105.247339109168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192487.83</v>
      </c>
      <c r="E58" s="33">
        <f>D58/E21</f>
        <v>1</v>
      </c>
    </row>
    <row r="59" spans="2:5" ht="25.5">
      <c r="B59" s="129" t="s">
        <v>4</v>
      </c>
      <c r="C59" s="194" t="s">
        <v>44</v>
      </c>
      <c r="D59" s="82">
        <v>0</v>
      </c>
      <c r="E59" s="83">
        <v>0</v>
      </c>
    </row>
    <row r="60" spans="2:5" ht="25.5">
      <c r="B60" s="108" t="s">
        <v>6</v>
      </c>
      <c r="C60" s="192" t="s">
        <v>45</v>
      </c>
      <c r="D60" s="80">
        <v>0</v>
      </c>
      <c r="E60" s="81">
        <v>0</v>
      </c>
    </row>
    <row r="61" spans="2:5">
      <c r="B61" s="108" t="s">
        <v>8</v>
      </c>
      <c r="C61" s="192" t="s">
        <v>46</v>
      </c>
      <c r="D61" s="80">
        <v>0</v>
      </c>
      <c r="E61" s="81">
        <v>0</v>
      </c>
    </row>
    <row r="62" spans="2:5">
      <c r="B62" s="108" t="s">
        <v>9</v>
      </c>
      <c r="C62" s="192" t="s">
        <v>47</v>
      </c>
      <c r="D62" s="80">
        <v>0</v>
      </c>
      <c r="E62" s="81">
        <v>0</v>
      </c>
    </row>
    <row r="63" spans="2:5">
      <c r="B63" s="108" t="s">
        <v>29</v>
      </c>
      <c r="C63" s="192" t="s">
        <v>48</v>
      </c>
      <c r="D63" s="80">
        <v>0</v>
      </c>
      <c r="E63" s="81">
        <v>0</v>
      </c>
    </row>
    <row r="64" spans="2:5">
      <c r="B64" s="129" t="s">
        <v>31</v>
      </c>
      <c r="C64" s="194" t="s">
        <v>49</v>
      </c>
      <c r="D64" s="82">
        <f>244433.8-52623.74</f>
        <v>191810.06</v>
      </c>
      <c r="E64" s="83">
        <f>D64/E21</f>
        <v>0.99647889427606939</v>
      </c>
    </row>
    <row r="65" spans="2:5">
      <c r="B65" s="129" t="s">
        <v>33</v>
      </c>
      <c r="C65" s="194" t="s">
        <v>199</v>
      </c>
      <c r="D65" s="82">
        <v>0</v>
      </c>
      <c r="E65" s="83">
        <v>0</v>
      </c>
    </row>
    <row r="66" spans="2:5">
      <c r="B66" s="129" t="s">
        <v>50</v>
      </c>
      <c r="C66" s="194" t="s">
        <v>51</v>
      </c>
      <c r="D66" s="82">
        <v>0</v>
      </c>
      <c r="E66" s="83">
        <v>0</v>
      </c>
    </row>
    <row r="67" spans="2:5">
      <c r="B67" s="108" t="s">
        <v>52</v>
      </c>
      <c r="C67" s="192" t="s">
        <v>53</v>
      </c>
      <c r="D67" s="80">
        <v>0</v>
      </c>
      <c r="E67" s="81">
        <v>0</v>
      </c>
    </row>
    <row r="68" spans="2:5">
      <c r="B68" s="108" t="s">
        <v>54</v>
      </c>
      <c r="C68" s="192" t="s">
        <v>55</v>
      </c>
      <c r="D68" s="80">
        <v>0</v>
      </c>
      <c r="E68" s="81">
        <v>0</v>
      </c>
    </row>
    <row r="69" spans="2:5">
      <c r="B69" s="108" t="s">
        <v>56</v>
      </c>
      <c r="C69" s="192" t="s">
        <v>57</v>
      </c>
      <c r="D69" s="80">
        <v>677.77</v>
      </c>
      <c r="E69" s="81">
        <f>D69/E21</f>
        <v>3.5211057239307028E-3</v>
      </c>
    </row>
    <row r="70" spans="2:5">
      <c r="B70" s="135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f>E13</f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192487.83</v>
      </c>
      <c r="E74" s="68">
        <f>E58+E72-E73</f>
        <v>1</v>
      </c>
    </row>
    <row r="75" spans="2:5">
      <c r="B75" s="108" t="s">
        <v>4</v>
      </c>
      <c r="C75" s="192" t="s">
        <v>67</v>
      </c>
      <c r="D75" s="80">
        <f>D74</f>
        <v>192487.83</v>
      </c>
      <c r="E75" s="81">
        <f>E74</f>
        <v>1</v>
      </c>
    </row>
    <row r="76" spans="2:5">
      <c r="B76" s="108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218</v>
      </c>
      <c r="C6" s="311"/>
      <c r="D6" s="311"/>
      <c r="E6" s="311"/>
    </row>
    <row r="7" spans="2:7" ht="14.25">
      <c r="B7" s="173"/>
      <c r="C7" s="173"/>
      <c r="D7" s="173"/>
      <c r="E7" s="173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74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99" t="s">
        <v>190</v>
      </c>
      <c r="D11" s="232">
        <v>17525.13</v>
      </c>
      <c r="E11" s="9">
        <f>E12</f>
        <v>16520.96</v>
      </c>
    </row>
    <row r="12" spans="2:7">
      <c r="B12" s="112" t="s">
        <v>4</v>
      </c>
      <c r="C12" s="200" t="s">
        <v>5</v>
      </c>
      <c r="D12" s="269">
        <v>17525.13</v>
      </c>
      <c r="E12" s="87">
        <f>16520.96</f>
        <v>16520.96</v>
      </c>
    </row>
    <row r="13" spans="2:7">
      <c r="B13" s="112" t="s">
        <v>6</v>
      </c>
      <c r="C13" s="200" t="s">
        <v>7</v>
      </c>
      <c r="D13" s="269"/>
      <c r="E13" s="87"/>
    </row>
    <row r="14" spans="2:7">
      <c r="B14" s="112" t="s">
        <v>8</v>
      </c>
      <c r="C14" s="200" t="s">
        <v>10</v>
      </c>
      <c r="D14" s="269"/>
      <c r="E14" s="87"/>
    </row>
    <row r="15" spans="2:7">
      <c r="B15" s="112" t="s">
        <v>187</v>
      </c>
      <c r="C15" s="200" t="s">
        <v>11</v>
      </c>
      <c r="D15" s="269"/>
      <c r="E15" s="87"/>
    </row>
    <row r="16" spans="2:7">
      <c r="B16" s="113" t="s">
        <v>188</v>
      </c>
      <c r="C16" s="201" t="s">
        <v>12</v>
      </c>
      <c r="D16" s="272"/>
      <c r="E16" s="88"/>
    </row>
    <row r="17" spans="2:6">
      <c r="B17" s="10" t="s">
        <v>13</v>
      </c>
      <c r="C17" s="202" t="s">
        <v>65</v>
      </c>
      <c r="D17" s="268"/>
      <c r="E17" s="98"/>
    </row>
    <row r="18" spans="2:6">
      <c r="B18" s="112" t="s">
        <v>4</v>
      </c>
      <c r="C18" s="200" t="s">
        <v>11</v>
      </c>
      <c r="D18" s="272"/>
      <c r="E18" s="88"/>
    </row>
    <row r="19" spans="2:6" ht="15" customHeight="1">
      <c r="B19" s="112" t="s">
        <v>6</v>
      </c>
      <c r="C19" s="200" t="s">
        <v>189</v>
      </c>
      <c r="D19" s="269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17525.13</v>
      </c>
      <c r="E21" s="154">
        <f>E11-E17</f>
        <v>16520.96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74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15929.85</v>
      </c>
      <c r="E26" s="274">
        <f>D21</f>
        <v>17525.13</v>
      </c>
    </row>
    <row r="27" spans="2:6">
      <c r="B27" s="10" t="s">
        <v>17</v>
      </c>
      <c r="C27" s="11" t="s">
        <v>192</v>
      </c>
      <c r="D27" s="207">
        <v>1070.1500000000001</v>
      </c>
      <c r="E27" s="243">
        <f>E28-E32</f>
        <v>0</v>
      </c>
      <c r="F27" s="73"/>
    </row>
    <row r="28" spans="2:6">
      <c r="B28" s="10" t="s">
        <v>18</v>
      </c>
      <c r="C28" s="11" t="s">
        <v>19</v>
      </c>
      <c r="D28" s="207">
        <v>1238.03</v>
      </c>
      <c r="E28" s="244">
        <f>SUM(E29:E31)</f>
        <v>171.56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1238.03</v>
      </c>
      <c r="E31" s="246">
        <v>171.56</v>
      </c>
      <c r="F31" s="73"/>
    </row>
    <row r="32" spans="2:6">
      <c r="B32" s="97" t="s">
        <v>23</v>
      </c>
      <c r="C32" s="12" t="s">
        <v>24</v>
      </c>
      <c r="D32" s="207">
        <v>167.88</v>
      </c>
      <c r="E32" s="244">
        <f>SUM(E33:E39)</f>
        <v>171.56</v>
      </c>
      <c r="F32" s="73"/>
    </row>
    <row r="33" spans="2:6">
      <c r="B33" s="110" t="s">
        <v>4</v>
      </c>
      <c r="C33" s="6" t="s">
        <v>25</v>
      </c>
      <c r="D33" s="208"/>
      <c r="E33" s="246"/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31.34</v>
      </c>
      <c r="E35" s="246">
        <v>32.17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136.54</v>
      </c>
      <c r="E37" s="246">
        <v>139.38999999999999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74.08</v>
      </c>
      <c r="E40" s="275">
        <v>-1004.17</v>
      </c>
    </row>
    <row r="41" spans="2:6" ht="13.5" thickBot="1">
      <c r="B41" s="105" t="s">
        <v>37</v>
      </c>
      <c r="C41" s="106" t="s">
        <v>38</v>
      </c>
      <c r="D41" s="211">
        <v>17074.080000000002</v>
      </c>
      <c r="E41" s="154">
        <f>E26+E27+E40</f>
        <v>16520.960000000003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74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150.87440000000001</v>
      </c>
      <c r="E47" s="75">
        <v>156.91540000000001</v>
      </c>
    </row>
    <row r="48" spans="2:6">
      <c r="B48" s="193" t="s">
        <v>6</v>
      </c>
      <c r="C48" s="194" t="s">
        <v>41</v>
      </c>
      <c r="D48" s="213">
        <v>161.71161000000001</v>
      </c>
      <c r="E48" s="75">
        <v>149.41952444200001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91" t="s">
        <v>4</v>
      </c>
      <c r="C50" s="192" t="s">
        <v>40</v>
      </c>
      <c r="D50" s="212">
        <v>105.583488918906</v>
      </c>
      <c r="E50" s="75">
        <v>111.68519999999999</v>
      </c>
    </row>
    <row r="51" spans="2:5">
      <c r="B51" s="191" t="s">
        <v>6</v>
      </c>
      <c r="C51" s="192" t="s">
        <v>195</v>
      </c>
      <c r="D51" s="280">
        <v>105.5835</v>
      </c>
      <c r="E51" s="260">
        <v>109.7303</v>
      </c>
    </row>
    <row r="52" spans="2:5">
      <c r="B52" s="191" t="s">
        <v>8</v>
      </c>
      <c r="C52" s="192" t="s">
        <v>196</v>
      </c>
      <c r="D52" s="280">
        <v>109.4298</v>
      </c>
      <c r="E52" s="260">
        <v>114.05800000000001</v>
      </c>
    </row>
    <row r="53" spans="2:5" ht="13.5" thickBot="1">
      <c r="B53" s="195" t="s">
        <v>9</v>
      </c>
      <c r="C53" s="196" t="s">
        <v>41</v>
      </c>
      <c r="D53" s="216">
        <v>105.583488918906</v>
      </c>
      <c r="E53" s="300">
        <v>110.567611974804</v>
      </c>
    </row>
    <row r="54" spans="2:5">
      <c r="B54" s="197"/>
      <c r="C54" s="198"/>
      <c r="D54" s="117"/>
      <c r="E54" s="117"/>
    </row>
    <row r="55" spans="2:5" ht="13.5">
      <c r="B55" s="314" t="s">
        <v>62</v>
      </c>
      <c r="C55" s="324"/>
      <c r="D55" s="324"/>
      <c r="E55" s="324"/>
    </row>
    <row r="56" spans="2:5" ht="14.25" thickBot="1">
      <c r="B56" s="312" t="s">
        <v>197</v>
      </c>
      <c r="C56" s="323"/>
      <c r="D56" s="323"/>
      <c r="E56" s="323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16520.96</v>
      </c>
      <c r="E58" s="33">
        <f>D58/E21</f>
        <v>1</v>
      </c>
    </row>
    <row r="59" spans="2:5" ht="25.5">
      <c r="B59" s="129" t="s">
        <v>4</v>
      </c>
      <c r="C59" s="194" t="s">
        <v>44</v>
      </c>
      <c r="D59" s="82">
        <v>0</v>
      </c>
      <c r="E59" s="83">
        <v>0</v>
      </c>
    </row>
    <row r="60" spans="2:5" ht="25.5">
      <c r="B60" s="108" t="s">
        <v>6</v>
      </c>
      <c r="C60" s="192" t="s">
        <v>45</v>
      </c>
      <c r="D60" s="80">
        <v>0</v>
      </c>
      <c r="E60" s="81">
        <v>0</v>
      </c>
    </row>
    <row r="61" spans="2:5">
      <c r="B61" s="108" t="s">
        <v>8</v>
      </c>
      <c r="C61" s="192" t="s">
        <v>46</v>
      </c>
      <c r="D61" s="80">
        <v>0</v>
      </c>
      <c r="E61" s="81">
        <v>0</v>
      </c>
    </row>
    <row r="62" spans="2:5">
      <c r="B62" s="108" t="s">
        <v>9</v>
      </c>
      <c r="C62" s="192" t="s">
        <v>47</v>
      </c>
      <c r="D62" s="80">
        <v>0</v>
      </c>
      <c r="E62" s="81">
        <v>0</v>
      </c>
    </row>
    <row r="63" spans="2:5">
      <c r="B63" s="108" t="s">
        <v>29</v>
      </c>
      <c r="C63" s="192" t="s">
        <v>48</v>
      </c>
      <c r="D63" s="80">
        <v>0</v>
      </c>
      <c r="E63" s="81">
        <v>0</v>
      </c>
    </row>
    <row r="64" spans="2:5">
      <c r="B64" s="129" t="s">
        <v>31</v>
      </c>
      <c r="C64" s="194" t="s">
        <v>49</v>
      </c>
      <c r="D64" s="82">
        <f>E21</f>
        <v>16520.96</v>
      </c>
      <c r="E64" s="83">
        <f>D64/E21</f>
        <v>1</v>
      </c>
    </row>
    <row r="65" spans="2:5">
      <c r="B65" s="129" t="s">
        <v>33</v>
      </c>
      <c r="C65" s="194" t="s">
        <v>199</v>
      </c>
      <c r="D65" s="82">
        <v>0</v>
      </c>
      <c r="E65" s="83">
        <v>0</v>
      </c>
    </row>
    <row r="66" spans="2:5">
      <c r="B66" s="129" t="s">
        <v>50</v>
      </c>
      <c r="C66" s="194" t="s">
        <v>51</v>
      </c>
      <c r="D66" s="82">
        <v>0</v>
      </c>
      <c r="E66" s="83">
        <v>0</v>
      </c>
    </row>
    <row r="67" spans="2:5">
      <c r="B67" s="108" t="s">
        <v>52</v>
      </c>
      <c r="C67" s="192" t="s">
        <v>53</v>
      </c>
      <c r="D67" s="80">
        <v>0</v>
      </c>
      <c r="E67" s="81">
        <v>0</v>
      </c>
    </row>
    <row r="68" spans="2:5">
      <c r="B68" s="108" t="s">
        <v>54</v>
      </c>
      <c r="C68" s="192" t="s">
        <v>55</v>
      </c>
      <c r="D68" s="80">
        <v>0</v>
      </c>
      <c r="E68" s="81">
        <v>0</v>
      </c>
    </row>
    <row r="69" spans="2:5">
      <c r="B69" s="108" t="s">
        <v>56</v>
      </c>
      <c r="C69" s="192" t="s">
        <v>57</v>
      </c>
      <c r="D69" s="80">
        <v>0</v>
      </c>
      <c r="E69" s="81">
        <f>D69/E21</f>
        <v>0</v>
      </c>
    </row>
    <row r="70" spans="2:5">
      <c r="B70" s="135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f>E13</f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16520.96</v>
      </c>
      <c r="E74" s="68">
        <f>E58+E72-E73</f>
        <v>1</v>
      </c>
    </row>
    <row r="75" spans="2:5">
      <c r="B75" s="108" t="s">
        <v>4</v>
      </c>
      <c r="C75" s="192" t="s">
        <v>67</v>
      </c>
      <c r="D75" s="80">
        <f>D74</f>
        <v>16520.96</v>
      </c>
      <c r="E75" s="81">
        <f>E74</f>
        <v>1</v>
      </c>
    </row>
    <row r="76" spans="2:5">
      <c r="B76" s="108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68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19577244.849999998</v>
      </c>
      <c r="E11" s="9">
        <f>E12+E13</f>
        <v>18904899.029999997</v>
      </c>
    </row>
    <row r="12" spans="2:7">
      <c r="B12" s="112" t="s">
        <v>4</v>
      </c>
      <c r="C12" s="6" t="s">
        <v>5</v>
      </c>
      <c r="D12" s="235">
        <v>19576695.879999999</v>
      </c>
      <c r="E12" s="87">
        <f>18874783.06-338.26</f>
        <v>18874444.799999997</v>
      </c>
    </row>
    <row r="13" spans="2:7">
      <c r="B13" s="112" t="s">
        <v>6</v>
      </c>
      <c r="C13" s="70" t="s">
        <v>7</v>
      </c>
      <c r="D13" s="235">
        <v>548.97</v>
      </c>
      <c r="E13" s="87">
        <v>30454.23</v>
      </c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29728.59</v>
      </c>
      <c r="E17" s="98">
        <f>SUM(E18:E20)</f>
        <v>37000.01</v>
      </c>
    </row>
    <row r="18" spans="2:6">
      <c r="B18" s="112" t="s">
        <v>4</v>
      </c>
      <c r="C18" s="6" t="s">
        <v>11</v>
      </c>
      <c r="D18" s="235">
        <v>29728.59</v>
      </c>
      <c r="E18" s="88">
        <v>37000.01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19547516.259999998</v>
      </c>
      <c r="E21" s="154">
        <f>E11-E17</f>
        <v>18867899.019999996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21774116.010000002</v>
      </c>
      <c r="E26" s="274">
        <f>D21</f>
        <v>19547516.259999998</v>
      </c>
    </row>
    <row r="27" spans="2:6">
      <c r="B27" s="10" t="s">
        <v>17</v>
      </c>
      <c r="C27" s="11" t="s">
        <v>192</v>
      </c>
      <c r="D27" s="207">
        <v>-1556338.2099999997</v>
      </c>
      <c r="E27" s="243">
        <f>E28-E32</f>
        <v>-594687.84</v>
      </c>
      <c r="F27" s="73"/>
    </row>
    <row r="28" spans="2:6">
      <c r="B28" s="10" t="s">
        <v>18</v>
      </c>
      <c r="C28" s="11" t="s">
        <v>19</v>
      </c>
      <c r="D28" s="207">
        <v>74577.45</v>
      </c>
      <c r="E28" s="244">
        <f>SUM(E29:E31)</f>
        <v>179652.37</v>
      </c>
      <c r="F28" s="73"/>
    </row>
    <row r="29" spans="2:6">
      <c r="B29" s="110" t="s">
        <v>4</v>
      </c>
      <c r="C29" s="6" t="s">
        <v>20</v>
      </c>
      <c r="D29" s="208">
        <v>7318.92</v>
      </c>
      <c r="E29" s="246">
        <v>5700.12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67258.53</v>
      </c>
      <c r="E31" s="246">
        <v>173952.25</v>
      </c>
      <c r="F31" s="73"/>
    </row>
    <row r="32" spans="2:6">
      <c r="B32" s="97" t="s">
        <v>23</v>
      </c>
      <c r="C32" s="12" t="s">
        <v>24</v>
      </c>
      <c r="D32" s="207">
        <v>1630915.6599999997</v>
      </c>
      <c r="E32" s="244">
        <f>SUM(E33:E39)</f>
        <v>774340.21</v>
      </c>
      <c r="F32" s="73"/>
    </row>
    <row r="33" spans="2:6">
      <c r="B33" s="110" t="s">
        <v>4</v>
      </c>
      <c r="C33" s="6" t="s">
        <v>25</v>
      </c>
      <c r="D33" s="208">
        <v>1529540.8899999997</v>
      </c>
      <c r="E33" s="246">
        <f>747360.99+338.26</f>
        <v>747699.25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18200.259999999998</v>
      </c>
      <c r="E35" s="246">
        <v>17752.52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83174.509999999995</v>
      </c>
      <c r="E39" s="248">
        <v>8888.44</v>
      </c>
      <c r="F39" s="73"/>
    </row>
    <row r="40" spans="2:6" ht="13.5" thickBot="1">
      <c r="B40" s="103" t="s">
        <v>35</v>
      </c>
      <c r="C40" s="104" t="s">
        <v>36</v>
      </c>
      <c r="D40" s="210">
        <v>330809.08</v>
      </c>
      <c r="E40" s="275">
        <v>-84929.4</v>
      </c>
    </row>
    <row r="41" spans="2:6" ht="13.5" thickBot="1">
      <c r="B41" s="105" t="s">
        <v>37</v>
      </c>
      <c r="C41" s="106" t="s">
        <v>38</v>
      </c>
      <c r="D41" s="211">
        <v>20548586.879999999</v>
      </c>
      <c r="E41" s="154">
        <f>E26+E27+E40</f>
        <v>18867899.02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1719564.831</v>
      </c>
      <c r="E47" s="75">
        <v>1508214.4464</v>
      </c>
    </row>
    <row r="48" spans="2:6">
      <c r="B48" s="129" t="s">
        <v>6</v>
      </c>
      <c r="C48" s="23" t="s">
        <v>41</v>
      </c>
      <c r="D48" s="213">
        <v>1597848.1317</v>
      </c>
      <c r="E48" s="75">
        <v>1462514.4578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12.662599999999999</v>
      </c>
      <c r="E50" s="75">
        <v>12.960699999999999</v>
      </c>
    </row>
    <row r="51" spans="2:5">
      <c r="B51" s="108" t="s">
        <v>6</v>
      </c>
      <c r="C51" s="16" t="s">
        <v>195</v>
      </c>
      <c r="D51" s="280">
        <v>12.615399999999999</v>
      </c>
      <c r="E51" s="77">
        <v>12.8985</v>
      </c>
    </row>
    <row r="52" spans="2:5">
      <c r="B52" s="108" t="s">
        <v>8</v>
      </c>
      <c r="C52" s="16" t="s">
        <v>196</v>
      </c>
      <c r="D52" s="280">
        <v>12.8957</v>
      </c>
      <c r="E52" s="77">
        <v>13.074400000000001</v>
      </c>
    </row>
    <row r="53" spans="2:5" ht="13.5" customHeight="1" thickBot="1">
      <c r="B53" s="109" t="s">
        <v>9</v>
      </c>
      <c r="C53" s="18" t="s">
        <v>41</v>
      </c>
      <c r="D53" s="216">
        <v>12.860200000000001</v>
      </c>
      <c r="E53" s="281">
        <v>12.901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18874444.799999997</v>
      </c>
      <c r="E58" s="33">
        <f>D58/E21</f>
        <v>1.0003469268090244</v>
      </c>
    </row>
    <row r="59" spans="2:5" ht="25.5">
      <c r="B59" s="193" t="s">
        <v>4</v>
      </c>
      <c r="C59" s="194" t="s">
        <v>44</v>
      </c>
      <c r="D59" s="82">
        <v>0</v>
      </c>
      <c r="E59" s="83">
        <v>0</v>
      </c>
    </row>
    <row r="60" spans="2:5" ht="25.5">
      <c r="B60" s="191" t="s">
        <v>6</v>
      </c>
      <c r="C60" s="192" t="s">
        <v>45</v>
      </c>
      <c r="D60" s="80">
        <v>0</v>
      </c>
      <c r="E60" s="81">
        <v>0</v>
      </c>
    </row>
    <row r="61" spans="2:5" ht="12.75" customHeight="1">
      <c r="B61" s="191" t="s">
        <v>8</v>
      </c>
      <c r="C61" s="192" t="s">
        <v>46</v>
      </c>
      <c r="D61" s="80">
        <v>0</v>
      </c>
      <c r="E61" s="81">
        <v>0</v>
      </c>
    </row>
    <row r="62" spans="2:5">
      <c r="B62" s="191" t="s">
        <v>9</v>
      </c>
      <c r="C62" s="192" t="s">
        <v>47</v>
      </c>
      <c r="D62" s="80">
        <v>0</v>
      </c>
      <c r="E62" s="81">
        <v>0</v>
      </c>
    </row>
    <row r="63" spans="2:5">
      <c r="B63" s="191" t="s">
        <v>29</v>
      </c>
      <c r="C63" s="192" t="s">
        <v>48</v>
      </c>
      <c r="D63" s="80">
        <v>0</v>
      </c>
      <c r="E63" s="81">
        <v>0</v>
      </c>
    </row>
    <row r="64" spans="2:5">
      <c r="B64" s="193" t="s">
        <v>31</v>
      </c>
      <c r="C64" s="194" t="s">
        <v>49</v>
      </c>
      <c r="D64" s="82">
        <f>E12</f>
        <v>18874444.799999997</v>
      </c>
      <c r="E64" s="83">
        <f>D64/E21</f>
        <v>1.0003469268090244</v>
      </c>
    </row>
    <row r="65" spans="2:5">
      <c r="B65" s="193" t="s">
        <v>33</v>
      </c>
      <c r="C65" s="194" t="s">
        <v>199</v>
      </c>
      <c r="D65" s="82">
        <v>0</v>
      </c>
      <c r="E65" s="83">
        <v>0</v>
      </c>
    </row>
    <row r="66" spans="2:5">
      <c r="B66" s="193" t="s">
        <v>50</v>
      </c>
      <c r="C66" s="194" t="s">
        <v>51</v>
      </c>
      <c r="D66" s="82">
        <v>0</v>
      </c>
      <c r="E66" s="83">
        <v>0</v>
      </c>
    </row>
    <row r="67" spans="2:5">
      <c r="B67" s="191" t="s">
        <v>52</v>
      </c>
      <c r="C67" s="192" t="s">
        <v>53</v>
      </c>
      <c r="D67" s="80">
        <v>0</v>
      </c>
      <c r="E67" s="81">
        <v>0</v>
      </c>
    </row>
    <row r="68" spans="2:5">
      <c r="B68" s="191" t="s">
        <v>54</v>
      </c>
      <c r="C68" s="192" t="s">
        <v>55</v>
      </c>
      <c r="D68" s="80">
        <v>0</v>
      </c>
      <c r="E68" s="81">
        <v>0</v>
      </c>
    </row>
    <row r="69" spans="2:5">
      <c r="B69" s="191" t="s">
        <v>56</v>
      </c>
      <c r="C69" s="192" t="s">
        <v>57</v>
      </c>
      <c r="D69" s="80">
        <v>0</v>
      </c>
      <c r="E69" s="81">
        <v>0</v>
      </c>
    </row>
    <row r="70" spans="2:5">
      <c r="B70" s="306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f>E13</f>
        <v>30454.23</v>
      </c>
      <c r="E71" s="68">
        <f>D71/E21</f>
        <v>1.6140763721344108E-3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37000.01</v>
      </c>
      <c r="E73" s="27">
        <f>D73/E21</f>
        <v>1.9610031811586413E-3</v>
      </c>
    </row>
    <row r="74" spans="2:5">
      <c r="B74" s="136" t="s">
        <v>64</v>
      </c>
      <c r="C74" s="127" t="s">
        <v>66</v>
      </c>
      <c r="D74" s="128">
        <f>D58+D71-D73</f>
        <v>18867899.019999996</v>
      </c>
      <c r="E74" s="68">
        <f>E58+E71+E72-E73</f>
        <v>1.0000000000000002</v>
      </c>
    </row>
    <row r="75" spans="2:5">
      <c r="B75" s="191" t="s">
        <v>4</v>
      </c>
      <c r="C75" s="192" t="s">
        <v>67</v>
      </c>
      <c r="D75" s="80">
        <f>D74</f>
        <v>18867899.019999996</v>
      </c>
      <c r="E75" s="81">
        <f>E74</f>
        <v>1.0000000000000002</v>
      </c>
    </row>
    <row r="76" spans="2:5">
      <c r="B76" s="191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95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69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141941991.41999999</v>
      </c>
      <c r="E11" s="9">
        <f>E12</f>
        <v>124004890.94</v>
      </c>
    </row>
    <row r="12" spans="2:7">
      <c r="B12" s="112" t="s">
        <v>4</v>
      </c>
      <c r="C12" s="6" t="s">
        <v>5</v>
      </c>
      <c r="D12" s="235">
        <v>141941991.41999999</v>
      </c>
      <c r="E12" s="87">
        <f>124202491.97-197601.03</f>
        <v>124004890.94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253954.91</v>
      </c>
      <c r="E17" s="98">
        <f>SUM(E18:E19)</f>
        <v>1040384.63</v>
      </c>
    </row>
    <row r="18" spans="2:6">
      <c r="B18" s="112" t="s">
        <v>4</v>
      </c>
      <c r="C18" s="6" t="s">
        <v>11</v>
      </c>
      <c r="D18" s="235">
        <v>253954.91</v>
      </c>
      <c r="E18" s="88">
        <v>1040384.63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141688036.50999999</v>
      </c>
      <c r="E21" s="154">
        <f>E11-E17</f>
        <v>122964506.31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139202750.47999999</v>
      </c>
      <c r="E26" s="274">
        <f>D21</f>
        <v>141688036.50999999</v>
      </c>
    </row>
    <row r="27" spans="2:6">
      <c r="B27" s="10" t="s">
        <v>17</v>
      </c>
      <c r="C27" s="11" t="s">
        <v>192</v>
      </c>
      <c r="D27" s="207">
        <v>-6873210.2800000003</v>
      </c>
      <c r="E27" s="243">
        <f>E28-E32</f>
        <v>-7010356.5900000008</v>
      </c>
      <c r="F27" s="73"/>
    </row>
    <row r="28" spans="2:6">
      <c r="B28" s="10" t="s">
        <v>18</v>
      </c>
      <c r="C28" s="11" t="s">
        <v>19</v>
      </c>
      <c r="D28" s="207">
        <v>184391.88</v>
      </c>
      <c r="E28" s="244">
        <f>SUM(E29:E31)</f>
        <v>39730.200000000004</v>
      </c>
      <c r="F28" s="73"/>
    </row>
    <row r="29" spans="2:6">
      <c r="B29" s="110" t="s">
        <v>4</v>
      </c>
      <c r="C29" s="6" t="s">
        <v>20</v>
      </c>
      <c r="D29" s="208">
        <v>44353.18</v>
      </c>
      <c r="E29" s="246">
        <v>34048.080000000002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140038.70000000001</v>
      </c>
      <c r="E31" s="246">
        <v>5682.12</v>
      </c>
      <c r="F31" s="73"/>
    </row>
    <row r="32" spans="2:6">
      <c r="B32" s="97" t="s">
        <v>23</v>
      </c>
      <c r="C32" s="12" t="s">
        <v>24</v>
      </c>
      <c r="D32" s="207">
        <v>7057602.1600000001</v>
      </c>
      <c r="E32" s="244">
        <f>SUM(E33:E39)</f>
        <v>7050086.790000001</v>
      </c>
      <c r="F32" s="73"/>
    </row>
    <row r="33" spans="2:6">
      <c r="B33" s="110" t="s">
        <v>4</v>
      </c>
      <c r="C33" s="6" t="s">
        <v>25</v>
      </c>
      <c r="D33" s="208">
        <v>6721371.1900000004</v>
      </c>
      <c r="E33" s="246">
        <f>6754476.86+33266.94</f>
        <v>6787743.8000000007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109622.2</v>
      </c>
      <c r="E35" s="246">
        <v>109244.07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226608.77</v>
      </c>
      <c r="E39" s="248">
        <v>153098.92000000001</v>
      </c>
      <c r="F39" s="73"/>
    </row>
    <row r="40" spans="2:6" ht="13.5" thickBot="1">
      <c r="B40" s="103" t="s">
        <v>35</v>
      </c>
      <c r="C40" s="104" t="s">
        <v>36</v>
      </c>
      <c r="D40" s="210">
        <v>12048139.119999999</v>
      </c>
      <c r="E40" s="275">
        <v>-11713173.609999999</v>
      </c>
    </row>
    <row r="41" spans="2:6" ht="13.5" thickBot="1">
      <c r="B41" s="105" t="s">
        <v>37</v>
      </c>
      <c r="C41" s="106" t="s">
        <v>38</v>
      </c>
      <c r="D41" s="211">
        <v>144377679.31999999</v>
      </c>
      <c r="E41" s="154">
        <f>E26+E27+E40</f>
        <v>122964506.30999999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14349569.0702</v>
      </c>
      <c r="E47" s="75">
        <v>13172685.1964</v>
      </c>
    </row>
    <row r="48" spans="2:6">
      <c r="B48" s="129" t="s">
        <v>6</v>
      </c>
      <c r="C48" s="23" t="s">
        <v>41</v>
      </c>
      <c r="D48" s="213">
        <v>13681327.343194764</v>
      </c>
      <c r="E48" s="75">
        <v>12498552.2204</v>
      </c>
    </row>
    <row r="49" spans="2:5">
      <c r="B49" s="126" t="s">
        <v>23</v>
      </c>
      <c r="C49" s="130" t="s">
        <v>194</v>
      </c>
      <c r="D49" s="214"/>
      <c r="E49" s="75"/>
    </row>
    <row r="50" spans="2:5">
      <c r="B50" s="108" t="s">
        <v>4</v>
      </c>
      <c r="C50" s="16" t="s">
        <v>40</v>
      </c>
      <c r="D50" s="212">
        <v>9.7007999999999992</v>
      </c>
      <c r="E50" s="75">
        <v>10.7562</v>
      </c>
    </row>
    <row r="51" spans="2:5">
      <c r="B51" s="108" t="s">
        <v>6</v>
      </c>
      <c r="C51" s="16" t="s">
        <v>195</v>
      </c>
      <c r="D51" s="280">
        <v>9.6957000000000004</v>
      </c>
      <c r="E51" s="77">
        <v>9.8383000000000003</v>
      </c>
    </row>
    <row r="52" spans="2:5" ht="12.75" customHeight="1">
      <c r="B52" s="108" t="s">
        <v>8</v>
      </c>
      <c r="C52" s="16" t="s">
        <v>196</v>
      </c>
      <c r="D52" s="280">
        <v>10.609299999999999</v>
      </c>
      <c r="E52" s="77">
        <v>11.0343</v>
      </c>
    </row>
    <row r="53" spans="2:5" ht="13.5" thickBot="1">
      <c r="B53" s="109" t="s">
        <v>9</v>
      </c>
      <c r="C53" s="18" t="s">
        <v>41</v>
      </c>
      <c r="D53" s="216">
        <v>10.552899999999999</v>
      </c>
      <c r="E53" s="281">
        <v>9.8383000000000003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124004890.94</v>
      </c>
      <c r="E58" s="33">
        <f>D58/E21</f>
        <v>1.0084608531455177</v>
      </c>
    </row>
    <row r="59" spans="2:5" ht="25.5">
      <c r="B59" s="193" t="s">
        <v>4</v>
      </c>
      <c r="C59" s="194" t="s">
        <v>44</v>
      </c>
      <c r="D59" s="82">
        <v>0</v>
      </c>
      <c r="E59" s="83">
        <v>0</v>
      </c>
    </row>
    <row r="60" spans="2:5" ht="24" customHeight="1">
      <c r="B60" s="191" t="s">
        <v>6</v>
      </c>
      <c r="C60" s="192" t="s">
        <v>45</v>
      </c>
      <c r="D60" s="80">
        <v>0</v>
      </c>
      <c r="E60" s="81">
        <v>0</v>
      </c>
    </row>
    <row r="61" spans="2:5">
      <c r="B61" s="191" t="s">
        <v>8</v>
      </c>
      <c r="C61" s="192" t="s">
        <v>46</v>
      </c>
      <c r="D61" s="80">
        <v>0</v>
      </c>
      <c r="E61" s="81">
        <v>0</v>
      </c>
    </row>
    <row r="62" spans="2:5">
      <c r="B62" s="191" t="s">
        <v>9</v>
      </c>
      <c r="C62" s="192" t="s">
        <v>47</v>
      </c>
      <c r="D62" s="80">
        <v>0</v>
      </c>
      <c r="E62" s="81">
        <v>0</v>
      </c>
    </row>
    <row r="63" spans="2:5">
      <c r="B63" s="191" t="s">
        <v>29</v>
      </c>
      <c r="C63" s="192" t="s">
        <v>48</v>
      </c>
      <c r="D63" s="80">
        <v>0</v>
      </c>
      <c r="E63" s="81">
        <v>0</v>
      </c>
    </row>
    <row r="64" spans="2:5">
      <c r="B64" s="193" t="s">
        <v>31</v>
      </c>
      <c r="C64" s="194" t="s">
        <v>49</v>
      </c>
      <c r="D64" s="82">
        <f>E12</f>
        <v>124004890.94</v>
      </c>
      <c r="E64" s="83">
        <f>D64/E21</f>
        <v>1.0084608531455177</v>
      </c>
    </row>
    <row r="65" spans="2:5">
      <c r="B65" s="193" t="s">
        <v>33</v>
      </c>
      <c r="C65" s="194" t="s">
        <v>199</v>
      </c>
      <c r="D65" s="82">
        <v>0</v>
      </c>
      <c r="E65" s="83">
        <v>0</v>
      </c>
    </row>
    <row r="66" spans="2:5">
      <c r="B66" s="193" t="s">
        <v>50</v>
      </c>
      <c r="C66" s="194" t="s">
        <v>51</v>
      </c>
      <c r="D66" s="82">
        <v>0</v>
      </c>
      <c r="E66" s="83">
        <v>0</v>
      </c>
    </row>
    <row r="67" spans="2:5">
      <c r="B67" s="191" t="s">
        <v>52</v>
      </c>
      <c r="C67" s="192" t="s">
        <v>53</v>
      </c>
      <c r="D67" s="80">
        <v>0</v>
      </c>
      <c r="E67" s="81">
        <v>0</v>
      </c>
    </row>
    <row r="68" spans="2:5">
      <c r="B68" s="191" t="s">
        <v>54</v>
      </c>
      <c r="C68" s="192" t="s">
        <v>55</v>
      </c>
      <c r="D68" s="80">
        <v>0</v>
      </c>
      <c r="E68" s="81">
        <v>0</v>
      </c>
    </row>
    <row r="69" spans="2:5">
      <c r="B69" s="191" t="s">
        <v>56</v>
      </c>
      <c r="C69" s="192" t="s">
        <v>57</v>
      </c>
      <c r="D69" s="80">
        <v>0</v>
      </c>
      <c r="E69" s="81">
        <v>0</v>
      </c>
    </row>
    <row r="70" spans="2:5">
      <c r="B70" s="306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1040384.63</v>
      </c>
      <c r="E73" s="27">
        <f>D73/E21</f>
        <v>8.4608531455177445E-3</v>
      </c>
    </row>
    <row r="74" spans="2:5">
      <c r="B74" s="136" t="s">
        <v>64</v>
      </c>
      <c r="C74" s="127" t="s">
        <v>66</v>
      </c>
      <c r="D74" s="128">
        <f>D58-D73</f>
        <v>122964506.31</v>
      </c>
      <c r="E74" s="68">
        <f>E58+E72-E73</f>
        <v>1</v>
      </c>
    </row>
    <row r="75" spans="2:5">
      <c r="B75" s="191" t="s">
        <v>4</v>
      </c>
      <c r="C75" s="192" t="s">
        <v>67</v>
      </c>
      <c r="D75" s="80">
        <f>D74</f>
        <v>122964506.31</v>
      </c>
      <c r="E75" s="81">
        <f>E74</f>
        <v>1</v>
      </c>
    </row>
    <row r="76" spans="2:5">
      <c r="B76" s="191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95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70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131838772.81</v>
      </c>
      <c r="E11" s="9">
        <f>E12+E13+E14</f>
        <v>115032092.8</v>
      </c>
    </row>
    <row r="12" spans="2:7">
      <c r="B12" s="112" t="s">
        <v>4</v>
      </c>
      <c r="C12" s="6" t="s">
        <v>5</v>
      </c>
      <c r="D12" s="235">
        <v>131838772.81</v>
      </c>
      <c r="E12" s="87">
        <f>115149086.44-132357.02</f>
        <v>115016729.42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>
        <f>E15</f>
        <v>15363.38</v>
      </c>
    </row>
    <row r="15" spans="2:7">
      <c r="B15" s="112" t="s">
        <v>187</v>
      </c>
      <c r="C15" s="70" t="s">
        <v>11</v>
      </c>
      <c r="D15" s="235"/>
      <c r="E15" s="87">
        <v>15363.38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267705.63</v>
      </c>
      <c r="E17" s="98">
        <f>SUM(E18:E20)</f>
        <v>884648.81</v>
      </c>
    </row>
    <row r="18" spans="2:6">
      <c r="B18" s="112" t="s">
        <v>4</v>
      </c>
      <c r="C18" s="6" t="s">
        <v>11</v>
      </c>
      <c r="D18" s="235">
        <v>267705.63</v>
      </c>
      <c r="E18" s="88">
        <v>884648.81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131571067.18000001</v>
      </c>
      <c r="E21" s="154">
        <f>E11-E17</f>
        <v>114147443.98999999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132184066.06000002</v>
      </c>
      <c r="E26" s="274">
        <f>D21</f>
        <v>131571067.18000001</v>
      </c>
    </row>
    <row r="27" spans="2:6">
      <c r="B27" s="10" t="s">
        <v>17</v>
      </c>
      <c r="C27" s="11" t="s">
        <v>192</v>
      </c>
      <c r="D27" s="207">
        <v>-7194400.3999999994</v>
      </c>
      <c r="E27" s="243">
        <f>E28-E32</f>
        <v>-7634638.8900000006</v>
      </c>
      <c r="F27" s="73"/>
    </row>
    <row r="28" spans="2:6">
      <c r="B28" s="10" t="s">
        <v>18</v>
      </c>
      <c r="C28" s="11" t="s">
        <v>19</v>
      </c>
      <c r="D28" s="207">
        <v>339745.44</v>
      </c>
      <c r="E28" s="244">
        <f>SUM(E29:E31)</f>
        <v>28835.52</v>
      </c>
      <c r="F28" s="73"/>
    </row>
    <row r="29" spans="2:6">
      <c r="B29" s="110" t="s">
        <v>4</v>
      </c>
      <c r="C29" s="6" t="s">
        <v>20</v>
      </c>
      <c r="D29" s="208">
        <v>34187.379999999997</v>
      </c>
      <c r="E29" s="246">
        <v>28835.52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305558.06</v>
      </c>
      <c r="E31" s="246"/>
      <c r="F31" s="73"/>
    </row>
    <row r="32" spans="2:6">
      <c r="B32" s="97" t="s">
        <v>23</v>
      </c>
      <c r="C32" s="12" t="s">
        <v>24</v>
      </c>
      <c r="D32" s="207">
        <v>7534145.8399999999</v>
      </c>
      <c r="E32" s="244">
        <f>SUM(E33:E39)</f>
        <v>7663474.4100000001</v>
      </c>
      <c r="F32" s="73"/>
    </row>
    <row r="33" spans="2:6">
      <c r="B33" s="110" t="s">
        <v>4</v>
      </c>
      <c r="C33" s="6" t="s">
        <v>25</v>
      </c>
      <c r="D33" s="208">
        <v>7410048.0299999993</v>
      </c>
      <c r="E33" s="246">
        <f>7359919.33+56270.33</f>
        <v>7416189.6600000001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95564.36</v>
      </c>
      <c r="E35" s="246">
        <v>91525.88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28533.45</v>
      </c>
      <c r="E39" s="248">
        <v>155758.87</v>
      </c>
      <c r="F39" s="73"/>
    </row>
    <row r="40" spans="2:6" ht="13.5" thickBot="1">
      <c r="B40" s="103" t="s">
        <v>35</v>
      </c>
      <c r="C40" s="104" t="s">
        <v>36</v>
      </c>
      <c r="D40" s="210">
        <v>9039637.0999999996</v>
      </c>
      <c r="E40" s="275">
        <v>-9788984.3000000007</v>
      </c>
    </row>
    <row r="41" spans="2:6" ht="13.5" thickBot="1">
      <c r="B41" s="105" t="s">
        <v>37</v>
      </c>
      <c r="C41" s="106" t="s">
        <v>38</v>
      </c>
      <c r="D41" s="211">
        <v>134029302.76000001</v>
      </c>
      <c r="E41" s="154">
        <f>E26+E27+E40</f>
        <v>114147443.99000001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9864593.4831000008</v>
      </c>
      <c r="E47" s="75">
        <v>8993667.9935999997</v>
      </c>
    </row>
    <row r="48" spans="2:6">
      <c r="B48" s="129" t="s">
        <v>6</v>
      </c>
      <c r="C48" s="23" t="s">
        <v>41</v>
      </c>
      <c r="D48" s="213">
        <v>9356582.5754296817</v>
      </c>
      <c r="E48" s="75">
        <v>8451484.7988000009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13.399800000000001</v>
      </c>
      <c r="E50" s="75">
        <v>14.629300000000001</v>
      </c>
    </row>
    <row r="51" spans="2:5">
      <c r="B51" s="108" t="s">
        <v>6</v>
      </c>
      <c r="C51" s="16" t="s">
        <v>195</v>
      </c>
      <c r="D51" s="280">
        <v>13.3871</v>
      </c>
      <c r="E51" s="77">
        <v>13.5062</v>
      </c>
    </row>
    <row r="52" spans="2:5" ht="12.75" customHeight="1">
      <c r="B52" s="108" t="s">
        <v>8</v>
      </c>
      <c r="C52" s="16" t="s">
        <v>196</v>
      </c>
      <c r="D52" s="280">
        <v>14.642799999999999</v>
      </c>
      <c r="E52" s="77">
        <v>15.176</v>
      </c>
    </row>
    <row r="53" spans="2:5" ht="13.5" thickBot="1">
      <c r="B53" s="109" t="s">
        <v>9</v>
      </c>
      <c r="C53" s="18" t="s">
        <v>41</v>
      </c>
      <c r="D53" s="216">
        <v>14.3246</v>
      </c>
      <c r="E53" s="281">
        <v>13.5062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115016729.42</v>
      </c>
      <c r="E58" s="33">
        <f>D58/E21</f>
        <v>1.0076154611931227</v>
      </c>
    </row>
    <row r="59" spans="2:5" ht="25.5">
      <c r="B59" s="193" t="s">
        <v>4</v>
      </c>
      <c r="C59" s="194" t="s">
        <v>44</v>
      </c>
      <c r="D59" s="82">
        <v>0</v>
      </c>
      <c r="E59" s="83">
        <v>0</v>
      </c>
    </row>
    <row r="60" spans="2:5" ht="24" customHeight="1">
      <c r="B60" s="191" t="s">
        <v>6</v>
      </c>
      <c r="C60" s="192" t="s">
        <v>45</v>
      </c>
      <c r="D60" s="80">
        <v>0</v>
      </c>
      <c r="E60" s="81">
        <v>0</v>
      </c>
    </row>
    <row r="61" spans="2:5">
      <c r="B61" s="191" t="s">
        <v>8</v>
      </c>
      <c r="C61" s="192" t="s">
        <v>46</v>
      </c>
      <c r="D61" s="80">
        <v>0</v>
      </c>
      <c r="E61" s="81">
        <v>0</v>
      </c>
    </row>
    <row r="62" spans="2:5">
      <c r="B62" s="191" t="s">
        <v>9</v>
      </c>
      <c r="C62" s="192" t="s">
        <v>47</v>
      </c>
      <c r="D62" s="80">
        <v>0</v>
      </c>
      <c r="E62" s="81">
        <v>0</v>
      </c>
    </row>
    <row r="63" spans="2:5">
      <c r="B63" s="191" t="s">
        <v>29</v>
      </c>
      <c r="C63" s="192" t="s">
        <v>48</v>
      </c>
      <c r="D63" s="80">
        <v>0</v>
      </c>
      <c r="E63" s="81">
        <v>0</v>
      </c>
    </row>
    <row r="64" spans="2:5">
      <c r="B64" s="193" t="s">
        <v>31</v>
      </c>
      <c r="C64" s="194" t="s">
        <v>49</v>
      </c>
      <c r="D64" s="82">
        <f>E12</f>
        <v>115016729.42</v>
      </c>
      <c r="E64" s="83">
        <f>D64/E21</f>
        <v>1.0076154611931227</v>
      </c>
    </row>
    <row r="65" spans="2:5">
      <c r="B65" s="193" t="s">
        <v>33</v>
      </c>
      <c r="C65" s="194" t="s">
        <v>199</v>
      </c>
      <c r="D65" s="82">
        <v>0</v>
      </c>
      <c r="E65" s="83">
        <v>0</v>
      </c>
    </row>
    <row r="66" spans="2:5">
      <c r="B66" s="193" t="s">
        <v>50</v>
      </c>
      <c r="C66" s="194" t="s">
        <v>51</v>
      </c>
      <c r="D66" s="82">
        <v>0</v>
      </c>
      <c r="E66" s="83">
        <v>0</v>
      </c>
    </row>
    <row r="67" spans="2:5">
      <c r="B67" s="191" t="s">
        <v>52</v>
      </c>
      <c r="C67" s="192" t="s">
        <v>53</v>
      </c>
      <c r="D67" s="80">
        <v>0</v>
      </c>
      <c r="E67" s="81">
        <v>0</v>
      </c>
    </row>
    <row r="68" spans="2:5">
      <c r="B68" s="191" t="s">
        <v>54</v>
      </c>
      <c r="C68" s="192" t="s">
        <v>55</v>
      </c>
      <c r="D68" s="80">
        <v>0</v>
      </c>
      <c r="E68" s="81">
        <v>0</v>
      </c>
    </row>
    <row r="69" spans="2:5">
      <c r="B69" s="191" t="s">
        <v>56</v>
      </c>
      <c r="C69" s="192" t="s">
        <v>57</v>
      </c>
      <c r="D69" s="80">
        <v>0</v>
      </c>
      <c r="E69" s="81">
        <v>0</v>
      </c>
    </row>
    <row r="70" spans="2:5">
      <c r="B70" s="306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15363.38</v>
      </c>
      <c r="E72" s="125">
        <f>D72/E21</f>
        <v>1.3459241366233242E-4</v>
      </c>
    </row>
    <row r="73" spans="2:5">
      <c r="B73" s="138" t="s">
        <v>62</v>
      </c>
      <c r="C73" s="25" t="s">
        <v>65</v>
      </c>
      <c r="D73" s="26">
        <f>E17</f>
        <v>884648.81</v>
      </c>
      <c r="E73" s="27">
        <f>D73/E21</f>
        <v>7.7500536067851037E-3</v>
      </c>
    </row>
    <row r="74" spans="2:5">
      <c r="B74" s="136" t="s">
        <v>64</v>
      </c>
      <c r="C74" s="127" t="s">
        <v>66</v>
      </c>
      <c r="D74" s="128">
        <f>D58+D72-D73</f>
        <v>114147443.98999999</v>
      </c>
      <c r="E74" s="68">
        <f>E58+E72-E73</f>
        <v>1</v>
      </c>
    </row>
    <row r="75" spans="2:5">
      <c r="B75" s="191" t="s">
        <v>4</v>
      </c>
      <c r="C75" s="192" t="s">
        <v>67</v>
      </c>
      <c r="D75" s="80">
        <f>D74</f>
        <v>114147443.98999999</v>
      </c>
      <c r="E75" s="81">
        <f>E74</f>
        <v>1</v>
      </c>
    </row>
    <row r="76" spans="2:5">
      <c r="B76" s="191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95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71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99" t="s">
        <v>190</v>
      </c>
      <c r="D11" s="232">
        <v>14160282.16</v>
      </c>
      <c r="E11" s="9">
        <f>E12+E13+E14</f>
        <v>13769982.489999998</v>
      </c>
    </row>
    <row r="12" spans="2:7">
      <c r="B12" s="112" t="s">
        <v>4</v>
      </c>
      <c r="C12" s="200" t="s">
        <v>5</v>
      </c>
      <c r="D12" s="269">
        <v>14160282.16</v>
      </c>
      <c r="E12" s="87">
        <f>13825164.7-55182.21</f>
        <v>13769982.489999998</v>
      </c>
    </row>
    <row r="13" spans="2:7">
      <c r="B13" s="112" t="s">
        <v>6</v>
      </c>
      <c r="C13" s="200" t="s">
        <v>7</v>
      </c>
      <c r="D13" s="269"/>
      <c r="E13" s="87"/>
    </row>
    <row r="14" spans="2:7">
      <c r="B14" s="112" t="s">
        <v>8</v>
      </c>
      <c r="C14" s="200" t="s">
        <v>10</v>
      </c>
      <c r="D14" s="269">
        <v>0</v>
      </c>
      <c r="E14" s="87">
        <f>E15</f>
        <v>0</v>
      </c>
    </row>
    <row r="15" spans="2:7">
      <c r="B15" s="112" t="s">
        <v>187</v>
      </c>
      <c r="C15" s="200" t="s">
        <v>11</v>
      </c>
      <c r="D15" s="269"/>
      <c r="E15" s="87"/>
    </row>
    <row r="16" spans="2:7">
      <c r="B16" s="113" t="s">
        <v>188</v>
      </c>
      <c r="C16" s="201" t="s">
        <v>12</v>
      </c>
      <c r="D16" s="272"/>
      <c r="E16" s="88"/>
    </row>
    <row r="17" spans="2:6">
      <c r="B17" s="10" t="s">
        <v>13</v>
      </c>
      <c r="C17" s="202" t="s">
        <v>65</v>
      </c>
      <c r="D17" s="268">
        <v>22105.88</v>
      </c>
      <c r="E17" s="98">
        <f>E18</f>
        <v>179039.28</v>
      </c>
    </row>
    <row r="18" spans="2:6">
      <c r="B18" s="112" t="s">
        <v>4</v>
      </c>
      <c r="C18" s="200" t="s">
        <v>11</v>
      </c>
      <c r="D18" s="272">
        <v>22105.88</v>
      </c>
      <c r="E18" s="88">
        <v>179039.28</v>
      </c>
    </row>
    <row r="19" spans="2:6" ht="15" customHeight="1">
      <c r="B19" s="112" t="s">
        <v>6</v>
      </c>
      <c r="C19" s="200" t="s">
        <v>189</v>
      </c>
      <c r="D19" s="269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14138176.279999999</v>
      </c>
      <c r="E21" s="154">
        <f>E11-E17</f>
        <v>13590943.209999999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18075268.039999999</v>
      </c>
      <c r="E26" s="274">
        <f>D21</f>
        <v>14138176.279999999</v>
      </c>
    </row>
    <row r="27" spans="2:6">
      <c r="B27" s="10" t="s">
        <v>17</v>
      </c>
      <c r="C27" s="11" t="s">
        <v>192</v>
      </c>
      <c r="D27" s="207">
        <v>-1839111.3599999999</v>
      </c>
      <c r="E27" s="243">
        <f>E28-E32</f>
        <v>-954888.56</v>
      </c>
      <c r="F27" s="73"/>
    </row>
    <row r="28" spans="2:6">
      <c r="B28" s="10" t="s">
        <v>18</v>
      </c>
      <c r="C28" s="11" t="s">
        <v>19</v>
      </c>
      <c r="D28" s="207">
        <v>222248.24000000002</v>
      </c>
      <c r="E28" s="244">
        <f>SUM(E29:E31)</f>
        <v>30472.980000000003</v>
      </c>
      <c r="F28" s="73"/>
    </row>
    <row r="29" spans="2:6">
      <c r="B29" s="110" t="s">
        <v>4</v>
      </c>
      <c r="C29" s="6" t="s">
        <v>20</v>
      </c>
      <c r="D29" s="208">
        <v>5832.29</v>
      </c>
      <c r="E29" s="246">
        <v>5831.1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216415.95</v>
      </c>
      <c r="E31" s="246">
        <v>24641.88</v>
      </c>
      <c r="F31" s="73"/>
    </row>
    <row r="32" spans="2:6">
      <c r="B32" s="97" t="s">
        <v>23</v>
      </c>
      <c r="C32" s="12" t="s">
        <v>24</v>
      </c>
      <c r="D32" s="207">
        <v>2061359.5999999999</v>
      </c>
      <c r="E32" s="244">
        <f>SUM(E33:E39)</f>
        <v>985361.54</v>
      </c>
      <c r="F32" s="73"/>
    </row>
    <row r="33" spans="2:6">
      <c r="B33" s="110" t="s">
        <v>4</v>
      </c>
      <c r="C33" s="6" t="s">
        <v>25</v>
      </c>
      <c r="D33" s="208">
        <v>1729773.89</v>
      </c>
      <c r="E33" s="246">
        <f>894995.17+55182.21</f>
        <v>950177.38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11400.92</v>
      </c>
      <c r="E35" s="246">
        <v>9677.25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320184.78999999998</v>
      </c>
      <c r="E39" s="248">
        <v>25506.91</v>
      </c>
      <c r="F39" s="73"/>
    </row>
    <row r="40" spans="2:6" ht="13.5" thickBot="1">
      <c r="B40" s="103" t="s">
        <v>35</v>
      </c>
      <c r="C40" s="104" t="s">
        <v>36</v>
      </c>
      <c r="D40" s="210">
        <v>-1080269.43</v>
      </c>
      <c r="E40" s="275">
        <v>407655.49</v>
      </c>
    </row>
    <row r="41" spans="2:6" ht="13.5" thickBot="1">
      <c r="B41" s="105" t="s">
        <v>37</v>
      </c>
      <c r="C41" s="106" t="s">
        <v>38</v>
      </c>
      <c r="D41" s="211">
        <v>15155887.25</v>
      </c>
      <c r="E41" s="154">
        <f>E26+E27+E40</f>
        <v>13590943.209999999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1094211.2933</v>
      </c>
      <c r="E47" s="75">
        <v>926962.28419999999</v>
      </c>
    </row>
    <row r="48" spans="2:6">
      <c r="B48" s="129" t="s">
        <v>6</v>
      </c>
      <c r="C48" s="23" t="s">
        <v>41</v>
      </c>
      <c r="D48" s="213">
        <v>980018.80570000003</v>
      </c>
      <c r="E48" s="75">
        <v>863536.58239999996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16.518999999999998</v>
      </c>
      <c r="E50" s="75">
        <v>15.2522</v>
      </c>
    </row>
    <row r="51" spans="2:5">
      <c r="B51" s="108" t="s">
        <v>6</v>
      </c>
      <c r="C51" s="16" t="s">
        <v>195</v>
      </c>
      <c r="D51" s="280">
        <v>15.4649</v>
      </c>
      <c r="E51" s="77">
        <v>14.465299999999999</v>
      </c>
    </row>
    <row r="52" spans="2:5" ht="12.75" customHeight="1">
      <c r="B52" s="108" t="s">
        <v>8</v>
      </c>
      <c r="C52" s="16" t="s">
        <v>196</v>
      </c>
      <c r="D52" s="280">
        <v>16.619</v>
      </c>
      <c r="E52" s="77">
        <v>15.8451</v>
      </c>
    </row>
    <row r="53" spans="2:5" ht="13.5" thickBot="1">
      <c r="B53" s="109" t="s">
        <v>9</v>
      </c>
      <c r="C53" s="18" t="s">
        <v>41</v>
      </c>
      <c r="D53" s="216">
        <v>15.4649</v>
      </c>
      <c r="E53" s="281">
        <v>15.7387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13769982.489999998</v>
      </c>
      <c r="E58" s="33">
        <f>D58/E21</f>
        <v>1.0131734256580709</v>
      </c>
    </row>
    <row r="59" spans="2:5" ht="25.5">
      <c r="B59" s="193" t="s">
        <v>4</v>
      </c>
      <c r="C59" s="194" t="s">
        <v>44</v>
      </c>
      <c r="D59" s="82">
        <v>0</v>
      </c>
      <c r="E59" s="83">
        <v>0</v>
      </c>
    </row>
    <row r="60" spans="2:5" ht="24" customHeight="1">
      <c r="B60" s="191" t="s">
        <v>6</v>
      </c>
      <c r="C60" s="192" t="s">
        <v>45</v>
      </c>
      <c r="D60" s="80">
        <v>0</v>
      </c>
      <c r="E60" s="81">
        <v>0</v>
      </c>
    </row>
    <row r="61" spans="2:5">
      <c r="B61" s="191" t="s">
        <v>8</v>
      </c>
      <c r="C61" s="192" t="s">
        <v>46</v>
      </c>
      <c r="D61" s="80">
        <v>0</v>
      </c>
      <c r="E61" s="81">
        <v>0</v>
      </c>
    </row>
    <row r="62" spans="2:5">
      <c r="B62" s="191" t="s">
        <v>9</v>
      </c>
      <c r="C62" s="192" t="s">
        <v>47</v>
      </c>
      <c r="D62" s="80">
        <v>0</v>
      </c>
      <c r="E62" s="81">
        <v>0</v>
      </c>
    </row>
    <row r="63" spans="2:5">
      <c r="B63" s="191" t="s">
        <v>29</v>
      </c>
      <c r="C63" s="192" t="s">
        <v>48</v>
      </c>
      <c r="D63" s="80">
        <v>0</v>
      </c>
      <c r="E63" s="81">
        <v>0</v>
      </c>
    </row>
    <row r="64" spans="2:5">
      <c r="B64" s="193" t="s">
        <v>31</v>
      </c>
      <c r="C64" s="194" t="s">
        <v>49</v>
      </c>
      <c r="D64" s="82">
        <f>E12</f>
        <v>13769982.489999998</v>
      </c>
      <c r="E64" s="83">
        <f>D64/E21</f>
        <v>1.0131734256580709</v>
      </c>
    </row>
    <row r="65" spans="2:5">
      <c r="B65" s="193" t="s">
        <v>33</v>
      </c>
      <c r="C65" s="194" t="s">
        <v>199</v>
      </c>
      <c r="D65" s="82">
        <v>0</v>
      </c>
      <c r="E65" s="83">
        <v>0</v>
      </c>
    </row>
    <row r="66" spans="2:5">
      <c r="B66" s="193" t="s">
        <v>50</v>
      </c>
      <c r="C66" s="194" t="s">
        <v>51</v>
      </c>
      <c r="D66" s="82">
        <v>0</v>
      </c>
      <c r="E66" s="83">
        <v>0</v>
      </c>
    </row>
    <row r="67" spans="2:5">
      <c r="B67" s="191" t="s">
        <v>52</v>
      </c>
      <c r="C67" s="192" t="s">
        <v>53</v>
      </c>
      <c r="D67" s="80">
        <v>0</v>
      </c>
      <c r="E67" s="81">
        <v>0</v>
      </c>
    </row>
    <row r="68" spans="2:5">
      <c r="B68" s="191" t="s">
        <v>54</v>
      </c>
      <c r="C68" s="192" t="s">
        <v>55</v>
      </c>
      <c r="D68" s="80">
        <v>0</v>
      </c>
      <c r="E68" s="81">
        <v>0</v>
      </c>
    </row>
    <row r="69" spans="2:5">
      <c r="B69" s="191" t="s">
        <v>56</v>
      </c>
      <c r="C69" s="192" t="s">
        <v>57</v>
      </c>
      <c r="D69" s="80">
        <v>0</v>
      </c>
      <c r="E69" s="81">
        <v>0</v>
      </c>
    </row>
    <row r="70" spans="2:5">
      <c r="B70" s="306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f>E13</f>
        <v>0</v>
      </c>
      <c r="E71" s="68">
        <f>D71/E21</f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179039.28</v>
      </c>
      <c r="E73" s="27">
        <f>D73/E21</f>
        <v>1.3173425658071013E-2</v>
      </c>
    </row>
    <row r="74" spans="2:5">
      <c r="B74" s="136" t="s">
        <v>64</v>
      </c>
      <c r="C74" s="127" t="s">
        <v>66</v>
      </c>
      <c r="D74" s="128">
        <f>D58+D71-D73</f>
        <v>13590943.209999999</v>
      </c>
      <c r="E74" s="68">
        <f>E58+E71+E72-E73</f>
        <v>0.99999999999999989</v>
      </c>
    </row>
    <row r="75" spans="2:5">
      <c r="B75" s="191" t="s">
        <v>4</v>
      </c>
      <c r="C75" s="192" t="s">
        <v>67</v>
      </c>
      <c r="D75" s="80">
        <f>D74</f>
        <v>13590943.209999999</v>
      </c>
      <c r="E75" s="81">
        <f>E74</f>
        <v>0.99999999999999989</v>
      </c>
    </row>
    <row r="76" spans="2:5">
      <c r="B76" s="191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95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72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15634572.51</v>
      </c>
      <c r="E11" s="9">
        <f>E12+E13+E14</f>
        <v>14274730.84</v>
      </c>
    </row>
    <row r="12" spans="2:7">
      <c r="B12" s="112" t="s">
        <v>4</v>
      </c>
      <c r="C12" s="6" t="s">
        <v>5</v>
      </c>
      <c r="D12" s="235">
        <v>15634572.51</v>
      </c>
      <c r="E12" s="87">
        <v>14268428.529999999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>
        <f>E15</f>
        <v>6302.31</v>
      </c>
    </row>
    <row r="15" spans="2:7">
      <c r="B15" s="112" t="s">
        <v>187</v>
      </c>
      <c r="C15" s="70" t="s">
        <v>11</v>
      </c>
      <c r="D15" s="235"/>
      <c r="E15" s="87">
        <v>6302.31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23866.46</v>
      </c>
      <c r="E17" s="98">
        <f>E18</f>
        <v>44191.86</v>
      </c>
    </row>
    <row r="18" spans="2:6">
      <c r="B18" s="112" t="s">
        <v>4</v>
      </c>
      <c r="C18" s="6" t="s">
        <v>11</v>
      </c>
      <c r="D18" s="235">
        <v>23866.46</v>
      </c>
      <c r="E18" s="88">
        <v>44191.86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15610706.049999999</v>
      </c>
      <c r="E21" s="154">
        <f>E11-E17</f>
        <v>14230538.98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14813744.030000001</v>
      </c>
      <c r="E26" s="274">
        <f>D21</f>
        <v>15610706.049999999</v>
      </c>
    </row>
    <row r="27" spans="2:6">
      <c r="B27" s="10" t="s">
        <v>17</v>
      </c>
      <c r="C27" s="11" t="s">
        <v>192</v>
      </c>
      <c r="D27" s="207">
        <v>-1184455.07</v>
      </c>
      <c r="E27" s="243">
        <f>E28-E32</f>
        <v>-566118.35</v>
      </c>
      <c r="F27" s="73"/>
    </row>
    <row r="28" spans="2:6">
      <c r="B28" s="10" t="s">
        <v>18</v>
      </c>
      <c r="C28" s="11" t="s">
        <v>19</v>
      </c>
      <c r="D28" s="207">
        <v>22262.67</v>
      </c>
      <c r="E28" s="244">
        <f>SUM(E29:E31)</f>
        <v>131371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22262.67</v>
      </c>
      <c r="E31" s="246">
        <v>131371</v>
      </c>
      <c r="F31" s="73"/>
    </row>
    <row r="32" spans="2:6">
      <c r="B32" s="97" t="s">
        <v>23</v>
      </c>
      <c r="C32" s="12" t="s">
        <v>24</v>
      </c>
      <c r="D32" s="207">
        <v>1206717.74</v>
      </c>
      <c r="E32" s="244">
        <f>SUM(E33:E39)</f>
        <v>697489.35</v>
      </c>
      <c r="F32" s="73"/>
    </row>
    <row r="33" spans="2:6">
      <c r="B33" s="110" t="s">
        <v>4</v>
      </c>
      <c r="C33" s="6" t="s">
        <v>25</v>
      </c>
      <c r="D33" s="208">
        <v>1085755.97</v>
      </c>
      <c r="E33" s="246">
        <v>674824.37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10868.56</v>
      </c>
      <c r="E35" s="246">
        <v>11430.6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110093.21</v>
      </c>
      <c r="E39" s="248">
        <v>11234.38</v>
      </c>
      <c r="F39" s="73"/>
    </row>
    <row r="40" spans="2:6" ht="13.5" thickBot="1">
      <c r="B40" s="103" t="s">
        <v>35</v>
      </c>
      <c r="C40" s="104" t="s">
        <v>36</v>
      </c>
      <c r="D40" s="210">
        <v>1340995.71</v>
      </c>
      <c r="E40" s="275">
        <v>-814048.72</v>
      </c>
    </row>
    <row r="41" spans="2:6" ht="13.5" thickBot="1">
      <c r="B41" s="105" t="s">
        <v>37</v>
      </c>
      <c r="C41" s="106" t="s">
        <v>38</v>
      </c>
      <c r="D41" s="211">
        <v>14970284.670000002</v>
      </c>
      <c r="E41" s="154">
        <f>E26+E27+E40</f>
        <v>14230538.979999999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1353664.848</v>
      </c>
      <c r="E47" s="75">
        <v>1219204.2578</v>
      </c>
    </row>
    <row r="48" spans="2:6">
      <c r="B48" s="129" t="s">
        <v>6</v>
      </c>
      <c r="C48" s="23" t="s">
        <v>41</v>
      </c>
      <c r="D48" s="213">
        <v>1252311.7316000001</v>
      </c>
      <c r="E48" s="75">
        <v>1175102.3953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10.9434</v>
      </c>
      <c r="E50" s="75">
        <v>12.804</v>
      </c>
    </row>
    <row r="51" spans="2:5">
      <c r="B51" s="108" t="s">
        <v>6</v>
      </c>
      <c r="C51" s="16" t="s">
        <v>195</v>
      </c>
      <c r="D51" s="280">
        <v>10.9434</v>
      </c>
      <c r="E51" s="77">
        <v>12.11</v>
      </c>
    </row>
    <row r="52" spans="2:5" ht="12.75" customHeight="1">
      <c r="B52" s="108" t="s">
        <v>8</v>
      </c>
      <c r="C52" s="16" t="s">
        <v>196</v>
      </c>
      <c r="D52" s="280">
        <v>12.008699999999999</v>
      </c>
      <c r="E52" s="77">
        <v>13.472099999999999</v>
      </c>
    </row>
    <row r="53" spans="2:5" ht="13.5" thickBot="1">
      <c r="B53" s="109" t="s">
        <v>9</v>
      </c>
      <c r="C53" s="18" t="s">
        <v>41</v>
      </c>
      <c r="D53" s="216">
        <v>11.9541</v>
      </c>
      <c r="E53" s="281">
        <v>12.11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14268428.529999999</v>
      </c>
      <c r="E58" s="33">
        <f>D58/E21</f>
        <v>1.0026625519984345</v>
      </c>
    </row>
    <row r="59" spans="2:5" ht="25.5">
      <c r="B59" s="193" t="s">
        <v>4</v>
      </c>
      <c r="C59" s="194" t="s">
        <v>44</v>
      </c>
      <c r="D59" s="82">
        <v>0</v>
      </c>
      <c r="E59" s="83">
        <v>0</v>
      </c>
    </row>
    <row r="60" spans="2:5" ht="24" customHeight="1">
      <c r="B60" s="191" t="s">
        <v>6</v>
      </c>
      <c r="C60" s="192" t="s">
        <v>45</v>
      </c>
      <c r="D60" s="80">
        <v>0</v>
      </c>
      <c r="E60" s="81">
        <v>0</v>
      </c>
    </row>
    <row r="61" spans="2:5">
      <c r="B61" s="191" t="s">
        <v>8</v>
      </c>
      <c r="C61" s="192" t="s">
        <v>46</v>
      </c>
      <c r="D61" s="80">
        <v>0</v>
      </c>
      <c r="E61" s="81">
        <v>0</v>
      </c>
    </row>
    <row r="62" spans="2:5">
      <c r="B62" s="191" t="s">
        <v>9</v>
      </c>
      <c r="C62" s="192" t="s">
        <v>47</v>
      </c>
      <c r="D62" s="80">
        <v>0</v>
      </c>
      <c r="E62" s="81">
        <v>0</v>
      </c>
    </row>
    <row r="63" spans="2:5">
      <c r="B63" s="191" t="s">
        <v>29</v>
      </c>
      <c r="C63" s="192" t="s">
        <v>48</v>
      </c>
      <c r="D63" s="80">
        <v>0</v>
      </c>
      <c r="E63" s="81">
        <v>0</v>
      </c>
    </row>
    <row r="64" spans="2:5">
      <c r="B64" s="193" t="s">
        <v>31</v>
      </c>
      <c r="C64" s="194" t="s">
        <v>49</v>
      </c>
      <c r="D64" s="82">
        <f>E12</f>
        <v>14268428.529999999</v>
      </c>
      <c r="E64" s="83">
        <f>D64/E21</f>
        <v>1.0026625519984345</v>
      </c>
    </row>
    <row r="65" spans="2:5">
      <c r="B65" s="193" t="s">
        <v>33</v>
      </c>
      <c r="C65" s="194" t="s">
        <v>199</v>
      </c>
      <c r="D65" s="82">
        <v>0</v>
      </c>
      <c r="E65" s="83">
        <v>0</v>
      </c>
    </row>
    <row r="66" spans="2:5">
      <c r="B66" s="193" t="s">
        <v>50</v>
      </c>
      <c r="C66" s="194" t="s">
        <v>51</v>
      </c>
      <c r="D66" s="82">
        <v>0</v>
      </c>
      <c r="E66" s="83">
        <v>0</v>
      </c>
    </row>
    <row r="67" spans="2:5">
      <c r="B67" s="191" t="s">
        <v>52</v>
      </c>
      <c r="C67" s="192" t="s">
        <v>53</v>
      </c>
      <c r="D67" s="80">
        <v>0</v>
      </c>
      <c r="E67" s="81">
        <v>0</v>
      </c>
    </row>
    <row r="68" spans="2:5">
      <c r="B68" s="191" t="s">
        <v>54</v>
      </c>
      <c r="C68" s="192" t="s">
        <v>55</v>
      </c>
      <c r="D68" s="80">
        <v>0</v>
      </c>
      <c r="E68" s="81">
        <v>0</v>
      </c>
    </row>
    <row r="69" spans="2:5">
      <c r="B69" s="191" t="s">
        <v>56</v>
      </c>
      <c r="C69" s="192" t="s">
        <v>57</v>
      </c>
      <c r="D69" s="80">
        <v>0</v>
      </c>
      <c r="E69" s="81">
        <v>0</v>
      </c>
    </row>
    <row r="70" spans="2:5">
      <c r="B70" s="306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6302.31</v>
      </c>
      <c r="E72" s="125">
        <f>D72/E21</f>
        <v>4.428721926033472E-4</v>
      </c>
    </row>
    <row r="73" spans="2:5">
      <c r="B73" s="138" t="s">
        <v>62</v>
      </c>
      <c r="C73" s="25" t="s">
        <v>65</v>
      </c>
      <c r="D73" s="26">
        <f>E17</f>
        <v>44191.86</v>
      </c>
      <c r="E73" s="27">
        <f>D73/E21</f>
        <v>3.1054241910379136E-3</v>
      </c>
    </row>
    <row r="74" spans="2:5">
      <c r="B74" s="136" t="s">
        <v>64</v>
      </c>
      <c r="C74" s="127" t="s">
        <v>66</v>
      </c>
      <c r="D74" s="128">
        <f>D58-D73+D72</f>
        <v>14230538.98</v>
      </c>
      <c r="E74" s="68">
        <f>E58+E72-E73</f>
        <v>0.99999999999999989</v>
      </c>
    </row>
    <row r="75" spans="2:5">
      <c r="B75" s="191" t="s">
        <v>4</v>
      </c>
      <c r="C75" s="192" t="s">
        <v>67</v>
      </c>
      <c r="D75" s="80">
        <f>D74</f>
        <v>14230538.98</v>
      </c>
      <c r="E75" s="81">
        <f>E74</f>
        <v>0.99999999999999989</v>
      </c>
    </row>
    <row r="76" spans="2:5">
      <c r="B76" s="191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95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73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3386471.1</v>
      </c>
      <c r="E11" s="9">
        <f>E12+E14</f>
        <v>2615177.6900000004</v>
      </c>
    </row>
    <row r="12" spans="2:7">
      <c r="B12" s="112" t="s">
        <v>4</v>
      </c>
      <c r="C12" s="6" t="s">
        <v>5</v>
      </c>
      <c r="D12" s="235">
        <v>3386413.43</v>
      </c>
      <c r="E12" s="87">
        <f>2667424.18+3275.58+0.09-55628.9</f>
        <v>2615070.9500000002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>
        <v>57.67</v>
      </c>
      <c r="E14" s="87">
        <f>E15</f>
        <v>106.74</v>
      </c>
    </row>
    <row r="15" spans="2:7">
      <c r="B15" s="112" t="s">
        <v>187</v>
      </c>
      <c r="C15" s="70" t="s">
        <v>11</v>
      </c>
      <c r="D15" s="235">
        <v>57.67</v>
      </c>
      <c r="E15" s="87">
        <v>106.74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5769.75</v>
      </c>
      <c r="E17" s="98">
        <f>E18</f>
        <v>4463.3500000000004</v>
      </c>
    </row>
    <row r="18" spans="2:6">
      <c r="B18" s="112" t="s">
        <v>4</v>
      </c>
      <c r="C18" s="6" t="s">
        <v>11</v>
      </c>
      <c r="D18" s="235">
        <v>5769.75</v>
      </c>
      <c r="E18" s="88">
        <v>4463.3500000000004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3380701.35</v>
      </c>
      <c r="E21" s="154">
        <f>E11-E17</f>
        <v>2610714.3400000003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3459891.31</v>
      </c>
      <c r="E26" s="274">
        <f>D21</f>
        <v>3380701.35</v>
      </c>
    </row>
    <row r="27" spans="2:6">
      <c r="B27" s="10" t="s">
        <v>17</v>
      </c>
      <c r="C27" s="11" t="s">
        <v>192</v>
      </c>
      <c r="D27" s="207">
        <v>-143218.88</v>
      </c>
      <c r="E27" s="243">
        <f>E28-E32</f>
        <v>-654727.79</v>
      </c>
      <c r="F27" s="73"/>
    </row>
    <row r="28" spans="2:6">
      <c r="B28" s="10" t="s">
        <v>18</v>
      </c>
      <c r="C28" s="11" t="s">
        <v>19</v>
      </c>
      <c r="D28" s="207">
        <v>607.33000000000004</v>
      </c>
      <c r="E28" s="244">
        <f>SUM(E29:E31)</f>
        <v>109.19</v>
      </c>
      <c r="F28" s="73"/>
    </row>
    <row r="29" spans="2:6">
      <c r="B29" s="110" t="s">
        <v>4</v>
      </c>
      <c r="C29" s="181" t="s">
        <v>20</v>
      </c>
      <c r="D29" s="208"/>
      <c r="E29" s="246"/>
      <c r="F29" s="73"/>
    </row>
    <row r="30" spans="2:6">
      <c r="B30" s="110" t="s">
        <v>6</v>
      </c>
      <c r="C30" s="181" t="s">
        <v>21</v>
      </c>
      <c r="D30" s="208"/>
      <c r="E30" s="246"/>
      <c r="F30" s="73"/>
    </row>
    <row r="31" spans="2:6">
      <c r="B31" s="110" t="s">
        <v>8</v>
      </c>
      <c r="C31" s="181" t="s">
        <v>22</v>
      </c>
      <c r="D31" s="208">
        <v>607.33000000000004</v>
      </c>
      <c r="E31" s="246">
        <v>109.19</v>
      </c>
      <c r="F31" s="73"/>
    </row>
    <row r="32" spans="2:6">
      <c r="B32" s="97" t="s">
        <v>23</v>
      </c>
      <c r="C32" s="12" t="s">
        <v>24</v>
      </c>
      <c r="D32" s="207">
        <v>143826.21</v>
      </c>
      <c r="E32" s="244">
        <f>SUM(E33:E39)</f>
        <v>654836.98</v>
      </c>
      <c r="F32" s="73"/>
    </row>
    <row r="33" spans="2:6">
      <c r="B33" s="110" t="s">
        <v>4</v>
      </c>
      <c r="C33" s="181" t="s">
        <v>25</v>
      </c>
      <c r="D33" s="208">
        <v>125768.42</v>
      </c>
      <c r="E33" s="246">
        <f>577635.69+55628.9</f>
        <v>633264.59</v>
      </c>
      <c r="F33" s="73"/>
    </row>
    <row r="34" spans="2:6">
      <c r="B34" s="110" t="s">
        <v>6</v>
      </c>
      <c r="C34" s="181" t="s">
        <v>26</v>
      </c>
      <c r="D34" s="208"/>
      <c r="E34" s="246"/>
      <c r="F34" s="73"/>
    </row>
    <row r="35" spans="2:6">
      <c r="B35" s="110" t="s">
        <v>8</v>
      </c>
      <c r="C35" s="181" t="s">
        <v>27</v>
      </c>
      <c r="D35" s="208">
        <v>17756.96</v>
      </c>
      <c r="E35" s="246">
        <v>15107.75</v>
      </c>
      <c r="F35" s="73"/>
    </row>
    <row r="36" spans="2:6">
      <c r="B36" s="110" t="s">
        <v>9</v>
      </c>
      <c r="C36" s="181" t="s">
        <v>28</v>
      </c>
      <c r="D36" s="208"/>
      <c r="E36" s="246"/>
      <c r="F36" s="73"/>
    </row>
    <row r="37" spans="2:6" ht="25.5">
      <c r="B37" s="110" t="s">
        <v>29</v>
      </c>
      <c r="C37" s="181" t="s">
        <v>30</v>
      </c>
      <c r="D37" s="208"/>
      <c r="E37" s="246"/>
      <c r="F37" s="73"/>
    </row>
    <row r="38" spans="2:6">
      <c r="B38" s="110" t="s">
        <v>31</v>
      </c>
      <c r="C38" s="181" t="s">
        <v>32</v>
      </c>
      <c r="D38" s="208"/>
      <c r="E38" s="246"/>
      <c r="F38" s="73"/>
    </row>
    <row r="39" spans="2:6">
      <c r="B39" s="111" t="s">
        <v>33</v>
      </c>
      <c r="C39" s="190" t="s">
        <v>34</v>
      </c>
      <c r="D39" s="209">
        <v>300.83</v>
      </c>
      <c r="E39" s="248">
        <v>6464.64</v>
      </c>
      <c r="F39" s="73"/>
    </row>
    <row r="40" spans="2:6" ht="13.5" thickBot="1">
      <c r="B40" s="103" t="s">
        <v>35</v>
      </c>
      <c r="C40" s="104" t="s">
        <v>36</v>
      </c>
      <c r="D40" s="210">
        <v>59203.13</v>
      </c>
      <c r="E40" s="275">
        <v>-115259.22</v>
      </c>
    </row>
    <row r="41" spans="2:6" ht="13.5" thickBot="1">
      <c r="B41" s="105" t="s">
        <v>37</v>
      </c>
      <c r="C41" s="106" t="s">
        <v>38</v>
      </c>
      <c r="D41" s="211">
        <v>3375875.56</v>
      </c>
      <c r="E41" s="154">
        <f>E26+E27+E40</f>
        <v>2610714.34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92" t="s">
        <v>40</v>
      </c>
      <c r="D47" s="212">
        <v>489600.11291999999</v>
      </c>
      <c r="E47" s="75">
        <v>448474.96818800003</v>
      </c>
    </row>
    <row r="48" spans="2:6">
      <c r="B48" s="129" t="s">
        <v>6</v>
      </c>
      <c r="C48" s="194" t="s">
        <v>41</v>
      </c>
      <c r="D48" s="213">
        <v>469817.14654799999</v>
      </c>
      <c r="E48" s="75">
        <v>361925.27889999998</v>
      </c>
    </row>
    <row r="49" spans="2:5">
      <c r="B49" s="126" t="s">
        <v>23</v>
      </c>
      <c r="C49" s="130" t="s">
        <v>194</v>
      </c>
      <c r="D49" s="214"/>
      <c r="E49" s="75"/>
    </row>
    <row r="50" spans="2:5">
      <c r="B50" s="108" t="s">
        <v>4</v>
      </c>
      <c r="C50" s="192" t="s">
        <v>40</v>
      </c>
      <c r="D50" s="212">
        <v>7.06677</v>
      </c>
      <c r="E50" s="75">
        <v>7.5382160000000002</v>
      </c>
    </row>
    <row r="51" spans="2:5">
      <c r="B51" s="108" t="s">
        <v>6</v>
      </c>
      <c r="C51" s="192" t="s">
        <v>195</v>
      </c>
      <c r="D51" s="215">
        <v>7.0545429999999998</v>
      </c>
      <c r="E51" s="75">
        <v>7.1597169999999997</v>
      </c>
    </row>
    <row r="52" spans="2:5" ht="12.75" customHeight="1">
      <c r="B52" s="108" t="s">
        <v>8</v>
      </c>
      <c r="C52" s="192" t="s">
        <v>196</v>
      </c>
      <c r="D52" s="215">
        <v>7.3878159999999999</v>
      </c>
      <c r="E52" s="75">
        <v>7.97018</v>
      </c>
    </row>
    <row r="53" spans="2:5" ht="13.5" thickBot="1">
      <c r="B53" s="109" t="s">
        <v>9</v>
      </c>
      <c r="C53" s="196" t="s">
        <v>41</v>
      </c>
      <c r="D53" s="216">
        <v>7.1855089999999997</v>
      </c>
      <c r="E53" s="281">
        <v>7.2134070000000001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D64+D69</f>
        <v>2615070.9500000002</v>
      </c>
      <c r="E58" s="33">
        <f>D58/E21</f>
        <v>1.0016687425097608</v>
      </c>
    </row>
    <row r="59" spans="2:5" ht="25.5">
      <c r="B59" s="193" t="s">
        <v>4</v>
      </c>
      <c r="C59" s="194" t="s">
        <v>44</v>
      </c>
      <c r="D59" s="82">
        <v>0</v>
      </c>
      <c r="E59" s="83">
        <v>0</v>
      </c>
    </row>
    <row r="60" spans="2:5" ht="24" customHeight="1">
      <c r="B60" s="191" t="s">
        <v>6</v>
      </c>
      <c r="C60" s="192" t="s">
        <v>45</v>
      </c>
      <c r="D60" s="80">
        <v>0</v>
      </c>
      <c r="E60" s="81">
        <v>0</v>
      </c>
    </row>
    <row r="61" spans="2:5">
      <c r="B61" s="191" t="s">
        <v>8</v>
      </c>
      <c r="C61" s="192" t="s">
        <v>46</v>
      </c>
      <c r="D61" s="80">
        <v>0</v>
      </c>
      <c r="E61" s="81">
        <v>0</v>
      </c>
    </row>
    <row r="62" spans="2:5">
      <c r="B62" s="191" t="s">
        <v>9</v>
      </c>
      <c r="C62" s="192" t="s">
        <v>47</v>
      </c>
      <c r="D62" s="80">
        <v>0</v>
      </c>
      <c r="E62" s="81">
        <v>0</v>
      </c>
    </row>
    <row r="63" spans="2:5">
      <c r="B63" s="191" t="s">
        <v>29</v>
      </c>
      <c r="C63" s="192" t="s">
        <v>48</v>
      </c>
      <c r="D63" s="80">
        <v>0</v>
      </c>
      <c r="E63" s="81">
        <v>0</v>
      </c>
    </row>
    <row r="64" spans="2:5">
      <c r="B64" s="193" t="s">
        <v>31</v>
      </c>
      <c r="C64" s="194" t="s">
        <v>49</v>
      </c>
      <c r="D64" s="82">
        <f>2667424.18-55628.9</f>
        <v>2611795.2800000003</v>
      </c>
      <c r="E64" s="83">
        <f>D64/E21</f>
        <v>1.000414039936671</v>
      </c>
    </row>
    <row r="65" spans="2:5">
      <c r="B65" s="193" t="s">
        <v>33</v>
      </c>
      <c r="C65" s="194" t="s">
        <v>199</v>
      </c>
      <c r="D65" s="82">
        <v>0</v>
      </c>
      <c r="E65" s="83">
        <v>0</v>
      </c>
    </row>
    <row r="66" spans="2:5">
      <c r="B66" s="193" t="s">
        <v>50</v>
      </c>
      <c r="C66" s="194" t="s">
        <v>51</v>
      </c>
      <c r="D66" s="82">
        <v>0</v>
      </c>
      <c r="E66" s="83">
        <v>0</v>
      </c>
    </row>
    <row r="67" spans="2:5">
      <c r="B67" s="191" t="s">
        <v>52</v>
      </c>
      <c r="C67" s="192" t="s">
        <v>53</v>
      </c>
      <c r="D67" s="80">
        <v>0</v>
      </c>
      <c r="E67" s="81">
        <v>0</v>
      </c>
    </row>
    <row r="68" spans="2:5">
      <c r="B68" s="191" t="s">
        <v>54</v>
      </c>
      <c r="C68" s="192" t="s">
        <v>55</v>
      </c>
      <c r="D68" s="80">
        <v>0</v>
      </c>
      <c r="E68" s="81">
        <v>0</v>
      </c>
    </row>
    <row r="69" spans="2:5">
      <c r="B69" s="191" t="s">
        <v>56</v>
      </c>
      <c r="C69" s="192" t="s">
        <v>57</v>
      </c>
      <c r="D69" s="80">
        <f>3275.58+0.09</f>
        <v>3275.67</v>
      </c>
      <c r="E69" s="81">
        <f>D69/E21</f>
        <v>1.2547025730896316E-3</v>
      </c>
    </row>
    <row r="70" spans="2:5">
      <c r="B70" s="306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106.74</v>
      </c>
      <c r="E72" s="125">
        <f>D72/E21</f>
        <v>4.0885361666952801E-5</v>
      </c>
    </row>
    <row r="73" spans="2:5">
      <c r="B73" s="138" t="s">
        <v>62</v>
      </c>
      <c r="C73" s="25" t="s">
        <v>65</v>
      </c>
      <c r="D73" s="26">
        <f>E17</f>
        <v>4463.3500000000004</v>
      </c>
      <c r="E73" s="27">
        <f>D73/E21</f>
        <v>1.7096278714277104E-3</v>
      </c>
    </row>
    <row r="74" spans="2:5">
      <c r="B74" s="136" t="s">
        <v>64</v>
      </c>
      <c r="C74" s="127" t="s">
        <v>66</v>
      </c>
      <c r="D74" s="128">
        <f>D58+D72-D73</f>
        <v>2610714.3400000003</v>
      </c>
      <c r="E74" s="68">
        <f>E58+E72-E73</f>
        <v>1</v>
      </c>
    </row>
    <row r="75" spans="2:5">
      <c r="B75" s="191" t="s">
        <v>4</v>
      </c>
      <c r="C75" s="192" t="s">
        <v>67</v>
      </c>
      <c r="D75" s="80">
        <f>D74</f>
        <v>2610714.3400000003</v>
      </c>
      <c r="E75" s="81">
        <f>E74</f>
        <v>1</v>
      </c>
    </row>
    <row r="76" spans="2:5">
      <c r="B76" s="191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95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76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4291005.78</v>
      </c>
      <c r="E11" s="9">
        <f>E12+E14</f>
        <v>3869029.63</v>
      </c>
    </row>
    <row r="12" spans="2:7">
      <c r="B12" s="112" t="s">
        <v>4</v>
      </c>
      <c r="C12" s="6" t="s">
        <v>5</v>
      </c>
      <c r="D12" s="235">
        <v>4290929.38</v>
      </c>
      <c r="E12" s="87">
        <f>3861968.38+6976.09+0.2</f>
        <v>3868944.67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>
        <v>76.400000000000006</v>
      </c>
      <c r="E14" s="87">
        <f>E15</f>
        <v>84.96</v>
      </c>
    </row>
    <row r="15" spans="2:7">
      <c r="B15" s="112" t="s">
        <v>187</v>
      </c>
      <c r="C15" s="70" t="s">
        <v>11</v>
      </c>
      <c r="D15" s="235">
        <v>76.400000000000006</v>
      </c>
      <c r="E15" s="87">
        <v>84.96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7369.32</v>
      </c>
      <c r="E17" s="98">
        <f>E18</f>
        <v>6364.15</v>
      </c>
    </row>
    <row r="18" spans="2:6">
      <c r="B18" s="112" t="s">
        <v>4</v>
      </c>
      <c r="C18" s="6" t="s">
        <v>11</v>
      </c>
      <c r="D18" s="235">
        <v>7369.32</v>
      </c>
      <c r="E18" s="88">
        <v>6364.15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4283636.46</v>
      </c>
      <c r="E21" s="154">
        <f>E11-E17</f>
        <v>3862665.48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4920101.3599999994</v>
      </c>
      <c r="E26" s="274">
        <f>D21</f>
        <v>4283636.46</v>
      </c>
    </row>
    <row r="27" spans="2:6">
      <c r="B27" s="10" t="s">
        <v>17</v>
      </c>
      <c r="C27" s="11" t="s">
        <v>192</v>
      </c>
      <c r="D27" s="207">
        <v>-578090.69000000006</v>
      </c>
      <c r="E27" s="243">
        <f>E28-E32</f>
        <v>-357652.07</v>
      </c>
      <c r="F27" s="73"/>
    </row>
    <row r="28" spans="2:6">
      <c r="B28" s="10" t="s">
        <v>18</v>
      </c>
      <c r="C28" s="11" t="s">
        <v>19</v>
      </c>
      <c r="D28" s="207">
        <v>1053.6199999999999</v>
      </c>
      <c r="E28" s="244">
        <f>SUM(E29:E31)</f>
        <v>1996.37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1053.6199999999999</v>
      </c>
      <c r="E31" s="246">
        <v>1996.37</v>
      </c>
      <c r="F31" s="73"/>
    </row>
    <row r="32" spans="2:6">
      <c r="B32" s="97" t="s">
        <v>23</v>
      </c>
      <c r="C32" s="12" t="s">
        <v>24</v>
      </c>
      <c r="D32" s="207">
        <v>579144.31000000006</v>
      </c>
      <c r="E32" s="244">
        <f>SUM(E33:E39)</f>
        <v>359648.44</v>
      </c>
      <c r="F32" s="73"/>
    </row>
    <row r="33" spans="2:6">
      <c r="B33" s="110" t="s">
        <v>4</v>
      </c>
      <c r="C33" s="6" t="s">
        <v>25</v>
      </c>
      <c r="D33" s="208">
        <v>561757.93000000005</v>
      </c>
      <c r="E33" s="246">
        <v>346186.93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16060.85</v>
      </c>
      <c r="E35" s="246">
        <v>13461.51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1325.53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178278.68</v>
      </c>
      <c r="E40" s="275">
        <v>-63318.91</v>
      </c>
    </row>
    <row r="41" spans="2:6" ht="13.5" thickBot="1">
      <c r="B41" s="105" t="s">
        <v>37</v>
      </c>
      <c r="C41" s="106" t="s">
        <v>38</v>
      </c>
      <c r="D41" s="211">
        <v>4520289.3499999987</v>
      </c>
      <c r="E41" s="154">
        <f>E26+E27+E40</f>
        <v>3862665.48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480327.90454700001</v>
      </c>
      <c r="E47" s="75">
        <v>385900.97203200002</v>
      </c>
    </row>
    <row r="48" spans="2:6">
      <c r="B48" s="129" t="s">
        <v>6</v>
      </c>
      <c r="C48" s="23" t="s">
        <v>41</v>
      </c>
      <c r="D48" s="213">
        <v>425436.749213</v>
      </c>
      <c r="E48" s="75">
        <v>353913.209156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10.243213000000001</v>
      </c>
      <c r="E50" s="75">
        <v>11.100350000000001</v>
      </c>
    </row>
    <row r="51" spans="2:5">
      <c r="B51" s="108" t="s">
        <v>6</v>
      </c>
      <c r="C51" s="16" t="s">
        <v>195</v>
      </c>
      <c r="D51" s="215">
        <v>10.242146</v>
      </c>
      <c r="E51" s="77">
        <v>10.872199999999999</v>
      </c>
    </row>
    <row r="52" spans="2:5" ht="12" customHeight="1">
      <c r="B52" s="108" t="s">
        <v>8</v>
      </c>
      <c r="C52" s="16" t="s">
        <v>196</v>
      </c>
      <c r="D52" s="215">
        <v>10.663239000000001</v>
      </c>
      <c r="E52" s="77">
        <v>11.4299</v>
      </c>
    </row>
    <row r="53" spans="2:5" ht="13.5" thickBot="1">
      <c r="B53" s="109" t="s">
        <v>9</v>
      </c>
      <c r="C53" s="18" t="s">
        <v>41</v>
      </c>
      <c r="D53" s="216">
        <v>10.625056000000001</v>
      </c>
      <c r="E53" s="281">
        <v>10.914160000000001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D64+D69</f>
        <v>3868944.67</v>
      </c>
      <c r="E58" s="33">
        <f>D58/E21</f>
        <v>1.0016256106133219</v>
      </c>
    </row>
    <row r="59" spans="2:5" ht="25.5">
      <c r="B59" s="193" t="s">
        <v>4</v>
      </c>
      <c r="C59" s="194" t="s">
        <v>44</v>
      </c>
      <c r="D59" s="82">
        <v>0</v>
      </c>
      <c r="E59" s="83">
        <v>0</v>
      </c>
    </row>
    <row r="60" spans="2:5" ht="24" customHeight="1">
      <c r="B60" s="191" t="s">
        <v>6</v>
      </c>
      <c r="C60" s="192" t="s">
        <v>45</v>
      </c>
      <c r="D60" s="80">
        <v>0</v>
      </c>
      <c r="E60" s="81">
        <v>0</v>
      </c>
    </row>
    <row r="61" spans="2:5">
      <c r="B61" s="191" t="s">
        <v>8</v>
      </c>
      <c r="C61" s="192" t="s">
        <v>46</v>
      </c>
      <c r="D61" s="80">
        <v>0</v>
      </c>
      <c r="E61" s="81">
        <v>0</v>
      </c>
    </row>
    <row r="62" spans="2:5">
      <c r="B62" s="191" t="s">
        <v>9</v>
      </c>
      <c r="C62" s="192" t="s">
        <v>47</v>
      </c>
      <c r="D62" s="80">
        <v>0</v>
      </c>
      <c r="E62" s="81">
        <v>0</v>
      </c>
    </row>
    <row r="63" spans="2:5">
      <c r="B63" s="191" t="s">
        <v>29</v>
      </c>
      <c r="C63" s="192" t="s">
        <v>48</v>
      </c>
      <c r="D63" s="80">
        <v>0</v>
      </c>
      <c r="E63" s="81">
        <v>0</v>
      </c>
    </row>
    <row r="64" spans="2:5">
      <c r="B64" s="193" t="s">
        <v>31</v>
      </c>
      <c r="C64" s="194" t="s">
        <v>49</v>
      </c>
      <c r="D64" s="82">
        <v>3861968.38</v>
      </c>
      <c r="E64" s="83">
        <f>D64/E21</f>
        <v>0.99981952876747693</v>
      </c>
    </row>
    <row r="65" spans="2:5">
      <c r="B65" s="193" t="s">
        <v>33</v>
      </c>
      <c r="C65" s="194" t="s">
        <v>199</v>
      </c>
      <c r="D65" s="82">
        <v>0</v>
      </c>
      <c r="E65" s="83">
        <v>0</v>
      </c>
    </row>
    <row r="66" spans="2:5">
      <c r="B66" s="193" t="s">
        <v>50</v>
      </c>
      <c r="C66" s="194" t="s">
        <v>51</v>
      </c>
      <c r="D66" s="82">
        <v>0</v>
      </c>
      <c r="E66" s="83">
        <v>0</v>
      </c>
    </row>
    <row r="67" spans="2:5">
      <c r="B67" s="191" t="s">
        <v>52</v>
      </c>
      <c r="C67" s="192" t="s">
        <v>53</v>
      </c>
      <c r="D67" s="80">
        <v>0</v>
      </c>
      <c r="E67" s="81">
        <v>0</v>
      </c>
    </row>
    <row r="68" spans="2:5">
      <c r="B68" s="191" t="s">
        <v>54</v>
      </c>
      <c r="C68" s="192" t="s">
        <v>55</v>
      </c>
      <c r="D68" s="80">
        <v>0</v>
      </c>
      <c r="E68" s="81">
        <v>0</v>
      </c>
    </row>
    <row r="69" spans="2:5">
      <c r="B69" s="191" t="s">
        <v>56</v>
      </c>
      <c r="C69" s="192" t="s">
        <v>57</v>
      </c>
      <c r="D69" s="80">
        <f>6976.09+0.2</f>
        <v>6976.29</v>
      </c>
      <c r="E69" s="81">
        <f>D69/E21</f>
        <v>1.8060818458449578E-3</v>
      </c>
    </row>
    <row r="70" spans="2:5">
      <c r="B70" s="306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84.96</v>
      </c>
      <c r="E72" s="125">
        <f>D72/E21</f>
        <v>2.199517417180014E-5</v>
      </c>
    </row>
    <row r="73" spans="2:5">
      <c r="B73" s="138" t="s">
        <v>62</v>
      </c>
      <c r="C73" s="25" t="s">
        <v>65</v>
      </c>
      <c r="D73" s="26">
        <f>E17</f>
        <v>6364.15</v>
      </c>
      <c r="E73" s="27">
        <f>D73/E21</f>
        <v>1.6476057874936661E-3</v>
      </c>
    </row>
    <row r="74" spans="2:5">
      <c r="B74" s="136" t="s">
        <v>64</v>
      </c>
      <c r="C74" s="127" t="s">
        <v>66</v>
      </c>
      <c r="D74" s="128">
        <f>D58+D72-D73</f>
        <v>3862665.48</v>
      </c>
      <c r="E74" s="68">
        <f>E58+E72-E73</f>
        <v>1</v>
      </c>
    </row>
    <row r="75" spans="2:5">
      <c r="B75" s="191" t="s">
        <v>4</v>
      </c>
      <c r="C75" s="192" t="s">
        <v>67</v>
      </c>
      <c r="D75" s="80">
        <f>D74</f>
        <v>3862665.48</v>
      </c>
      <c r="E75" s="81">
        <f>E74</f>
        <v>1</v>
      </c>
    </row>
    <row r="76" spans="2:5">
      <c r="B76" s="191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95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75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5418842.6999999993</v>
      </c>
      <c r="E11" s="9">
        <f>E12+E14</f>
        <v>5109488.71</v>
      </c>
    </row>
    <row r="12" spans="2:7">
      <c r="B12" s="112" t="s">
        <v>4</v>
      </c>
      <c r="C12" s="6" t="s">
        <v>5</v>
      </c>
      <c r="D12" s="235">
        <v>5418761.3099999996</v>
      </c>
      <c r="E12" s="87">
        <f>5103507.38+5915.74+0.17</f>
        <v>5109423.29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>
        <v>81.39</v>
      </c>
      <c r="E14" s="87">
        <f>E15</f>
        <v>65.42</v>
      </c>
    </row>
    <row r="15" spans="2:7">
      <c r="B15" s="112" t="s">
        <v>187</v>
      </c>
      <c r="C15" s="70" t="s">
        <v>11</v>
      </c>
      <c r="D15" s="235">
        <v>81.39</v>
      </c>
      <c r="E15" s="87">
        <v>65.42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9229.5</v>
      </c>
      <c r="E17" s="98">
        <f>E18</f>
        <v>8229.89</v>
      </c>
    </row>
    <row r="18" spans="2:6">
      <c r="B18" s="112" t="s">
        <v>4</v>
      </c>
      <c r="C18" s="6" t="s">
        <v>11</v>
      </c>
      <c r="D18" s="235">
        <v>9229.5</v>
      </c>
      <c r="E18" s="88">
        <v>8229.89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5409613.1999999993</v>
      </c>
      <c r="E21" s="154">
        <f>E11-E17</f>
        <v>5101258.82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5842962.4400000004</v>
      </c>
      <c r="E26" s="274">
        <f>D21</f>
        <v>5409613.1999999993</v>
      </c>
    </row>
    <row r="27" spans="2:6">
      <c r="B27" s="10" t="s">
        <v>17</v>
      </c>
      <c r="C27" s="11" t="s">
        <v>192</v>
      </c>
      <c r="D27" s="207">
        <v>-460455.00999999995</v>
      </c>
      <c r="E27" s="243">
        <f>E28-E32</f>
        <v>-243450.33</v>
      </c>
      <c r="F27" s="73"/>
    </row>
    <row r="28" spans="2:6">
      <c r="B28" s="10" t="s">
        <v>18</v>
      </c>
      <c r="C28" s="11" t="s">
        <v>19</v>
      </c>
      <c r="D28" s="207">
        <v>9048.6299999999992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9048.6299999999992</v>
      </c>
      <c r="E31" s="246"/>
      <c r="F31" s="73"/>
    </row>
    <row r="32" spans="2:6">
      <c r="B32" s="97" t="s">
        <v>23</v>
      </c>
      <c r="C32" s="12" t="s">
        <v>24</v>
      </c>
      <c r="D32" s="207">
        <v>469503.63999999996</v>
      </c>
      <c r="E32" s="244">
        <f>SUM(E33:E39)</f>
        <v>243450.33</v>
      </c>
      <c r="F32" s="73"/>
    </row>
    <row r="33" spans="2:6">
      <c r="B33" s="110" t="s">
        <v>4</v>
      </c>
      <c r="C33" s="6" t="s">
        <v>25</v>
      </c>
      <c r="D33" s="208">
        <v>445730.22</v>
      </c>
      <c r="E33" s="246">
        <v>220279.33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22541.05</v>
      </c>
      <c r="E35" s="246">
        <v>19191.400000000001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1232.3699999999999</v>
      </c>
      <c r="E39" s="248">
        <v>3979.6</v>
      </c>
      <c r="F39" s="73"/>
    </row>
    <row r="40" spans="2:6" ht="13.5" thickBot="1">
      <c r="B40" s="103" t="s">
        <v>35</v>
      </c>
      <c r="C40" s="104" t="s">
        <v>36</v>
      </c>
      <c r="D40" s="210">
        <v>249762.66</v>
      </c>
      <c r="E40" s="275">
        <v>-64904.05</v>
      </c>
    </row>
    <row r="41" spans="2:6" ht="13.5" thickBot="1">
      <c r="B41" s="105" t="s">
        <v>37</v>
      </c>
      <c r="C41" s="106" t="s">
        <v>38</v>
      </c>
      <c r="D41" s="211">
        <v>5632270.0900000008</v>
      </c>
      <c r="E41" s="154">
        <f>E26+E27+E40</f>
        <v>5101258.8199999994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612924.46478000004</v>
      </c>
      <c r="E47" s="75">
        <v>531672.55431000004</v>
      </c>
    </row>
    <row r="48" spans="2:6">
      <c r="B48" s="129" t="s">
        <v>6</v>
      </c>
      <c r="C48" s="23" t="s">
        <v>41</v>
      </c>
      <c r="D48" s="213">
        <v>566226.123838</v>
      </c>
      <c r="E48" s="75">
        <v>507961.76468899997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9.5329239999999995</v>
      </c>
      <c r="E50" s="75">
        <v>10.174707</v>
      </c>
    </row>
    <row r="51" spans="2:5">
      <c r="B51" s="108" t="s">
        <v>6</v>
      </c>
      <c r="C51" s="16" t="s">
        <v>195</v>
      </c>
      <c r="D51" s="280">
        <v>9.5328999999999997</v>
      </c>
      <c r="E51" s="75">
        <v>10.020820000000001</v>
      </c>
    </row>
    <row r="52" spans="2:5" ht="12.75" customHeight="1">
      <c r="B52" s="108" t="s">
        <v>8</v>
      </c>
      <c r="C52" s="16" t="s">
        <v>196</v>
      </c>
      <c r="D52" s="215">
        <v>10.003999</v>
      </c>
      <c r="E52" s="77">
        <v>10.523999999999999</v>
      </c>
    </row>
    <row r="53" spans="2:5" ht="13.5" thickBot="1">
      <c r="B53" s="109" t="s">
        <v>9</v>
      </c>
      <c r="C53" s="18" t="s">
        <v>41</v>
      </c>
      <c r="D53" s="216">
        <v>9.9470329999999993</v>
      </c>
      <c r="E53" s="281">
        <v>10.042604000000001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D64+D69</f>
        <v>5109423.29</v>
      </c>
      <c r="E58" s="33">
        <f>D58/E21</f>
        <v>1.001600481427837</v>
      </c>
    </row>
    <row r="59" spans="2:5" ht="25.5">
      <c r="B59" s="193" t="s">
        <v>4</v>
      </c>
      <c r="C59" s="194" t="s">
        <v>44</v>
      </c>
      <c r="D59" s="82">
        <v>0</v>
      </c>
      <c r="E59" s="83">
        <v>0</v>
      </c>
    </row>
    <row r="60" spans="2:5" ht="24" customHeight="1">
      <c r="B60" s="191" t="s">
        <v>6</v>
      </c>
      <c r="C60" s="192" t="s">
        <v>45</v>
      </c>
      <c r="D60" s="80">
        <v>0</v>
      </c>
      <c r="E60" s="81">
        <v>0</v>
      </c>
    </row>
    <row r="61" spans="2:5">
      <c r="B61" s="191" t="s">
        <v>8</v>
      </c>
      <c r="C61" s="192" t="s">
        <v>46</v>
      </c>
      <c r="D61" s="80">
        <v>0</v>
      </c>
      <c r="E61" s="81">
        <v>0</v>
      </c>
    </row>
    <row r="62" spans="2:5">
      <c r="B62" s="191" t="s">
        <v>9</v>
      </c>
      <c r="C62" s="192" t="s">
        <v>47</v>
      </c>
      <c r="D62" s="80">
        <v>0</v>
      </c>
      <c r="E62" s="81">
        <v>0</v>
      </c>
    </row>
    <row r="63" spans="2:5">
      <c r="B63" s="191" t="s">
        <v>29</v>
      </c>
      <c r="C63" s="192" t="s">
        <v>48</v>
      </c>
      <c r="D63" s="80">
        <v>0</v>
      </c>
      <c r="E63" s="81">
        <v>0</v>
      </c>
    </row>
    <row r="64" spans="2:5">
      <c r="B64" s="193" t="s">
        <v>31</v>
      </c>
      <c r="C64" s="194" t="s">
        <v>49</v>
      </c>
      <c r="D64" s="82">
        <v>5103507.38</v>
      </c>
      <c r="E64" s="83">
        <f>D64/E21</f>
        <v>1.0004407853197301</v>
      </c>
    </row>
    <row r="65" spans="2:5">
      <c r="B65" s="193" t="s">
        <v>33</v>
      </c>
      <c r="C65" s="194" t="s">
        <v>199</v>
      </c>
      <c r="D65" s="82">
        <v>0</v>
      </c>
      <c r="E65" s="83">
        <v>0</v>
      </c>
    </row>
    <row r="66" spans="2:5">
      <c r="B66" s="193" t="s">
        <v>50</v>
      </c>
      <c r="C66" s="194" t="s">
        <v>51</v>
      </c>
      <c r="D66" s="82">
        <v>0</v>
      </c>
      <c r="E66" s="83">
        <v>0</v>
      </c>
    </row>
    <row r="67" spans="2:5">
      <c r="B67" s="191" t="s">
        <v>52</v>
      </c>
      <c r="C67" s="192" t="s">
        <v>53</v>
      </c>
      <c r="D67" s="80">
        <v>0</v>
      </c>
      <c r="E67" s="81">
        <v>0</v>
      </c>
    </row>
    <row r="68" spans="2:5">
      <c r="B68" s="191" t="s">
        <v>54</v>
      </c>
      <c r="C68" s="192" t="s">
        <v>55</v>
      </c>
      <c r="D68" s="80">
        <v>0</v>
      </c>
      <c r="E68" s="81">
        <v>0</v>
      </c>
    </row>
    <row r="69" spans="2:5">
      <c r="B69" s="191" t="s">
        <v>56</v>
      </c>
      <c r="C69" s="192" t="s">
        <v>57</v>
      </c>
      <c r="D69" s="80">
        <f>5915.74+0.17</f>
        <v>5915.91</v>
      </c>
      <c r="E69" s="81">
        <f>D69/E21</f>
        <v>1.1596961081069004E-3</v>
      </c>
    </row>
    <row r="70" spans="2:5">
      <c r="B70" s="306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65.42</v>
      </c>
      <c r="E72" s="125">
        <f>D72/E21</f>
        <v>1.282428559466818E-5</v>
      </c>
    </row>
    <row r="73" spans="2:5">
      <c r="B73" s="138" t="s">
        <v>62</v>
      </c>
      <c r="C73" s="25" t="s">
        <v>65</v>
      </c>
      <c r="D73" s="26">
        <f>E17</f>
        <v>8229.89</v>
      </c>
      <c r="E73" s="27">
        <f>D73/E21</f>
        <v>1.6133057134317288E-3</v>
      </c>
    </row>
    <row r="74" spans="2:5">
      <c r="B74" s="136" t="s">
        <v>64</v>
      </c>
      <c r="C74" s="127" t="s">
        <v>66</v>
      </c>
      <c r="D74" s="128">
        <f>D58+D72-D73</f>
        <v>5101258.82</v>
      </c>
      <c r="E74" s="68">
        <f>E58+E72-E73</f>
        <v>0.99999999999999978</v>
      </c>
    </row>
    <row r="75" spans="2:5">
      <c r="B75" s="191" t="s">
        <v>4</v>
      </c>
      <c r="C75" s="192" t="s">
        <v>67</v>
      </c>
      <c r="D75" s="80">
        <f>D74</f>
        <v>5101258.82</v>
      </c>
      <c r="E75" s="81">
        <f>E74</f>
        <v>0.99999999999999978</v>
      </c>
    </row>
    <row r="76" spans="2:5">
      <c r="B76" s="191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95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5.28515625" customWidth="1"/>
    <col min="8" max="8" width="14.5703125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90"/>
      <c r="C4" s="90"/>
      <c r="D4" s="90"/>
      <c r="E4" s="90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86</v>
      </c>
      <c r="C6" s="311"/>
      <c r="D6" s="311"/>
      <c r="E6" s="311"/>
    </row>
    <row r="7" spans="2:8" ht="14.25">
      <c r="B7" s="94"/>
      <c r="C7" s="94"/>
      <c r="D7" s="94"/>
      <c r="E7" s="94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91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99" t="s">
        <v>190</v>
      </c>
      <c r="D11" s="232">
        <f>D12+D13+D14</f>
        <v>245537197.39000002</v>
      </c>
      <c r="E11" s="9">
        <f>E12+E13+E14</f>
        <v>220137870.63000003</v>
      </c>
    </row>
    <row r="12" spans="2:8">
      <c r="B12" s="112" t="s">
        <v>4</v>
      </c>
      <c r="C12" s="70" t="s">
        <v>5</v>
      </c>
      <c r="D12" s="235">
        <f>250488287.38-5692464.32</f>
        <v>244795823.06</v>
      </c>
      <c r="E12" s="87">
        <f>227473292.82+358021.58+4.9-8393890.53</f>
        <v>219437428.77000001</v>
      </c>
    </row>
    <row r="13" spans="2:8">
      <c r="B13" s="112" t="s">
        <v>6</v>
      </c>
      <c r="C13" s="70" t="s">
        <v>7</v>
      </c>
      <c r="D13" s="235"/>
      <c r="E13" s="87">
        <v>23.03</v>
      </c>
    </row>
    <row r="14" spans="2:8">
      <c r="B14" s="112" t="s">
        <v>8</v>
      </c>
      <c r="C14" s="70" t="s">
        <v>10</v>
      </c>
      <c r="D14" s="235">
        <f>D15</f>
        <v>741374.33</v>
      </c>
      <c r="E14" s="87">
        <f>E15</f>
        <v>700418.83</v>
      </c>
    </row>
    <row r="15" spans="2:8">
      <c r="B15" s="112" t="s">
        <v>187</v>
      </c>
      <c r="C15" s="70" t="s">
        <v>11</v>
      </c>
      <c r="D15" s="235">
        <v>741374.33</v>
      </c>
      <c r="E15" s="87">
        <v>700418.83</v>
      </c>
    </row>
    <row r="16" spans="2:8">
      <c r="B16" s="113" t="s">
        <v>188</v>
      </c>
      <c r="C16" s="96" t="s">
        <v>12</v>
      </c>
      <c r="D16" s="236"/>
      <c r="E16" s="88"/>
    </row>
    <row r="17" spans="2:7">
      <c r="B17" s="10" t="s">
        <v>13</v>
      </c>
      <c r="C17" s="224" t="s">
        <v>65</v>
      </c>
      <c r="D17" s="237">
        <f>SUM(D18:D19)</f>
        <v>384780.52</v>
      </c>
      <c r="E17" s="98">
        <f>SUM(E18:E19)</f>
        <v>476665</v>
      </c>
    </row>
    <row r="18" spans="2:7">
      <c r="B18" s="112" t="s">
        <v>4</v>
      </c>
      <c r="C18" s="70" t="s">
        <v>11</v>
      </c>
      <c r="D18" s="236">
        <v>384780.52</v>
      </c>
      <c r="E18" s="88">
        <v>476665</v>
      </c>
    </row>
    <row r="19" spans="2:7" ht="15" customHeight="1">
      <c r="B19" s="112" t="s">
        <v>6</v>
      </c>
      <c r="C19" s="70" t="s">
        <v>189</v>
      </c>
      <c r="D19" s="235"/>
      <c r="E19" s="87"/>
    </row>
    <row r="20" spans="2:7" ht="13.5" customHeight="1" thickBot="1">
      <c r="B20" s="114" t="s">
        <v>8</v>
      </c>
      <c r="C20" s="71" t="s">
        <v>14</v>
      </c>
      <c r="D20" s="238"/>
      <c r="E20" s="89"/>
    </row>
    <row r="21" spans="2:7" ht="13.5" thickBot="1">
      <c r="B21" s="319" t="s">
        <v>191</v>
      </c>
      <c r="C21" s="320"/>
      <c r="D21" s="239">
        <f>D11-D17</f>
        <v>245152416.87</v>
      </c>
      <c r="E21" s="154">
        <f>E11-E17</f>
        <v>219661205.63000003</v>
      </c>
      <c r="F21" s="79"/>
      <c r="G21" s="69">
        <f>E21-E41</f>
        <v>0</v>
      </c>
    </row>
    <row r="22" spans="2:7">
      <c r="B22" s="3"/>
      <c r="C22" s="7"/>
      <c r="D22" s="8"/>
      <c r="E22" s="8"/>
    </row>
    <row r="23" spans="2:7" ht="13.5">
      <c r="B23" s="313" t="s">
        <v>185</v>
      </c>
      <c r="C23" s="321"/>
      <c r="D23" s="321"/>
      <c r="E23" s="321"/>
    </row>
    <row r="24" spans="2:7" ht="16.5" customHeight="1" thickBot="1">
      <c r="B24" s="312" t="s">
        <v>186</v>
      </c>
      <c r="C24" s="322"/>
      <c r="D24" s="322"/>
      <c r="E24" s="322"/>
    </row>
    <row r="25" spans="2:7" ht="13.5" thickBot="1">
      <c r="B25" s="91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222956103.34999999</v>
      </c>
      <c r="E26" s="274">
        <f>D21</f>
        <v>245152416.87</v>
      </c>
    </row>
    <row r="27" spans="2:7">
      <c r="B27" s="10" t="s">
        <v>17</v>
      </c>
      <c r="C27" s="11" t="s">
        <v>192</v>
      </c>
      <c r="D27" s="207">
        <v>-5446427.1600000001</v>
      </c>
      <c r="E27" s="243">
        <f>E28-E32</f>
        <v>-4236436.3699999955</v>
      </c>
      <c r="F27" s="73"/>
    </row>
    <row r="28" spans="2:7">
      <c r="B28" s="10" t="s">
        <v>18</v>
      </c>
      <c r="C28" s="11" t="s">
        <v>19</v>
      </c>
      <c r="D28" s="207">
        <v>16842325.289999999</v>
      </c>
      <c r="E28" s="244">
        <f>SUM(E29:E31)</f>
        <v>15191700.290000001</v>
      </c>
      <c r="F28" s="73"/>
    </row>
    <row r="29" spans="2:7">
      <c r="B29" s="110" t="s">
        <v>4</v>
      </c>
      <c r="C29" s="6" t="s">
        <v>20</v>
      </c>
      <c r="D29" s="208">
        <v>16130695.49</v>
      </c>
      <c r="E29" s="246">
        <v>14484107.74</v>
      </c>
      <c r="F29" s="73"/>
    </row>
    <row r="30" spans="2:7">
      <c r="B30" s="110" t="s">
        <v>6</v>
      </c>
      <c r="C30" s="6" t="s">
        <v>21</v>
      </c>
      <c r="D30" s="208"/>
      <c r="E30" s="246"/>
      <c r="F30" s="73"/>
    </row>
    <row r="31" spans="2:7">
      <c r="B31" s="110" t="s">
        <v>8</v>
      </c>
      <c r="C31" s="6" t="s">
        <v>22</v>
      </c>
      <c r="D31" s="208">
        <v>711629.79999999993</v>
      </c>
      <c r="E31" s="246">
        <v>707592.55</v>
      </c>
      <c r="F31" s="73"/>
    </row>
    <row r="32" spans="2:7">
      <c r="B32" s="97" t="s">
        <v>23</v>
      </c>
      <c r="C32" s="12" t="s">
        <v>24</v>
      </c>
      <c r="D32" s="207">
        <v>22288752.449999999</v>
      </c>
      <c r="E32" s="244">
        <f>SUM(E33:E39)</f>
        <v>19428136.659999996</v>
      </c>
      <c r="F32" s="73"/>
    </row>
    <row r="33" spans="2:6">
      <c r="B33" s="110" t="s">
        <v>4</v>
      </c>
      <c r="C33" s="6" t="s">
        <v>25</v>
      </c>
      <c r="D33" s="208">
        <v>15423853.539999999</v>
      </c>
      <c r="E33" s="246">
        <f>12828283.24+2701426.21</f>
        <v>15529709.449999999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3241382.09</v>
      </c>
      <c r="E35" s="246">
        <v>3031656.42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3623516.82</v>
      </c>
      <c r="E39" s="248">
        <v>866770.79</v>
      </c>
      <c r="F39" s="73"/>
    </row>
    <row r="40" spans="2:6" ht="13.5" thickBot="1">
      <c r="B40" s="103" t="s">
        <v>35</v>
      </c>
      <c r="C40" s="104" t="s">
        <v>36</v>
      </c>
      <c r="D40" s="210">
        <v>28116727.190000001</v>
      </c>
      <c r="E40" s="275">
        <v>-21254774.870000001</v>
      </c>
    </row>
    <row r="41" spans="2:6" ht="13.5" thickBot="1">
      <c r="B41" s="105" t="s">
        <v>37</v>
      </c>
      <c r="C41" s="106" t="s">
        <v>38</v>
      </c>
      <c r="D41" s="211">
        <v>245626403.38</v>
      </c>
      <c r="E41" s="154">
        <f>E26+E27+E40</f>
        <v>219661205.63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5.7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225"/>
      <c r="E46" s="29"/>
    </row>
    <row r="47" spans="2:6">
      <c r="B47" s="108" t="s">
        <v>4</v>
      </c>
      <c r="C47" s="16" t="s">
        <v>40</v>
      </c>
      <c r="D47" s="212">
        <v>12561147.05692446</v>
      </c>
      <c r="E47" s="75">
        <v>12195842.338</v>
      </c>
    </row>
    <row r="48" spans="2:6">
      <c r="B48" s="129" t="s">
        <v>6</v>
      </c>
      <c r="C48" s="23" t="s">
        <v>41</v>
      </c>
      <c r="D48" s="213">
        <v>12310643.32054933</v>
      </c>
      <c r="E48" s="75">
        <v>11943894.970799999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17.749661104962001</v>
      </c>
      <c r="E50" s="297">
        <v>20.101310764341601</v>
      </c>
    </row>
    <row r="51" spans="2:5">
      <c r="B51" s="108" t="s">
        <v>6</v>
      </c>
      <c r="C51" s="16" t="s">
        <v>195</v>
      </c>
      <c r="D51" s="280">
        <v>17.749700000000001</v>
      </c>
      <c r="E51" s="285">
        <v>18.124400000000001</v>
      </c>
    </row>
    <row r="52" spans="2:5">
      <c r="B52" s="108" t="s">
        <v>8</v>
      </c>
      <c r="C52" s="16" t="s">
        <v>196</v>
      </c>
      <c r="D52" s="280">
        <v>20.275200000000002</v>
      </c>
      <c r="E52" s="285">
        <v>21.191099999999999</v>
      </c>
    </row>
    <row r="53" spans="2:5" ht="12.75" customHeight="1" thickBot="1">
      <c r="B53" s="109" t="s">
        <v>9</v>
      </c>
      <c r="C53" s="18" t="s">
        <v>41</v>
      </c>
      <c r="D53" s="216">
        <v>19.952361301053401</v>
      </c>
      <c r="E53" s="281">
        <v>18.391086506211099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D64+D69</f>
        <v>219437428.76999998</v>
      </c>
      <c r="E58" s="33">
        <f>D58/E21</f>
        <v>0.99898126362660056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5.5">
      <c r="B60" s="15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227473292.82-8393890.53</f>
        <v>219079402.28999999</v>
      </c>
      <c r="E64" s="83">
        <f>D64/E21</f>
        <v>0.99735136052662832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358021.58+4.9</f>
        <v>358026.48000000004</v>
      </c>
      <c r="E69" s="81">
        <f>D69/E21</f>
        <v>1.6299030999723462E-3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23.03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700418.83</v>
      </c>
      <c r="E72" s="125">
        <f>D72/E21</f>
        <v>3.1886323667903102E-3</v>
      </c>
    </row>
    <row r="73" spans="2:5">
      <c r="B73" s="24" t="s">
        <v>62</v>
      </c>
      <c r="C73" s="25" t="s">
        <v>65</v>
      </c>
      <c r="D73" s="26">
        <f>E17</f>
        <v>476665</v>
      </c>
      <c r="E73" s="27">
        <f>D73/E21</f>
        <v>2.170000836665261E-3</v>
      </c>
    </row>
    <row r="74" spans="2:5">
      <c r="B74" s="126" t="s">
        <v>64</v>
      </c>
      <c r="C74" s="127" t="s">
        <v>66</v>
      </c>
      <c r="D74" s="128">
        <f>D58+D71+D72-D73</f>
        <v>219661205.63</v>
      </c>
      <c r="E74" s="68">
        <f>E58+E72-E73</f>
        <v>0.9999998951567256</v>
      </c>
    </row>
    <row r="75" spans="2:5">
      <c r="B75" s="15" t="s">
        <v>4</v>
      </c>
      <c r="C75" s="16" t="s">
        <v>67</v>
      </c>
      <c r="D75" s="80">
        <f>D74</f>
        <v>219661205.63</v>
      </c>
      <c r="E75" s="81">
        <f>E74</f>
        <v>0.9999998951567256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101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11358190.370000001</v>
      </c>
      <c r="E11" s="9">
        <f>E12+E14</f>
        <v>9923435.4099999983</v>
      </c>
    </row>
    <row r="12" spans="2:7">
      <c r="B12" s="112" t="s">
        <v>4</v>
      </c>
      <c r="C12" s="6" t="s">
        <v>5</v>
      </c>
      <c r="D12" s="235">
        <v>11253811.300000001</v>
      </c>
      <c r="E12" s="87">
        <f>9873986.12+18281.79+0.52</f>
        <v>9892268.4299999978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>
        <v>104379.07</v>
      </c>
      <c r="E14" s="87">
        <f>E15</f>
        <v>31166.98</v>
      </c>
    </row>
    <row r="15" spans="2:7">
      <c r="B15" s="112" t="s">
        <v>187</v>
      </c>
      <c r="C15" s="70" t="s">
        <v>11</v>
      </c>
      <c r="D15" s="235">
        <v>104379.07</v>
      </c>
      <c r="E15" s="87">
        <v>31166.98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123098.81</v>
      </c>
      <c r="E17" s="98">
        <f>E18</f>
        <v>46744.17</v>
      </c>
    </row>
    <row r="18" spans="2:6">
      <c r="B18" s="112" t="s">
        <v>4</v>
      </c>
      <c r="C18" s="6" t="s">
        <v>11</v>
      </c>
      <c r="D18" s="235">
        <v>123098.81</v>
      </c>
      <c r="E18" s="88">
        <v>46744.17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11235091.560000001</v>
      </c>
      <c r="E21" s="154">
        <f>E11-E17</f>
        <v>9876691.2399999984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12893729.619999999</v>
      </c>
      <c r="E26" s="274">
        <f>D21</f>
        <v>11235091.560000001</v>
      </c>
    </row>
    <row r="27" spans="2:6">
      <c r="B27" s="10" t="s">
        <v>17</v>
      </c>
      <c r="C27" s="11" t="s">
        <v>192</v>
      </c>
      <c r="D27" s="207">
        <v>-483473.5</v>
      </c>
      <c r="E27" s="243">
        <f>E28-E32</f>
        <v>-1300224.8699999999</v>
      </c>
      <c r="F27" s="73"/>
    </row>
    <row r="28" spans="2:6">
      <c r="B28" s="10" t="s">
        <v>18</v>
      </c>
      <c r="C28" s="11" t="s">
        <v>19</v>
      </c>
      <c r="D28" s="207">
        <v>6524.99</v>
      </c>
      <c r="E28" s="244">
        <f>SUM(E29:E31)</f>
        <v>10650.84</v>
      </c>
      <c r="F28" s="73"/>
    </row>
    <row r="29" spans="2:6">
      <c r="B29" s="110" t="s">
        <v>4</v>
      </c>
      <c r="C29" s="6" t="s">
        <v>20</v>
      </c>
      <c r="D29" s="208">
        <v>2450</v>
      </c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4074.99</v>
      </c>
      <c r="E31" s="246">
        <v>10650.84</v>
      </c>
      <c r="F31" s="73"/>
    </row>
    <row r="32" spans="2:6">
      <c r="B32" s="97" t="s">
        <v>23</v>
      </c>
      <c r="C32" s="12" t="s">
        <v>24</v>
      </c>
      <c r="D32" s="207">
        <v>489998.49</v>
      </c>
      <c r="E32" s="244">
        <f>SUM(E33:E39)</f>
        <v>1310875.71</v>
      </c>
      <c r="F32" s="73"/>
    </row>
    <row r="33" spans="2:6">
      <c r="B33" s="110" t="s">
        <v>4</v>
      </c>
      <c r="C33" s="6" t="s">
        <v>25</v>
      </c>
      <c r="D33" s="208">
        <v>442260.43</v>
      </c>
      <c r="E33" s="246">
        <v>1299810.23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13477.55</v>
      </c>
      <c r="E35" s="246">
        <v>11065.48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34260.51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148631.4</v>
      </c>
      <c r="E40" s="275">
        <v>-58175.45</v>
      </c>
    </row>
    <row r="41" spans="2:6" ht="13.5" thickBot="1">
      <c r="B41" s="105" t="s">
        <v>37</v>
      </c>
      <c r="C41" s="106" t="s">
        <v>38</v>
      </c>
      <c r="D41" s="211">
        <v>12558887.52</v>
      </c>
      <c r="E41" s="154">
        <f>E26+E27+E40</f>
        <v>9876691.2400000021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1233669.0815399999</v>
      </c>
      <c r="E47" s="75">
        <v>1057685.5909559999</v>
      </c>
    </row>
    <row r="48" spans="2:6">
      <c r="B48" s="129" t="s">
        <v>6</v>
      </c>
      <c r="C48" s="23" t="s">
        <v>41</v>
      </c>
      <c r="D48" s="213">
        <v>1187837.0365279999</v>
      </c>
      <c r="E48" s="75">
        <v>935176.37991200003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10.45153</v>
      </c>
      <c r="E50" s="75">
        <v>10.622334</v>
      </c>
    </row>
    <row r="51" spans="2:5">
      <c r="B51" s="108" t="s">
        <v>6</v>
      </c>
      <c r="C51" s="16" t="s">
        <v>195</v>
      </c>
      <c r="D51" s="212">
        <v>10.435867999999999</v>
      </c>
      <c r="E51" s="77">
        <v>10.555289999999999</v>
      </c>
    </row>
    <row r="52" spans="2:5" ht="12.75" customHeight="1">
      <c r="B52" s="108" t="s">
        <v>8</v>
      </c>
      <c r="C52" s="16" t="s">
        <v>196</v>
      </c>
      <c r="D52" s="212">
        <v>10.61454</v>
      </c>
      <c r="E52" s="77">
        <v>10.686400000000001</v>
      </c>
    </row>
    <row r="53" spans="2:5" ht="13.5" thickBot="1">
      <c r="B53" s="109" t="s">
        <v>9</v>
      </c>
      <c r="C53" s="18" t="s">
        <v>41</v>
      </c>
      <c r="D53" s="216">
        <v>10.572903999999999</v>
      </c>
      <c r="E53" s="300">
        <v>10.561313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D64+D69</f>
        <v>9892268.4299999997</v>
      </c>
      <c r="E58" s="33">
        <f>D58/E21</f>
        <v>1.0015771668488445</v>
      </c>
    </row>
    <row r="59" spans="2:5" ht="25.5">
      <c r="B59" s="193" t="s">
        <v>4</v>
      </c>
      <c r="C59" s="194" t="s">
        <v>44</v>
      </c>
      <c r="D59" s="82">
        <v>0</v>
      </c>
      <c r="E59" s="83">
        <v>0</v>
      </c>
    </row>
    <row r="60" spans="2:5" ht="24" customHeight="1">
      <c r="B60" s="191" t="s">
        <v>6</v>
      </c>
      <c r="C60" s="192" t="s">
        <v>45</v>
      </c>
      <c r="D60" s="80">
        <v>0</v>
      </c>
      <c r="E60" s="81">
        <v>0</v>
      </c>
    </row>
    <row r="61" spans="2:5">
      <c r="B61" s="191" t="s">
        <v>8</v>
      </c>
      <c r="C61" s="192" t="s">
        <v>46</v>
      </c>
      <c r="D61" s="80">
        <v>0</v>
      </c>
      <c r="E61" s="81">
        <v>0</v>
      </c>
    </row>
    <row r="62" spans="2:5">
      <c r="B62" s="191" t="s">
        <v>9</v>
      </c>
      <c r="C62" s="192" t="s">
        <v>47</v>
      </c>
      <c r="D62" s="80">
        <v>0</v>
      </c>
      <c r="E62" s="81">
        <v>0</v>
      </c>
    </row>
    <row r="63" spans="2:5">
      <c r="B63" s="191" t="s">
        <v>29</v>
      </c>
      <c r="C63" s="192" t="s">
        <v>48</v>
      </c>
      <c r="D63" s="80">
        <v>0</v>
      </c>
      <c r="E63" s="81">
        <v>0</v>
      </c>
    </row>
    <row r="64" spans="2:5">
      <c r="B64" s="193" t="s">
        <v>31</v>
      </c>
      <c r="C64" s="194" t="s">
        <v>49</v>
      </c>
      <c r="D64" s="82">
        <v>9873986.1199999992</v>
      </c>
      <c r="E64" s="83">
        <f>D64/E21</f>
        <v>0.99972611070506656</v>
      </c>
    </row>
    <row r="65" spans="2:5">
      <c r="B65" s="193" t="s">
        <v>33</v>
      </c>
      <c r="C65" s="194" t="s">
        <v>199</v>
      </c>
      <c r="D65" s="82">
        <v>0</v>
      </c>
      <c r="E65" s="83">
        <v>0</v>
      </c>
    </row>
    <row r="66" spans="2:5">
      <c r="B66" s="193" t="s">
        <v>50</v>
      </c>
      <c r="C66" s="194" t="s">
        <v>51</v>
      </c>
      <c r="D66" s="82">
        <v>0</v>
      </c>
      <c r="E66" s="83">
        <v>0</v>
      </c>
    </row>
    <row r="67" spans="2:5">
      <c r="B67" s="191" t="s">
        <v>52</v>
      </c>
      <c r="C67" s="192" t="s">
        <v>53</v>
      </c>
      <c r="D67" s="80">
        <v>0</v>
      </c>
      <c r="E67" s="81">
        <v>0</v>
      </c>
    </row>
    <row r="68" spans="2:5">
      <c r="B68" s="191" t="s">
        <v>54</v>
      </c>
      <c r="C68" s="192" t="s">
        <v>55</v>
      </c>
      <c r="D68" s="80">
        <v>0</v>
      </c>
      <c r="E68" s="81">
        <v>0</v>
      </c>
    </row>
    <row r="69" spans="2:5">
      <c r="B69" s="191" t="s">
        <v>56</v>
      </c>
      <c r="C69" s="192" t="s">
        <v>57</v>
      </c>
      <c r="D69" s="80">
        <f>18281.79+0.52</f>
        <v>18282.310000000001</v>
      </c>
      <c r="E69" s="81">
        <f>D69/E21</f>
        <v>1.8510561437779646E-3</v>
      </c>
    </row>
    <row r="70" spans="2:5">
      <c r="B70" s="306" t="s">
        <v>58</v>
      </c>
      <c r="C70" s="305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31166.98</v>
      </c>
      <c r="E72" s="125">
        <f>D72/E21</f>
        <v>3.1556094285681048E-3</v>
      </c>
    </row>
    <row r="73" spans="2:5">
      <c r="B73" s="138" t="s">
        <v>62</v>
      </c>
      <c r="C73" s="25" t="s">
        <v>65</v>
      </c>
      <c r="D73" s="26">
        <f>E17</f>
        <v>46744.17</v>
      </c>
      <c r="E73" s="27">
        <f>D73/E21</f>
        <v>4.7327762774125159E-3</v>
      </c>
    </row>
    <row r="74" spans="2:5">
      <c r="B74" s="136" t="s">
        <v>64</v>
      </c>
      <c r="C74" s="127" t="s">
        <v>66</v>
      </c>
      <c r="D74" s="128">
        <f>D58+D72-D73</f>
        <v>9876691.2400000002</v>
      </c>
      <c r="E74" s="68">
        <f>E58+E72-E73</f>
        <v>1</v>
      </c>
    </row>
    <row r="75" spans="2:5">
      <c r="B75" s="191" t="s">
        <v>4</v>
      </c>
      <c r="C75" s="192" t="s">
        <v>67</v>
      </c>
      <c r="D75" s="80">
        <f>D74</f>
        <v>9876691.2400000002</v>
      </c>
      <c r="E75" s="81">
        <f>E74</f>
        <v>1</v>
      </c>
    </row>
    <row r="76" spans="2:5">
      <c r="B76" s="191" t="s">
        <v>6</v>
      </c>
      <c r="C76" s="192" t="s">
        <v>200</v>
      </c>
      <c r="D76" s="80">
        <v>0</v>
      </c>
      <c r="E76" s="81">
        <v>0</v>
      </c>
    </row>
    <row r="77" spans="2:5" ht="13.5" thickBot="1">
      <c r="B77" s="195" t="s">
        <v>8</v>
      </c>
      <c r="C77" s="196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92"/>
      <c r="C4" s="92"/>
      <c r="D4" s="92"/>
      <c r="E4" s="92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74</v>
      </c>
      <c r="C6" s="311"/>
      <c r="D6" s="311"/>
      <c r="E6" s="311"/>
    </row>
    <row r="7" spans="2:5" ht="14.25">
      <c r="B7" s="94"/>
      <c r="C7" s="94"/>
      <c r="D7" s="94"/>
      <c r="E7" s="94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9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10999855.26</v>
      </c>
      <c r="E11" s="9">
        <f>E12+E14+E13</f>
        <v>9849102.5999999996</v>
      </c>
    </row>
    <row r="12" spans="2:5">
      <c r="B12" s="112" t="s">
        <v>4</v>
      </c>
      <c r="C12" s="6" t="s">
        <v>5</v>
      </c>
      <c r="D12" s="235">
        <v>10999635.289999999</v>
      </c>
      <c r="E12" s="87">
        <f>9834655.54+14280.08+0.41</f>
        <v>9848936.0299999993</v>
      </c>
    </row>
    <row r="13" spans="2:5">
      <c r="B13" s="112" t="s">
        <v>6</v>
      </c>
      <c r="C13" s="70" t="s">
        <v>7</v>
      </c>
      <c r="D13" s="235"/>
      <c r="E13" s="87"/>
    </row>
    <row r="14" spans="2:5">
      <c r="B14" s="112" t="s">
        <v>8</v>
      </c>
      <c r="C14" s="70" t="s">
        <v>10</v>
      </c>
      <c r="D14" s="235">
        <v>219.97</v>
      </c>
      <c r="E14" s="87">
        <f>E15</f>
        <v>166.57</v>
      </c>
    </row>
    <row r="15" spans="2:5">
      <c r="B15" s="112" t="s">
        <v>187</v>
      </c>
      <c r="C15" s="70" t="s">
        <v>11</v>
      </c>
      <c r="D15" s="235">
        <v>219.97</v>
      </c>
      <c r="E15" s="87">
        <v>166.57</v>
      </c>
    </row>
    <row r="16" spans="2:5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18978.87</v>
      </c>
      <c r="E17" s="98">
        <f>E18</f>
        <v>15801.75</v>
      </c>
    </row>
    <row r="18" spans="2:6">
      <c r="B18" s="112" t="s">
        <v>4</v>
      </c>
      <c r="C18" s="6" t="s">
        <v>11</v>
      </c>
      <c r="D18" s="235">
        <v>18978.87</v>
      </c>
      <c r="E18" s="88">
        <v>15801.75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10980876.390000001</v>
      </c>
      <c r="E21" s="154">
        <f>E11-E17</f>
        <v>9833300.8499999996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12101130.23</v>
      </c>
      <c r="E26" s="274">
        <f>D21</f>
        <v>10980876.390000001</v>
      </c>
    </row>
    <row r="27" spans="2:6">
      <c r="B27" s="10" t="s">
        <v>17</v>
      </c>
      <c r="C27" s="11" t="s">
        <v>192</v>
      </c>
      <c r="D27" s="207">
        <v>-1087557.3799999999</v>
      </c>
      <c r="E27" s="243">
        <f>E28-E32</f>
        <v>-783602.21</v>
      </c>
      <c r="F27" s="73"/>
    </row>
    <row r="28" spans="2:6">
      <c r="B28" s="10" t="s">
        <v>18</v>
      </c>
      <c r="C28" s="11" t="s">
        <v>19</v>
      </c>
      <c r="D28" s="207">
        <v>26126.080000000002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26126.080000000002</v>
      </c>
      <c r="E31" s="246"/>
      <c r="F31" s="73"/>
    </row>
    <row r="32" spans="2:6">
      <c r="B32" s="97" t="s">
        <v>23</v>
      </c>
      <c r="C32" s="12" t="s">
        <v>24</v>
      </c>
      <c r="D32" s="207">
        <v>1113683.46</v>
      </c>
      <c r="E32" s="244">
        <f>SUM(E33:E39)</f>
        <v>783602.21</v>
      </c>
      <c r="F32" s="73"/>
    </row>
    <row r="33" spans="2:6">
      <c r="B33" s="110" t="s">
        <v>4</v>
      </c>
      <c r="C33" s="6" t="s">
        <v>25</v>
      </c>
      <c r="D33" s="208">
        <v>1038137.26</v>
      </c>
      <c r="E33" s="246">
        <v>737961.76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49182.25</v>
      </c>
      <c r="E35" s="246">
        <v>44155.01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26363.95</v>
      </c>
      <c r="E39" s="248">
        <v>1485.44</v>
      </c>
      <c r="F39" s="73"/>
    </row>
    <row r="40" spans="2:6" ht="13.5" thickBot="1">
      <c r="B40" s="103" t="s">
        <v>35</v>
      </c>
      <c r="C40" s="104" t="s">
        <v>36</v>
      </c>
      <c r="D40" s="210">
        <v>483729.84</v>
      </c>
      <c r="E40" s="275">
        <v>-363973.33</v>
      </c>
    </row>
    <row r="41" spans="2:6" ht="13.5" thickBot="1">
      <c r="B41" s="105" t="s">
        <v>37</v>
      </c>
      <c r="C41" s="106" t="s">
        <v>38</v>
      </c>
      <c r="D41" s="211">
        <v>11497302.690000001</v>
      </c>
      <c r="E41" s="154">
        <f>E26+E27+E40</f>
        <v>9833300.8499999996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1301651.2243349999</v>
      </c>
      <c r="E47" s="75">
        <v>1126274.9694330001</v>
      </c>
    </row>
    <row r="48" spans="2:6">
      <c r="B48" s="129" t="s">
        <v>6</v>
      </c>
      <c r="C48" s="23" t="s">
        <v>41</v>
      </c>
      <c r="D48" s="213">
        <v>1188779.5804979999</v>
      </c>
      <c r="E48" s="75">
        <v>1045024.0525850001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9.2967530000000007</v>
      </c>
      <c r="E50" s="75">
        <v>9.7497290000000003</v>
      </c>
    </row>
    <row r="51" spans="2:5">
      <c r="B51" s="108" t="s">
        <v>6</v>
      </c>
      <c r="C51" s="16" t="s">
        <v>195</v>
      </c>
      <c r="D51" s="215">
        <v>9.1789830000000006</v>
      </c>
      <c r="E51" s="77">
        <v>9.1789830000000006</v>
      </c>
    </row>
    <row r="52" spans="2:5" ht="12.75" customHeight="1">
      <c r="B52" s="108" t="s">
        <v>8</v>
      </c>
      <c r="C52" s="16" t="s">
        <v>196</v>
      </c>
      <c r="D52" s="215">
        <v>9.7369289999999999</v>
      </c>
      <c r="E52" s="77">
        <v>9.849926</v>
      </c>
    </row>
    <row r="53" spans="2:5" ht="13.5" thickBot="1">
      <c r="B53" s="109" t="s">
        <v>9</v>
      </c>
      <c r="C53" s="18" t="s">
        <v>41</v>
      </c>
      <c r="D53" s="216">
        <v>9.6715180000000007</v>
      </c>
      <c r="E53" s="281">
        <v>9.4096399999999996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D64+D69</f>
        <v>9848936.0299999993</v>
      </c>
      <c r="E58" s="33">
        <f>D58/E21</f>
        <v>1.0015900235575523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v>9834655.5399999991</v>
      </c>
      <c r="E64" s="83">
        <f>D64/E21</f>
        <v>1.0001377655398389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f>14280.08+0.41</f>
        <v>14280.49</v>
      </c>
      <c r="E69" s="81">
        <f>D69/E21</f>
        <v>1.45225801771335E-3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f>E13</f>
        <v>0</v>
      </c>
      <c r="E71" s="68">
        <f>D71/E21</f>
        <v>0</v>
      </c>
    </row>
    <row r="72" spans="2:5">
      <c r="B72" s="137" t="s">
        <v>60</v>
      </c>
      <c r="C72" s="123" t="s">
        <v>63</v>
      </c>
      <c r="D72" s="124">
        <f>E14</f>
        <v>166.57</v>
      </c>
      <c r="E72" s="125">
        <f>D72/E21</f>
        <v>1.6939377991267296E-5</v>
      </c>
    </row>
    <row r="73" spans="2:5">
      <c r="B73" s="138" t="s">
        <v>62</v>
      </c>
      <c r="C73" s="25" t="s">
        <v>65</v>
      </c>
      <c r="D73" s="26">
        <f>E17</f>
        <v>15801.75</v>
      </c>
      <c r="E73" s="27">
        <f>D73/E21</f>
        <v>1.6069629355436633E-3</v>
      </c>
    </row>
    <row r="74" spans="2:5">
      <c r="B74" s="136" t="s">
        <v>64</v>
      </c>
      <c r="C74" s="127" t="s">
        <v>66</v>
      </c>
      <c r="D74" s="128">
        <f>D58+D72-D73+D71</f>
        <v>9833300.8499999996</v>
      </c>
      <c r="E74" s="68">
        <f>E58+E71+E72-E73</f>
        <v>0.99999999999999989</v>
      </c>
    </row>
    <row r="75" spans="2:5">
      <c r="B75" s="108" t="s">
        <v>4</v>
      </c>
      <c r="C75" s="16" t="s">
        <v>67</v>
      </c>
      <c r="D75" s="80">
        <f>D74</f>
        <v>9833300.8499999996</v>
      </c>
      <c r="E75" s="81">
        <f>E74</f>
        <v>0.99999999999999989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107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19683.14</v>
      </c>
      <c r="E11" s="270">
        <f>E12</f>
        <v>5324.35</v>
      </c>
    </row>
    <row r="12" spans="2:7">
      <c r="B12" s="112" t="s">
        <v>4</v>
      </c>
      <c r="C12" s="6" t="s">
        <v>5</v>
      </c>
      <c r="D12" s="235">
        <v>19683.14</v>
      </c>
      <c r="E12" s="234">
        <v>5324.35</v>
      </c>
    </row>
    <row r="13" spans="2:7">
      <c r="B13" s="112" t="s">
        <v>6</v>
      </c>
      <c r="C13" s="70" t="s">
        <v>7</v>
      </c>
      <c r="D13" s="235"/>
      <c r="E13" s="234"/>
    </row>
    <row r="14" spans="2:7">
      <c r="B14" s="112" t="s">
        <v>8</v>
      </c>
      <c r="C14" s="70" t="s">
        <v>10</v>
      </c>
      <c r="D14" s="235"/>
      <c r="E14" s="234"/>
    </row>
    <row r="15" spans="2:7">
      <c r="B15" s="112" t="s">
        <v>187</v>
      </c>
      <c r="C15" s="70" t="s">
        <v>11</v>
      </c>
      <c r="D15" s="235"/>
      <c r="E15" s="234"/>
    </row>
    <row r="16" spans="2:7">
      <c r="B16" s="113" t="s">
        <v>188</v>
      </c>
      <c r="C16" s="96" t="s">
        <v>12</v>
      </c>
      <c r="D16" s="236"/>
      <c r="E16" s="248"/>
    </row>
    <row r="17" spans="2:6">
      <c r="B17" s="10" t="s">
        <v>13</v>
      </c>
      <c r="C17" s="12" t="s">
        <v>65</v>
      </c>
      <c r="D17" s="264"/>
      <c r="E17" s="243"/>
    </row>
    <row r="18" spans="2:6">
      <c r="B18" s="112" t="s">
        <v>4</v>
      </c>
      <c r="C18" s="6" t="s">
        <v>11</v>
      </c>
      <c r="D18" s="235"/>
      <c r="E18" s="248"/>
    </row>
    <row r="19" spans="2:6" ht="15" customHeight="1">
      <c r="B19" s="112" t="s">
        <v>6</v>
      </c>
      <c r="C19" s="70" t="s">
        <v>189</v>
      </c>
      <c r="D19" s="235"/>
      <c r="E19" s="234"/>
    </row>
    <row r="20" spans="2:6" ht="13.5" thickBot="1">
      <c r="B20" s="114" t="s">
        <v>8</v>
      </c>
      <c r="C20" s="71" t="s">
        <v>14</v>
      </c>
      <c r="D20" s="238"/>
      <c r="E20" s="271"/>
    </row>
    <row r="21" spans="2:6" ht="13.5" thickBot="1">
      <c r="B21" s="319" t="s">
        <v>191</v>
      </c>
      <c r="C21" s="320"/>
      <c r="D21" s="239">
        <v>19683.14</v>
      </c>
      <c r="E21" s="252">
        <f>E11</f>
        <v>5324.35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15531.71</v>
      </c>
      <c r="E26" s="274">
        <f>D21</f>
        <v>19683.14</v>
      </c>
    </row>
    <row r="27" spans="2:6">
      <c r="B27" s="10" t="s">
        <v>17</v>
      </c>
      <c r="C27" s="11" t="s">
        <v>192</v>
      </c>
      <c r="D27" s="207">
        <v>6302.8799999999992</v>
      </c>
      <c r="E27" s="243">
        <f>E28-E32</f>
        <v>-14251.470000000001</v>
      </c>
      <c r="F27" s="73"/>
    </row>
    <row r="28" spans="2:6">
      <c r="B28" s="10" t="s">
        <v>18</v>
      </c>
      <c r="C28" s="11" t="s">
        <v>19</v>
      </c>
      <c r="D28" s="207">
        <v>6468.4699999999993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>
        <v>119.98</v>
      </c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6348.49</v>
      </c>
      <c r="E31" s="246"/>
      <c r="F31" s="73"/>
    </row>
    <row r="32" spans="2:6">
      <c r="B32" s="97" t="s">
        <v>23</v>
      </c>
      <c r="C32" s="12" t="s">
        <v>24</v>
      </c>
      <c r="D32" s="207">
        <v>165.58999999999997</v>
      </c>
      <c r="E32" s="244">
        <f>SUM(E33:E39)</f>
        <v>14251.470000000001</v>
      </c>
      <c r="F32" s="73"/>
    </row>
    <row r="33" spans="2:6">
      <c r="B33" s="110" t="s">
        <v>4</v>
      </c>
      <c r="C33" s="6" t="s">
        <v>25</v>
      </c>
      <c r="D33" s="208"/>
      <c r="E33" s="246">
        <v>11700.2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9.17</v>
      </c>
      <c r="E35" s="246">
        <v>7.11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156.41999999999999</v>
      </c>
      <c r="E37" s="246">
        <v>203.63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/>
      <c r="E39" s="248">
        <v>2340.5300000000002</v>
      </c>
      <c r="F39" s="73"/>
    </row>
    <row r="40" spans="2:6" ht="13.5" thickBot="1">
      <c r="B40" s="103" t="s">
        <v>35</v>
      </c>
      <c r="C40" s="104" t="s">
        <v>36</v>
      </c>
      <c r="D40" s="210">
        <v>1828.37</v>
      </c>
      <c r="E40" s="275">
        <v>-107.32</v>
      </c>
    </row>
    <row r="41" spans="2:6" ht="13.5" thickBot="1">
      <c r="B41" s="105" t="s">
        <v>37</v>
      </c>
      <c r="C41" s="106" t="s">
        <v>38</v>
      </c>
      <c r="D41" s="211">
        <v>23662.959999999995</v>
      </c>
      <c r="E41" s="154">
        <f>E26+E27+E40</f>
        <v>5324.3499999999985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112.1585</v>
      </c>
      <c r="E47" s="77">
        <v>127.97880000000001</v>
      </c>
    </row>
    <row r="48" spans="2:6">
      <c r="B48" s="129" t="s">
        <v>6</v>
      </c>
      <c r="C48" s="23" t="s">
        <v>41</v>
      </c>
      <c r="D48" s="213">
        <v>153.4563</v>
      </c>
      <c r="E48" s="282">
        <v>38.224899999999998</v>
      </c>
    </row>
    <row r="49" spans="2:5">
      <c r="B49" s="126" t="s">
        <v>23</v>
      </c>
      <c r="C49" s="130" t="s">
        <v>194</v>
      </c>
      <c r="D49" s="214"/>
      <c r="E49" s="77"/>
    </row>
    <row r="50" spans="2:5">
      <c r="B50" s="108" t="s">
        <v>4</v>
      </c>
      <c r="C50" s="16" t="s">
        <v>40</v>
      </c>
      <c r="D50" s="212">
        <v>138.47999999999999</v>
      </c>
      <c r="E50" s="77">
        <v>153.80000000000001</v>
      </c>
    </row>
    <row r="51" spans="2:5">
      <c r="B51" s="108" t="s">
        <v>6</v>
      </c>
      <c r="C51" s="16" t="s">
        <v>195</v>
      </c>
      <c r="D51" s="215">
        <v>138.47999999999999</v>
      </c>
      <c r="E51" s="77">
        <v>137.28</v>
      </c>
    </row>
    <row r="52" spans="2:5">
      <c r="B52" s="108" t="s">
        <v>8</v>
      </c>
      <c r="C52" s="16" t="s">
        <v>196</v>
      </c>
      <c r="D52" s="215">
        <v>157.15</v>
      </c>
      <c r="E52" s="77">
        <v>161.94999999999999</v>
      </c>
    </row>
    <row r="53" spans="2:5" ht="12.75" customHeight="1" thickBot="1">
      <c r="B53" s="109" t="s">
        <v>9</v>
      </c>
      <c r="C53" s="18" t="s">
        <v>41</v>
      </c>
      <c r="D53" s="216">
        <v>154.19999999999999</v>
      </c>
      <c r="E53" s="299">
        <v>139.29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5324.35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5324.35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5324.35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5324.35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000000000000005" right="0.75" top="0.56999999999999995" bottom="0.45" header="0.5" footer="0.5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112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413343.65</v>
      </c>
      <c r="E11" s="9">
        <f>E12</f>
        <v>280396.99</v>
      </c>
    </row>
    <row r="12" spans="2:7">
      <c r="B12" s="180" t="s">
        <v>4</v>
      </c>
      <c r="C12" s="181" t="s">
        <v>5</v>
      </c>
      <c r="D12" s="235">
        <v>413343.65</v>
      </c>
      <c r="E12" s="87">
        <v>280396.99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413343.65</v>
      </c>
      <c r="E21" s="154">
        <f>E11</f>
        <v>280396.99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17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453568.3</v>
      </c>
      <c r="E26" s="274">
        <f>D21</f>
        <v>413343.65</v>
      </c>
    </row>
    <row r="27" spans="2:6">
      <c r="B27" s="10" t="s">
        <v>17</v>
      </c>
      <c r="C27" s="11" t="s">
        <v>192</v>
      </c>
      <c r="D27" s="207">
        <v>-29443.550000000003</v>
      </c>
      <c r="E27" s="243">
        <f>E28-E32</f>
        <v>-121558.53000000001</v>
      </c>
      <c r="F27" s="73"/>
    </row>
    <row r="28" spans="2:6">
      <c r="B28" s="10" t="s">
        <v>18</v>
      </c>
      <c r="C28" s="11" t="s">
        <v>19</v>
      </c>
      <c r="D28" s="207">
        <v>3958.85</v>
      </c>
      <c r="E28" s="244">
        <f>SUM(E29:E31)</f>
        <v>5137.9299999999994</v>
      </c>
      <c r="F28" s="73"/>
    </row>
    <row r="29" spans="2:6">
      <c r="B29" s="188" t="s">
        <v>4</v>
      </c>
      <c r="C29" s="181" t="s">
        <v>20</v>
      </c>
      <c r="D29" s="208">
        <v>3958.85</v>
      </c>
      <c r="E29" s="246">
        <v>4669.82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468.11</v>
      </c>
      <c r="F31" s="73"/>
    </row>
    <row r="32" spans="2:6">
      <c r="B32" s="97" t="s">
        <v>23</v>
      </c>
      <c r="C32" s="12" t="s">
        <v>24</v>
      </c>
      <c r="D32" s="207">
        <v>33402.400000000001</v>
      </c>
      <c r="E32" s="244">
        <f>SUM(E33:E39)</f>
        <v>126696.46</v>
      </c>
      <c r="F32" s="73"/>
    </row>
    <row r="33" spans="2:6">
      <c r="B33" s="188" t="s">
        <v>4</v>
      </c>
      <c r="C33" s="181" t="s">
        <v>25</v>
      </c>
      <c r="D33" s="208">
        <v>28880.61</v>
      </c>
      <c r="E33" s="246">
        <v>3633.59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223.1</v>
      </c>
      <c r="E35" s="246">
        <v>188.75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4298.6899999999996</v>
      </c>
      <c r="E37" s="246">
        <v>3360.27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119513.85</v>
      </c>
      <c r="F39" s="73"/>
    </row>
    <row r="40" spans="2:6" ht="13.5" thickBot="1">
      <c r="B40" s="103" t="s">
        <v>35</v>
      </c>
      <c r="C40" s="104" t="s">
        <v>36</v>
      </c>
      <c r="D40" s="210">
        <v>23845.06</v>
      </c>
      <c r="E40" s="275">
        <v>-11388.13</v>
      </c>
    </row>
    <row r="41" spans="2:6" ht="13.5" thickBot="1">
      <c r="B41" s="105" t="s">
        <v>37</v>
      </c>
      <c r="C41" s="106" t="s">
        <v>38</v>
      </c>
      <c r="D41" s="211">
        <v>447969.81</v>
      </c>
      <c r="E41" s="154">
        <f>E26+E27+E40</f>
        <v>280396.99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3629.4175</v>
      </c>
      <c r="E47" s="77">
        <v>3149.7649000000001</v>
      </c>
    </row>
    <row r="48" spans="2:6">
      <c r="B48" s="129" t="s">
        <v>6</v>
      </c>
      <c r="C48" s="23" t="s">
        <v>41</v>
      </c>
      <c r="D48" s="213">
        <v>3406.0965000000001</v>
      </c>
      <c r="E48" s="77">
        <v>2217.8042</v>
      </c>
    </row>
    <row r="49" spans="2:5">
      <c r="B49" s="126" t="s">
        <v>23</v>
      </c>
      <c r="C49" s="130" t="s">
        <v>194</v>
      </c>
      <c r="D49" s="214"/>
      <c r="E49" s="77"/>
    </row>
    <row r="50" spans="2:5">
      <c r="B50" s="108" t="s">
        <v>4</v>
      </c>
      <c r="C50" s="16" t="s">
        <v>40</v>
      </c>
      <c r="D50" s="212">
        <v>124.97</v>
      </c>
      <c r="E50" s="77">
        <v>131.22999999999999</v>
      </c>
    </row>
    <row r="51" spans="2:5">
      <c r="B51" s="108" t="s">
        <v>6</v>
      </c>
      <c r="C51" s="16" t="s">
        <v>195</v>
      </c>
      <c r="D51" s="215">
        <v>124.97</v>
      </c>
      <c r="E51" s="77">
        <v>125.69</v>
      </c>
    </row>
    <row r="52" spans="2:5">
      <c r="B52" s="108" t="s">
        <v>8</v>
      </c>
      <c r="C52" s="16" t="s">
        <v>196</v>
      </c>
      <c r="D52" s="215">
        <v>132.41</v>
      </c>
      <c r="E52" s="77">
        <v>134.88999999999999</v>
      </c>
    </row>
    <row r="53" spans="2:5" ht="13.5" customHeight="1" thickBot="1">
      <c r="B53" s="109" t="s">
        <v>9</v>
      </c>
      <c r="C53" s="18" t="s">
        <v>41</v>
      </c>
      <c r="D53" s="216">
        <v>131.52000000000001</v>
      </c>
      <c r="E53" s="299">
        <v>126.43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280396.99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280396.99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280396.99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280396.99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110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5593319.8600000003</v>
      </c>
      <c r="E11" s="9">
        <f>E12</f>
        <v>5078444.09</v>
      </c>
    </row>
    <row r="12" spans="2:7">
      <c r="B12" s="112" t="s">
        <v>4</v>
      </c>
      <c r="C12" s="6" t="s">
        <v>5</v>
      </c>
      <c r="D12" s="235">
        <v>5593319.8600000003</v>
      </c>
      <c r="E12" s="87">
        <v>5078444.09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5593319.8600000003</v>
      </c>
      <c r="E21" s="154">
        <f>E11</f>
        <v>5078444.09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6583875.2999999998</v>
      </c>
      <c r="E26" s="274">
        <f>D21</f>
        <v>5593319.8600000003</v>
      </c>
    </row>
    <row r="27" spans="2:6">
      <c r="B27" s="10" t="s">
        <v>17</v>
      </c>
      <c r="C27" s="11" t="s">
        <v>192</v>
      </c>
      <c r="D27" s="207">
        <v>-593630.49000000022</v>
      </c>
      <c r="E27" s="243">
        <f>E28-E32</f>
        <v>-485476.41</v>
      </c>
      <c r="F27" s="73"/>
    </row>
    <row r="28" spans="2:6">
      <c r="B28" s="10" t="s">
        <v>18</v>
      </c>
      <c r="C28" s="11" t="s">
        <v>19</v>
      </c>
      <c r="D28" s="207">
        <v>1696119.8599999999</v>
      </c>
      <c r="E28" s="244">
        <f>SUM(E29:E31)</f>
        <v>235663.18</v>
      </c>
      <c r="F28" s="73"/>
    </row>
    <row r="29" spans="2:6">
      <c r="B29" s="110" t="s">
        <v>4</v>
      </c>
      <c r="C29" s="6" t="s">
        <v>20</v>
      </c>
      <c r="D29" s="208">
        <v>12930.19</v>
      </c>
      <c r="E29" s="246">
        <v>10563.02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1683189.67</v>
      </c>
      <c r="E31" s="246">
        <v>225100.16</v>
      </c>
      <c r="F31" s="73"/>
    </row>
    <row r="32" spans="2:6">
      <c r="B32" s="97" t="s">
        <v>23</v>
      </c>
      <c r="C32" s="12" t="s">
        <v>24</v>
      </c>
      <c r="D32" s="207">
        <v>2289750.35</v>
      </c>
      <c r="E32" s="244">
        <f>SUM(E33:E39)</f>
        <v>721139.59</v>
      </c>
      <c r="F32" s="73"/>
    </row>
    <row r="33" spans="2:6">
      <c r="B33" s="110" t="s">
        <v>4</v>
      </c>
      <c r="C33" s="6" t="s">
        <v>25</v>
      </c>
      <c r="D33" s="208">
        <v>1323533.6399999999</v>
      </c>
      <c r="E33" s="246">
        <v>383399.29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3550.27</v>
      </c>
      <c r="E35" s="246">
        <v>2833.72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57455.53</v>
      </c>
      <c r="E37" s="246">
        <v>44306.18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905210.91</v>
      </c>
      <c r="E39" s="248">
        <v>290600.40000000002</v>
      </c>
      <c r="F39" s="73"/>
    </row>
    <row r="40" spans="2:6" ht="13.5" thickBot="1">
      <c r="B40" s="103" t="s">
        <v>35</v>
      </c>
      <c r="C40" s="104" t="s">
        <v>36</v>
      </c>
      <c r="D40" s="210">
        <v>101375.8</v>
      </c>
      <c r="E40" s="275">
        <v>-29399.360000000001</v>
      </c>
    </row>
    <row r="41" spans="2:6" ht="13.5" thickBot="1">
      <c r="B41" s="105" t="s">
        <v>37</v>
      </c>
      <c r="C41" s="106" t="s">
        <v>38</v>
      </c>
      <c r="D41" s="211">
        <v>6091620.6099999994</v>
      </c>
      <c r="E41" s="154">
        <f>E26+E27+E40</f>
        <v>5078444.09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39962.8243</v>
      </c>
      <c r="E47" s="155">
        <v>33071.127899999999</v>
      </c>
    </row>
    <row r="48" spans="2:6">
      <c r="B48" s="129" t="s">
        <v>6</v>
      </c>
      <c r="C48" s="23" t="s">
        <v>41</v>
      </c>
      <c r="D48" s="213">
        <v>36437.496200000001</v>
      </c>
      <c r="E48" s="155">
        <v>30196.480500000001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164.75</v>
      </c>
      <c r="E50" s="155">
        <v>169.13</v>
      </c>
    </row>
    <row r="51" spans="2:5">
      <c r="B51" s="108" t="s">
        <v>6</v>
      </c>
      <c r="C51" s="16" t="s">
        <v>195</v>
      </c>
      <c r="D51" s="215">
        <v>164.75</v>
      </c>
      <c r="E51" s="77">
        <v>168.08</v>
      </c>
    </row>
    <row r="52" spans="2:5">
      <c r="B52" s="108" t="s">
        <v>8</v>
      </c>
      <c r="C52" s="16" t="s">
        <v>196</v>
      </c>
      <c r="D52" s="215">
        <v>167.25</v>
      </c>
      <c r="E52" s="77">
        <v>169.42</v>
      </c>
    </row>
    <row r="53" spans="2:5" ht="13.5" customHeight="1" thickBot="1">
      <c r="B53" s="109" t="s">
        <v>9</v>
      </c>
      <c r="C53" s="18" t="s">
        <v>41</v>
      </c>
      <c r="D53" s="216">
        <v>167.18</v>
      </c>
      <c r="E53" s="299">
        <v>168.18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5078444.09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5078444.09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5078444.09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5078444.09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 customHeight="1">
      <c r="B6" s="311" t="s">
        <v>108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 customHeight="1">
      <c r="B8" s="313" t="s">
        <v>18</v>
      </c>
      <c r="C8" s="313"/>
      <c r="D8" s="313"/>
      <c r="E8" s="313"/>
    </row>
    <row r="9" spans="2:7" ht="16.5" customHeight="1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326574.09000000003</v>
      </c>
      <c r="E11" s="9">
        <f>E12</f>
        <v>309143.05</v>
      </c>
    </row>
    <row r="12" spans="2:7">
      <c r="B12" s="180" t="s">
        <v>4</v>
      </c>
      <c r="C12" s="181" t="s">
        <v>5</v>
      </c>
      <c r="D12" s="235">
        <v>326574.09000000003</v>
      </c>
      <c r="E12" s="87">
        <v>309143.05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customHeight="1" thickBot="1">
      <c r="B21" s="317" t="s">
        <v>191</v>
      </c>
      <c r="C21" s="329"/>
      <c r="D21" s="239">
        <v>326574.09000000003</v>
      </c>
      <c r="E21" s="154">
        <f>E11</f>
        <v>309143.05</v>
      </c>
      <c r="F21" s="79"/>
    </row>
    <row r="22" spans="2:6">
      <c r="B22" s="3"/>
      <c r="C22" s="7"/>
      <c r="D22" s="8"/>
      <c r="E22" s="8"/>
    </row>
    <row r="23" spans="2:6" ht="13.5" customHeight="1">
      <c r="B23" s="313" t="s">
        <v>185</v>
      </c>
      <c r="C23" s="313"/>
      <c r="D23" s="313"/>
      <c r="E23" s="313"/>
    </row>
    <row r="24" spans="2:6" ht="15.75" customHeight="1" thickBot="1">
      <c r="B24" s="312" t="s">
        <v>186</v>
      </c>
      <c r="C24" s="312"/>
      <c r="D24" s="312"/>
      <c r="E24" s="312"/>
    </row>
    <row r="25" spans="2:6" ht="13.5" thickBot="1">
      <c r="B25" s="217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365306.71</v>
      </c>
      <c r="E26" s="274">
        <f>D21</f>
        <v>326574.09000000003</v>
      </c>
    </row>
    <row r="27" spans="2:6">
      <c r="B27" s="10" t="s">
        <v>17</v>
      </c>
      <c r="C27" s="11" t="s">
        <v>192</v>
      </c>
      <c r="D27" s="207">
        <v>-8820.5</v>
      </c>
      <c r="E27" s="243">
        <f>E28-E32</f>
        <v>-5380.0299999999988</v>
      </c>
      <c r="F27" s="73"/>
    </row>
    <row r="28" spans="2:6">
      <c r="B28" s="10" t="s">
        <v>18</v>
      </c>
      <c r="C28" s="11" t="s">
        <v>19</v>
      </c>
      <c r="D28" s="207">
        <v>1240.3599999999999</v>
      </c>
      <c r="E28" s="244">
        <f>SUM(E29:E31)</f>
        <v>22557.78</v>
      </c>
      <c r="F28" s="73"/>
    </row>
    <row r="29" spans="2:6">
      <c r="B29" s="188" t="s">
        <v>4</v>
      </c>
      <c r="C29" s="181" t="s">
        <v>20</v>
      </c>
      <c r="D29" s="208">
        <v>1240.3599999999999</v>
      </c>
      <c r="E29" s="246">
        <v>1146.77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21411.01</v>
      </c>
      <c r="F31" s="73"/>
    </row>
    <row r="32" spans="2:6">
      <c r="B32" s="97" t="s">
        <v>23</v>
      </c>
      <c r="C32" s="12" t="s">
        <v>24</v>
      </c>
      <c r="D32" s="207">
        <v>10060.86</v>
      </c>
      <c r="E32" s="244">
        <f>SUM(E33:E39)</f>
        <v>27937.809999999998</v>
      </c>
      <c r="F32" s="73"/>
    </row>
    <row r="33" spans="2:6">
      <c r="B33" s="188" t="s">
        <v>4</v>
      </c>
      <c r="C33" s="181" t="s">
        <v>25</v>
      </c>
      <c r="D33" s="208">
        <v>6471.91</v>
      </c>
      <c r="E33" s="246">
        <v>3307.34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272.8</v>
      </c>
      <c r="E35" s="246">
        <v>290.70999999999998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3316.15</v>
      </c>
      <c r="E37" s="246">
        <v>2898.03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21441.73</v>
      </c>
      <c r="F39" s="73"/>
    </row>
    <row r="40" spans="2:6" ht="13.5" thickBot="1">
      <c r="B40" s="103" t="s">
        <v>35</v>
      </c>
      <c r="C40" s="104" t="s">
        <v>36</v>
      </c>
      <c r="D40" s="210">
        <v>7571.76</v>
      </c>
      <c r="E40" s="275">
        <v>-12051.01</v>
      </c>
    </row>
    <row r="41" spans="2:6" ht="13.5" thickBot="1">
      <c r="B41" s="105" t="s">
        <v>37</v>
      </c>
      <c r="C41" s="106" t="s">
        <v>38</v>
      </c>
      <c r="D41" s="211">
        <v>364057.97000000003</v>
      </c>
      <c r="E41" s="154">
        <f>E26+E27+E40</f>
        <v>309143.05000000005</v>
      </c>
      <c r="F41" s="79"/>
    </row>
    <row r="42" spans="2:6">
      <c r="B42" s="99"/>
      <c r="C42" s="99"/>
      <c r="D42" s="100"/>
      <c r="E42" s="100"/>
      <c r="F42" s="79"/>
    </row>
    <row r="43" spans="2:6" ht="13.5" customHeight="1">
      <c r="B43" s="314" t="s">
        <v>60</v>
      </c>
      <c r="C43" s="314"/>
      <c r="D43" s="314"/>
      <c r="E43" s="314"/>
    </row>
    <row r="44" spans="2:6" ht="18" customHeight="1" thickBot="1">
      <c r="B44" s="312" t="s">
        <v>210</v>
      </c>
      <c r="C44" s="312"/>
      <c r="D44" s="312"/>
      <c r="E44" s="312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3518.6545000000001</v>
      </c>
      <c r="E47" s="77">
        <v>3113.1943999999999</v>
      </c>
    </row>
    <row r="48" spans="2:6">
      <c r="B48" s="129" t="s">
        <v>6</v>
      </c>
      <c r="C48" s="23" t="s">
        <v>41</v>
      </c>
      <c r="D48" s="213">
        <v>3436.13</v>
      </c>
      <c r="E48" s="77">
        <v>3062.0349999999999</v>
      </c>
    </row>
    <row r="49" spans="2:5">
      <c r="B49" s="126" t="s">
        <v>23</v>
      </c>
      <c r="C49" s="130" t="s">
        <v>194</v>
      </c>
      <c r="D49" s="214"/>
      <c r="E49" s="77"/>
    </row>
    <row r="50" spans="2:5">
      <c r="B50" s="108" t="s">
        <v>4</v>
      </c>
      <c r="C50" s="16" t="s">
        <v>40</v>
      </c>
      <c r="D50" s="212">
        <v>103.82</v>
      </c>
      <c r="E50" s="77">
        <v>104.9</v>
      </c>
    </row>
    <row r="51" spans="2:5">
      <c r="B51" s="108" t="s">
        <v>6</v>
      </c>
      <c r="C51" s="16" t="s">
        <v>195</v>
      </c>
      <c r="D51" s="215">
        <v>103.82</v>
      </c>
      <c r="E51" s="77">
        <v>100.04</v>
      </c>
    </row>
    <row r="52" spans="2:5">
      <c r="B52" s="108" t="s">
        <v>8</v>
      </c>
      <c r="C52" s="16" t="s">
        <v>196</v>
      </c>
      <c r="D52" s="215">
        <v>107.56</v>
      </c>
      <c r="E52" s="77">
        <v>108.51</v>
      </c>
    </row>
    <row r="53" spans="2:5" ht="12.75" customHeight="1" thickBot="1">
      <c r="B53" s="109" t="s">
        <v>9</v>
      </c>
      <c r="C53" s="18" t="s">
        <v>41</v>
      </c>
      <c r="D53" s="216">
        <v>105.95</v>
      </c>
      <c r="E53" s="299">
        <v>100.96</v>
      </c>
    </row>
    <row r="54" spans="2:5">
      <c r="B54" s="115"/>
      <c r="C54" s="116"/>
      <c r="D54" s="117"/>
      <c r="E54" s="117"/>
    </row>
    <row r="55" spans="2:5" ht="13.5" customHeight="1">
      <c r="B55" s="314" t="s">
        <v>62</v>
      </c>
      <c r="C55" s="314"/>
      <c r="D55" s="314"/>
      <c r="E55" s="314"/>
    </row>
    <row r="56" spans="2:5" ht="14.25" customHeight="1" thickBot="1">
      <c r="B56" s="312" t="s">
        <v>197</v>
      </c>
      <c r="C56" s="312"/>
      <c r="D56" s="312"/>
      <c r="E56" s="312"/>
    </row>
    <row r="57" spans="2:5" ht="23.25" customHeight="1" thickBot="1">
      <c r="B57" s="327" t="s">
        <v>42</v>
      </c>
      <c r="C57" s="32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309143.05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309143.05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309143.05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309143.05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92"/>
      <c r="C4" s="92"/>
      <c r="D4" s="92"/>
      <c r="E4" s="92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109</v>
      </c>
      <c r="C6" s="311"/>
      <c r="D6" s="311"/>
      <c r="E6" s="311"/>
    </row>
    <row r="7" spans="2:5" ht="14.25">
      <c r="B7" s="94"/>
      <c r="C7" s="94"/>
      <c r="D7" s="94"/>
      <c r="E7" s="94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9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784800.99</v>
      </c>
      <c r="E11" s="9">
        <f>E12</f>
        <v>605086.04</v>
      </c>
    </row>
    <row r="12" spans="2:5">
      <c r="B12" s="112" t="s">
        <v>4</v>
      </c>
      <c r="C12" s="6" t="s">
        <v>5</v>
      </c>
      <c r="D12" s="235">
        <v>784800.99</v>
      </c>
      <c r="E12" s="87">
        <v>605086.04</v>
      </c>
    </row>
    <row r="13" spans="2:5">
      <c r="B13" s="112" t="s">
        <v>6</v>
      </c>
      <c r="C13" s="70" t="s">
        <v>7</v>
      </c>
      <c r="D13" s="235"/>
      <c r="E13" s="87"/>
    </row>
    <row r="14" spans="2:5">
      <c r="B14" s="112" t="s">
        <v>8</v>
      </c>
      <c r="C14" s="70" t="s">
        <v>10</v>
      </c>
      <c r="D14" s="235"/>
      <c r="E14" s="87"/>
    </row>
    <row r="15" spans="2:5">
      <c r="B15" s="112" t="s">
        <v>187</v>
      </c>
      <c r="C15" s="70" t="s">
        <v>11</v>
      </c>
      <c r="D15" s="235"/>
      <c r="E15" s="87"/>
    </row>
    <row r="16" spans="2:5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784800.99</v>
      </c>
      <c r="E21" s="154">
        <f>E11</f>
        <v>605086.04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2177830.7000000002</v>
      </c>
      <c r="E26" s="274">
        <f>D21</f>
        <v>784800.99</v>
      </c>
    </row>
    <row r="27" spans="2:6">
      <c r="B27" s="10" t="s">
        <v>17</v>
      </c>
      <c r="C27" s="11" t="s">
        <v>192</v>
      </c>
      <c r="D27" s="207">
        <v>-1129819.8600000001</v>
      </c>
      <c r="E27" s="243">
        <f>E28-E32</f>
        <v>-155108.18</v>
      </c>
      <c r="F27" s="73"/>
    </row>
    <row r="28" spans="2:6">
      <c r="B28" s="10" t="s">
        <v>18</v>
      </c>
      <c r="C28" s="11" t="s">
        <v>19</v>
      </c>
      <c r="D28" s="207">
        <v>670462.01</v>
      </c>
      <c r="E28" s="244">
        <f>SUM(E29:E31)</f>
        <v>145892.29999999999</v>
      </c>
      <c r="F28" s="73"/>
    </row>
    <row r="29" spans="2:6">
      <c r="B29" s="110" t="s">
        <v>4</v>
      </c>
      <c r="C29" s="6" t="s">
        <v>20</v>
      </c>
      <c r="D29" s="208">
        <v>6597.03</v>
      </c>
      <c r="E29" s="246">
        <v>5052.09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663864.98</v>
      </c>
      <c r="E31" s="246">
        <v>140840.21</v>
      </c>
      <c r="F31" s="73"/>
    </row>
    <row r="32" spans="2:6">
      <c r="B32" s="97" t="s">
        <v>23</v>
      </c>
      <c r="C32" s="12" t="s">
        <v>24</v>
      </c>
      <c r="D32" s="207">
        <v>1800281.87</v>
      </c>
      <c r="E32" s="244">
        <f>SUM(E33:E39)</f>
        <v>301000.48</v>
      </c>
      <c r="F32" s="73"/>
    </row>
    <row r="33" spans="2:6">
      <c r="B33" s="110" t="s">
        <v>4</v>
      </c>
      <c r="C33" s="6" t="s">
        <v>25</v>
      </c>
      <c r="D33" s="208">
        <v>43798.89</v>
      </c>
      <c r="E33" s="246">
        <v>7546.92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246.89</v>
      </c>
      <c r="E35" s="246">
        <v>156.63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14524.52</v>
      </c>
      <c r="E37" s="246">
        <v>5186.01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1741711.57</v>
      </c>
      <c r="E39" s="248">
        <v>288110.92</v>
      </c>
      <c r="F39" s="73"/>
    </row>
    <row r="40" spans="2:6" ht="13.5" thickBot="1">
      <c r="B40" s="103" t="s">
        <v>35</v>
      </c>
      <c r="C40" s="104" t="s">
        <v>36</v>
      </c>
      <c r="D40" s="210">
        <v>265318.55</v>
      </c>
      <c r="E40" s="275">
        <v>-24606.77</v>
      </c>
    </row>
    <row r="41" spans="2:6" ht="13.5" thickBot="1">
      <c r="B41" s="105" t="s">
        <v>37</v>
      </c>
      <c r="C41" s="106" t="s">
        <v>38</v>
      </c>
      <c r="D41" s="211">
        <v>1313329.3900000001</v>
      </c>
      <c r="E41" s="154">
        <f>E26+E27+E40</f>
        <v>605086.04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16681.9663</v>
      </c>
      <c r="E47" s="155">
        <v>5562.4139999999998</v>
      </c>
    </row>
    <row r="48" spans="2:6">
      <c r="B48" s="129" t="s">
        <v>6</v>
      </c>
      <c r="C48" s="23" t="s">
        <v>41</v>
      </c>
      <c r="D48" s="213">
        <v>8699.8502252252238</v>
      </c>
      <c r="E48" s="155">
        <v>4463.9323999999997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130.55000000000001</v>
      </c>
      <c r="E50" s="155">
        <v>141.09</v>
      </c>
    </row>
    <row r="51" spans="2:5">
      <c r="B51" s="108" t="s">
        <v>6</v>
      </c>
      <c r="C51" s="16" t="s">
        <v>195</v>
      </c>
      <c r="D51" s="215">
        <v>130.25</v>
      </c>
      <c r="E51" s="77">
        <v>132.99</v>
      </c>
    </row>
    <row r="52" spans="2:5">
      <c r="B52" s="108" t="s">
        <v>8</v>
      </c>
      <c r="C52" s="16" t="s">
        <v>196</v>
      </c>
      <c r="D52" s="215">
        <v>151.9</v>
      </c>
      <c r="E52" s="77">
        <v>145.88999999999999</v>
      </c>
    </row>
    <row r="53" spans="2:5" ht="13.5" customHeight="1" thickBot="1">
      <c r="B53" s="109" t="s">
        <v>9</v>
      </c>
      <c r="C53" s="18" t="s">
        <v>41</v>
      </c>
      <c r="D53" s="216">
        <v>150.96</v>
      </c>
      <c r="E53" s="281">
        <v>135.55000000000001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605086.04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605086.04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605086.04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605086.04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G81"/>
  <sheetViews>
    <sheetView topLeftCell="A7"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240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16650722.060000001</v>
      </c>
      <c r="E11" s="9">
        <f>E12</f>
        <v>13303251.189999999</v>
      </c>
    </row>
    <row r="12" spans="2:7">
      <c r="B12" s="180" t="s">
        <v>4</v>
      </c>
      <c r="C12" s="181" t="s">
        <v>5</v>
      </c>
      <c r="D12" s="235">
        <v>16650722.060000001</v>
      </c>
      <c r="E12" s="87">
        <v>13303251.189999999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16650722.060000001</v>
      </c>
      <c r="E21" s="154">
        <f>E12</f>
        <v>13303251.189999999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17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31800525.960000001</v>
      </c>
      <c r="E26" s="274">
        <f>D21</f>
        <v>16650722.060000001</v>
      </c>
    </row>
    <row r="27" spans="2:6">
      <c r="B27" s="10" t="s">
        <v>17</v>
      </c>
      <c r="C27" s="11" t="s">
        <v>192</v>
      </c>
      <c r="D27" s="207">
        <v>-7843558.4799999995</v>
      </c>
      <c r="E27" s="243">
        <f>E28-E32</f>
        <v>-3318375.45</v>
      </c>
      <c r="F27" s="73"/>
    </row>
    <row r="28" spans="2:6">
      <c r="B28" s="10" t="s">
        <v>18</v>
      </c>
      <c r="C28" s="11" t="s">
        <v>19</v>
      </c>
      <c r="D28" s="207">
        <v>2784806.55</v>
      </c>
      <c r="E28" s="244">
        <f>SUM(E29:E31)</f>
        <v>579906.92999999993</v>
      </c>
      <c r="F28" s="73"/>
    </row>
    <row r="29" spans="2:6">
      <c r="B29" s="188" t="s">
        <v>4</v>
      </c>
      <c r="C29" s="181" t="s">
        <v>20</v>
      </c>
      <c r="D29" s="208">
        <v>810348.55</v>
      </c>
      <c r="E29" s="246">
        <v>11071.09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1974458</v>
      </c>
      <c r="E31" s="246">
        <v>568835.83999999997</v>
      </c>
      <c r="F31" s="73"/>
    </row>
    <row r="32" spans="2:6">
      <c r="B32" s="97" t="s">
        <v>23</v>
      </c>
      <c r="C32" s="12" t="s">
        <v>24</v>
      </c>
      <c r="D32" s="207">
        <v>10628365.029999999</v>
      </c>
      <c r="E32" s="244">
        <f>SUM(E33:E39)</f>
        <v>3898282.3800000004</v>
      </c>
      <c r="F32" s="73"/>
    </row>
    <row r="33" spans="2:6">
      <c r="B33" s="188" t="s">
        <v>4</v>
      </c>
      <c r="C33" s="181" t="s">
        <v>25</v>
      </c>
      <c r="D33" s="208">
        <v>3491919.91</v>
      </c>
      <c r="E33" s="246">
        <v>3605138.41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15006.67</v>
      </c>
      <c r="E35" s="246">
        <v>7417.72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208605.39</v>
      </c>
      <c r="E37" s="246">
        <v>116933.12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6912833.0599999996</v>
      </c>
      <c r="E39" s="248">
        <v>168793.13</v>
      </c>
      <c r="F39" s="73"/>
    </row>
    <row r="40" spans="2:6" ht="13.5" thickBot="1">
      <c r="B40" s="103" t="s">
        <v>35</v>
      </c>
      <c r="C40" s="104" t="s">
        <v>36</v>
      </c>
      <c r="D40" s="210">
        <v>354954.22</v>
      </c>
      <c r="E40" s="275">
        <v>-29095.42</v>
      </c>
    </row>
    <row r="41" spans="2:6" ht="13.5" thickBot="1">
      <c r="B41" s="105" t="s">
        <v>37</v>
      </c>
      <c r="C41" s="106" t="s">
        <v>38</v>
      </c>
      <c r="D41" s="211">
        <v>24311921.699999999</v>
      </c>
      <c r="E41" s="154">
        <f>E26+E27+E40</f>
        <v>13303251.189999999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210962.7568</v>
      </c>
      <c r="E47" s="155">
        <v>107625.3769</v>
      </c>
    </row>
    <row r="48" spans="2:6">
      <c r="B48" s="129" t="s">
        <v>6</v>
      </c>
      <c r="C48" s="23" t="s">
        <v>41</v>
      </c>
      <c r="D48" s="213">
        <v>159015.77410000001</v>
      </c>
      <c r="E48" s="155">
        <v>86205.619399999996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150.74</v>
      </c>
      <c r="E50" s="155">
        <v>154.71</v>
      </c>
    </row>
    <row r="51" spans="2:5">
      <c r="B51" s="108" t="s">
        <v>6</v>
      </c>
      <c r="C51" s="16" t="s">
        <v>195</v>
      </c>
      <c r="D51" s="215">
        <v>150.61000000000001</v>
      </c>
      <c r="E51" s="77">
        <v>154.15</v>
      </c>
    </row>
    <row r="52" spans="2:5">
      <c r="B52" s="108" t="s">
        <v>8</v>
      </c>
      <c r="C52" s="16" t="s">
        <v>196</v>
      </c>
      <c r="D52" s="215">
        <v>152.88999999999999</v>
      </c>
      <c r="E52" s="77">
        <v>155.4</v>
      </c>
    </row>
    <row r="53" spans="2:5" ht="12.75" customHeight="1" thickBot="1">
      <c r="B53" s="109" t="s">
        <v>9</v>
      </c>
      <c r="C53" s="18" t="s">
        <v>41</v>
      </c>
      <c r="D53" s="216">
        <v>152.88999999999999</v>
      </c>
      <c r="E53" s="298">
        <v>154.32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13303251.189999999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13303251.189999999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13303251.189999999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13303251.189999999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113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36238211.900000006</v>
      </c>
      <c r="E11" s="9">
        <f>E12</f>
        <v>31476027.549999997</v>
      </c>
    </row>
    <row r="12" spans="2:7">
      <c r="B12" s="112" t="s">
        <v>4</v>
      </c>
      <c r="C12" s="6" t="s">
        <v>5</v>
      </c>
      <c r="D12" s="235">
        <v>36238211.900000006</v>
      </c>
      <c r="E12" s="87">
        <f>31713510.24-237482.69</f>
        <v>31476027.549999997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36238211.900000006</v>
      </c>
      <c r="E21" s="154">
        <f>E11-E17</f>
        <v>31476027.549999997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48829406.219999999</v>
      </c>
      <c r="E26" s="274">
        <f>D21</f>
        <v>36238211.900000006</v>
      </c>
    </row>
    <row r="27" spans="2:6">
      <c r="B27" s="10" t="s">
        <v>17</v>
      </c>
      <c r="C27" s="11" t="s">
        <v>192</v>
      </c>
      <c r="D27" s="207">
        <v>-8049412.8899999997</v>
      </c>
      <c r="E27" s="243">
        <f>E28-E32</f>
        <v>-4583410.9000000013</v>
      </c>
      <c r="F27" s="73"/>
    </row>
    <row r="28" spans="2:6">
      <c r="B28" s="10" t="s">
        <v>18</v>
      </c>
      <c r="C28" s="11" t="s">
        <v>19</v>
      </c>
      <c r="D28" s="207">
        <v>526011.86</v>
      </c>
      <c r="E28" s="244">
        <f>SUM(E29:E31)</f>
        <v>557161.38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526011.86</v>
      </c>
      <c r="E31" s="246">
        <v>557161.38</v>
      </c>
      <c r="F31" s="73"/>
    </row>
    <row r="32" spans="2:6">
      <c r="B32" s="97" t="s">
        <v>23</v>
      </c>
      <c r="C32" s="12" t="s">
        <v>24</v>
      </c>
      <c r="D32" s="207">
        <v>8575424.75</v>
      </c>
      <c r="E32" s="244">
        <f>SUM(E33:E39)</f>
        <v>5140572.2800000012</v>
      </c>
      <c r="F32" s="73"/>
    </row>
    <row r="33" spans="2:6">
      <c r="B33" s="110" t="s">
        <v>4</v>
      </c>
      <c r="C33" s="6" t="s">
        <v>25</v>
      </c>
      <c r="D33" s="208">
        <v>5644541.0599999996</v>
      </c>
      <c r="E33" s="246">
        <f>4120607.96+104947.53</f>
        <v>4225555.49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26443.1</v>
      </c>
      <c r="E35" s="246">
        <v>21358.240000000002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426071.77</v>
      </c>
      <c r="E37" s="246">
        <v>319553.74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2478368.8199999998</v>
      </c>
      <c r="E39" s="248">
        <v>574104.81000000006</v>
      </c>
      <c r="F39" s="73"/>
    </row>
    <row r="40" spans="2:6" ht="13.5" thickBot="1">
      <c r="B40" s="103" t="s">
        <v>35</v>
      </c>
      <c r="C40" s="104" t="s">
        <v>36</v>
      </c>
      <c r="D40" s="210">
        <v>882675.52</v>
      </c>
      <c r="E40" s="275">
        <v>-178773.45</v>
      </c>
    </row>
    <row r="41" spans="2:6" ht="13.5" thickBot="1">
      <c r="B41" s="105" t="s">
        <v>37</v>
      </c>
      <c r="C41" s="106" t="s">
        <v>38</v>
      </c>
      <c r="D41" s="211">
        <v>41662668.850000001</v>
      </c>
      <c r="E41" s="154">
        <f>E26+E27+E40</f>
        <v>31476027.550000004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354632.91609999997</v>
      </c>
      <c r="E47" s="155">
        <v>254750.1715</v>
      </c>
    </row>
    <row r="48" spans="2:6">
      <c r="B48" s="129" t="s">
        <v>6</v>
      </c>
      <c r="C48" s="23" t="s">
        <v>41</v>
      </c>
      <c r="D48" s="213">
        <v>296658.13763884932</v>
      </c>
      <c r="E48" s="155">
        <v>222508.32425999999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137.69</v>
      </c>
      <c r="E50" s="155">
        <v>142.25</v>
      </c>
    </row>
    <row r="51" spans="2:5">
      <c r="B51" s="108" t="s">
        <v>6</v>
      </c>
      <c r="C51" s="16" t="s">
        <v>195</v>
      </c>
      <c r="D51" s="215">
        <v>137.32</v>
      </c>
      <c r="E51" s="77">
        <v>141.22</v>
      </c>
    </row>
    <row r="52" spans="2:5">
      <c r="B52" s="108" t="s">
        <v>8</v>
      </c>
      <c r="C52" s="16" t="s">
        <v>196</v>
      </c>
      <c r="D52" s="215">
        <v>140.74</v>
      </c>
      <c r="E52" s="77">
        <v>143.47</v>
      </c>
    </row>
    <row r="53" spans="2:5" ht="12.75" customHeight="1" thickBot="1">
      <c r="B53" s="109" t="s">
        <v>9</v>
      </c>
      <c r="C53" s="18" t="s">
        <v>41</v>
      </c>
      <c r="D53" s="216">
        <v>140.44</v>
      </c>
      <c r="E53" s="281">
        <v>141.46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31476027.549999997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31476027.549999997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31476027.549999997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31476027.549999997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92"/>
      <c r="C4" s="92"/>
      <c r="D4" s="92"/>
      <c r="E4" s="92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111</v>
      </c>
      <c r="C6" s="311"/>
      <c r="D6" s="311"/>
      <c r="E6" s="311"/>
    </row>
    <row r="7" spans="2:5" ht="14.25">
      <c r="B7" s="94"/>
      <c r="C7" s="94"/>
      <c r="D7" s="94"/>
      <c r="E7" s="94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9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177152.93999999997</v>
      </c>
      <c r="E11" s="9">
        <f>E12</f>
        <v>136924</v>
      </c>
    </row>
    <row r="12" spans="2:5">
      <c r="B12" s="112" t="s">
        <v>4</v>
      </c>
      <c r="C12" s="6" t="s">
        <v>5</v>
      </c>
      <c r="D12" s="235">
        <v>177152.93999999997</v>
      </c>
      <c r="E12" s="87">
        <f>136929.36-5.36</f>
        <v>136924</v>
      </c>
    </row>
    <row r="13" spans="2:5">
      <c r="B13" s="112" t="s">
        <v>6</v>
      </c>
      <c r="C13" s="70" t="s">
        <v>7</v>
      </c>
      <c r="D13" s="235"/>
      <c r="E13" s="87"/>
    </row>
    <row r="14" spans="2:5">
      <c r="B14" s="112" t="s">
        <v>8</v>
      </c>
      <c r="C14" s="70" t="s">
        <v>10</v>
      </c>
      <c r="D14" s="235"/>
      <c r="E14" s="87"/>
    </row>
    <row r="15" spans="2:5">
      <c r="B15" s="112" t="s">
        <v>187</v>
      </c>
      <c r="C15" s="70" t="s">
        <v>11</v>
      </c>
      <c r="D15" s="235"/>
      <c r="E15" s="87"/>
    </row>
    <row r="16" spans="2:5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177152.93999999997</v>
      </c>
      <c r="E21" s="154">
        <f>E12</f>
        <v>136924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282030.99</v>
      </c>
      <c r="E26" s="274">
        <f>D21</f>
        <v>177152.93999999997</v>
      </c>
    </row>
    <row r="27" spans="2:6">
      <c r="B27" s="10" t="s">
        <v>17</v>
      </c>
      <c r="C27" s="11" t="s">
        <v>192</v>
      </c>
      <c r="D27" s="207">
        <v>-82568.33</v>
      </c>
      <c r="E27" s="243">
        <f>E28-E32</f>
        <v>-23655.4</v>
      </c>
      <c r="F27" s="73"/>
    </row>
    <row r="28" spans="2:6">
      <c r="B28" s="10" t="s">
        <v>18</v>
      </c>
      <c r="C28" s="11" t="s">
        <v>19</v>
      </c>
      <c r="D28" s="207">
        <v>64277.08</v>
      </c>
      <c r="E28" s="244">
        <f>SUM(E29:E31)</f>
        <v>2240.0100000000002</v>
      </c>
      <c r="F28" s="73"/>
    </row>
    <row r="29" spans="2:6">
      <c r="B29" s="110" t="s">
        <v>4</v>
      </c>
      <c r="C29" s="6" t="s">
        <v>20</v>
      </c>
      <c r="D29" s="208">
        <v>7657.34</v>
      </c>
      <c r="E29" s="246">
        <v>2240.0100000000002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56619.74</v>
      </c>
      <c r="E31" s="246"/>
      <c r="F31" s="73"/>
    </row>
    <row r="32" spans="2:6">
      <c r="B32" s="97" t="s">
        <v>23</v>
      </c>
      <c r="C32" s="12" t="s">
        <v>24</v>
      </c>
      <c r="D32" s="207">
        <v>146845.41</v>
      </c>
      <c r="E32" s="244">
        <f>SUM(E33:E39)</f>
        <v>25895.41</v>
      </c>
      <c r="F32" s="73"/>
    </row>
    <row r="33" spans="2:6">
      <c r="B33" s="110" t="s">
        <v>4</v>
      </c>
      <c r="C33" s="6" t="s">
        <v>25</v>
      </c>
      <c r="D33" s="208">
        <v>106403.38</v>
      </c>
      <c r="E33" s="246">
        <f>24933.62-0.56-0.01</f>
        <v>24933.05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192.86</v>
      </c>
      <c r="E35" s="246">
        <v>76.41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2208.59</v>
      </c>
      <c r="E37" s="246">
        <v>885.95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38040.58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32300.58</v>
      </c>
      <c r="E40" s="275">
        <v>-16573.54</v>
      </c>
    </row>
    <row r="41" spans="2:6" ht="13.5" thickBot="1">
      <c r="B41" s="105" t="s">
        <v>37</v>
      </c>
      <c r="C41" s="106" t="s">
        <v>38</v>
      </c>
      <c r="D41" s="211">
        <v>231763.24</v>
      </c>
      <c r="E41" s="154">
        <f>E26+E27+E40</f>
        <v>136923.99999999997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3066.5542</v>
      </c>
      <c r="E47" s="155">
        <v>1739.3514</v>
      </c>
    </row>
    <row r="48" spans="2:6">
      <c r="B48" s="129" t="s">
        <v>6</v>
      </c>
      <c r="C48" s="23" t="s">
        <v>41</v>
      </c>
      <c r="D48" s="213">
        <v>2269.2963869577989</v>
      </c>
      <c r="E48" s="155">
        <v>1484.5929000000001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91.97</v>
      </c>
      <c r="E50" s="155">
        <v>101.85</v>
      </c>
    </row>
    <row r="51" spans="2:5">
      <c r="B51" s="108" t="s">
        <v>6</v>
      </c>
      <c r="C51" s="16" t="s">
        <v>195</v>
      </c>
      <c r="D51" s="215">
        <v>91.97</v>
      </c>
      <c r="E51" s="155">
        <v>90.89</v>
      </c>
    </row>
    <row r="52" spans="2:5">
      <c r="B52" s="108" t="s">
        <v>8</v>
      </c>
      <c r="C52" s="16" t="s">
        <v>196</v>
      </c>
      <c r="D52" s="215">
        <v>104.49</v>
      </c>
      <c r="E52" s="77">
        <v>107.29</v>
      </c>
    </row>
    <row r="53" spans="2:5" ht="13.5" customHeight="1" thickBot="1">
      <c r="B53" s="109" t="s">
        <v>9</v>
      </c>
      <c r="C53" s="18" t="s">
        <v>41</v>
      </c>
      <c r="D53" s="216">
        <v>102.13</v>
      </c>
      <c r="E53" s="281">
        <v>92.23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136924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136924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136924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136924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5.5703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90"/>
      <c r="C4" s="90"/>
      <c r="D4" s="90"/>
      <c r="E4" s="90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162</v>
      </c>
      <c r="C6" s="311"/>
      <c r="D6" s="311"/>
      <c r="E6" s="311"/>
    </row>
    <row r="7" spans="2:8" ht="14.25">
      <c r="B7" s="94"/>
      <c r="C7" s="94"/>
      <c r="D7" s="94"/>
      <c r="E7" s="94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91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69417283.620000005</v>
      </c>
      <c r="E11" s="9">
        <f>E12+E13+E14</f>
        <v>66173090.539999999</v>
      </c>
    </row>
    <row r="12" spans="2:8">
      <c r="B12" s="112" t="s">
        <v>4</v>
      </c>
      <c r="C12" s="6" t="s">
        <v>5</v>
      </c>
      <c r="D12" s="235">
        <v>69260125.400000006</v>
      </c>
      <c r="E12" s="87">
        <f>69017864.52+267468.59+3.66-3235234.16</f>
        <v>66050102.609999999</v>
      </c>
    </row>
    <row r="13" spans="2:8">
      <c r="B13" s="112" t="s">
        <v>6</v>
      </c>
      <c r="C13" s="70" t="s">
        <v>7</v>
      </c>
      <c r="D13" s="235"/>
      <c r="E13" s="87">
        <v>8.42</v>
      </c>
    </row>
    <row r="14" spans="2:8">
      <c r="B14" s="112" t="s">
        <v>8</v>
      </c>
      <c r="C14" s="70" t="s">
        <v>10</v>
      </c>
      <c r="D14" s="235">
        <v>157158.22</v>
      </c>
      <c r="E14" s="87">
        <f>E15</f>
        <v>122979.51</v>
      </c>
    </row>
    <row r="15" spans="2:8">
      <c r="B15" s="112" t="s">
        <v>187</v>
      </c>
      <c r="C15" s="70" t="s">
        <v>11</v>
      </c>
      <c r="D15" s="235">
        <v>157158.22</v>
      </c>
      <c r="E15" s="87">
        <v>122979.51</v>
      </c>
    </row>
    <row r="16" spans="2:8">
      <c r="B16" s="113" t="s">
        <v>188</v>
      </c>
      <c r="C16" s="96" t="s">
        <v>12</v>
      </c>
      <c r="D16" s="236"/>
      <c r="E16" s="88"/>
    </row>
    <row r="17" spans="2:7">
      <c r="B17" s="10" t="s">
        <v>13</v>
      </c>
      <c r="C17" s="12" t="s">
        <v>65</v>
      </c>
      <c r="D17" s="264">
        <v>94145.25</v>
      </c>
      <c r="E17" s="98">
        <f>SUM(E18:E19)</f>
        <v>164227.91</v>
      </c>
    </row>
    <row r="18" spans="2:7">
      <c r="B18" s="112" t="s">
        <v>4</v>
      </c>
      <c r="C18" s="6" t="s">
        <v>11</v>
      </c>
      <c r="D18" s="235">
        <v>94145.25</v>
      </c>
      <c r="E18" s="88">
        <v>164227.91</v>
      </c>
    </row>
    <row r="19" spans="2:7" ht="15" customHeight="1">
      <c r="B19" s="112" t="s">
        <v>6</v>
      </c>
      <c r="C19" s="70" t="s">
        <v>189</v>
      </c>
      <c r="D19" s="235"/>
      <c r="E19" s="87"/>
    </row>
    <row r="20" spans="2:7" ht="13.5" customHeight="1" thickBot="1">
      <c r="B20" s="114" t="s">
        <v>8</v>
      </c>
      <c r="C20" s="71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69323138.370000005</v>
      </c>
      <c r="E21" s="154">
        <f>E11-E17</f>
        <v>66008862.630000003</v>
      </c>
      <c r="F21" s="79"/>
      <c r="G21" s="69">
        <f>E21-E41</f>
        <v>0</v>
      </c>
    </row>
    <row r="22" spans="2:7">
      <c r="B22" s="3"/>
      <c r="C22" s="7"/>
      <c r="D22" s="8"/>
      <c r="E22" s="8"/>
    </row>
    <row r="23" spans="2:7" ht="13.5">
      <c r="B23" s="313" t="s">
        <v>185</v>
      </c>
      <c r="C23" s="321"/>
      <c r="D23" s="321"/>
      <c r="E23" s="321"/>
    </row>
    <row r="24" spans="2:7" ht="15.75" customHeight="1" thickBot="1">
      <c r="B24" s="312" t="s">
        <v>186</v>
      </c>
      <c r="C24" s="322"/>
      <c r="D24" s="322"/>
      <c r="E24" s="322"/>
    </row>
    <row r="25" spans="2:7" ht="13.5" thickBot="1">
      <c r="B25" s="91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63960109.850000001</v>
      </c>
      <c r="E26" s="274">
        <f>D21</f>
        <v>69323138.370000005</v>
      </c>
    </row>
    <row r="27" spans="2:7">
      <c r="B27" s="10" t="s">
        <v>17</v>
      </c>
      <c r="C27" s="11" t="s">
        <v>192</v>
      </c>
      <c r="D27" s="207">
        <v>3606769.4700000007</v>
      </c>
      <c r="E27" s="243">
        <f>E28-E32</f>
        <v>-2745171.7199999997</v>
      </c>
      <c r="F27" s="73"/>
    </row>
    <row r="28" spans="2:7">
      <c r="B28" s="10" t="s">
        <v>18</v>
      </c>
      <c r="C28" s="11" t="s">
        <v>19</v>
      </c>
      <c r="D28" s="207">
        <v>9431059.1600000001</v>
      </c>
      <c r="E28" s="244">
        <f>SUM(E29:E31)</f>
        <v>5620157.8200000003</v>
      </c>
      <c r="F28" s="73"/>
    </row>
    <row r="29" spans="2:7">
      <c r="B29" s="110" t="s">
        <v>4</v>
      </c>
      <c r="C29" s="6" t="s">
        <v>20</v>
      </c>
      <c r="D29" s="208">
        <v>5847474.1400000006</v>
      </c>
      <c r="E29" s="246">
        <v>4943528.6900000004</v>
      </c>
      <c r="F29" s="73"/>
    </row>
    <row r="30" spans="2:7">
      <c r="B30" s="110" t="s">
        <v>6</v>
      </c>
      <c r="C30" s="6" t="s">
        <v>21</v>
      </c>
      <c r="D30" s="208"/>
      <c r="E30" s="246"/>
      <c r="F30" s="73"/>
    </row>
    <row r="31" spans="2:7">
      <c r="B31" s="110" t="s">
        <v>8</v>
      </c>
      <c r="C31" s="6" t="s">
        <v>22</v>
      </c>
      <c r="D31" s="208">
        <v>3583585.02</v>
      </c>
      <c r="E31" s="246">
        <v>676629.13</v>
      </c>
      <c r="F31" s="73"/>
    </row>
    <row r="32" spans="2:7">
      <c r="B32" s="97" t="s">
        <v>23</v>
      </c>
      <c r="C32" s="12" t="s">
        <v>24</v>
      </c>
      <c r="D32" s="207">
        <v>5824289.6899999995</v>
      </c>
      <c r="E32" s="244">
        <f>SUM(E33:E39)</f>
        <v>8365329.54</v>
      </c>
      <c r="F32" s="73"/>
    </row>
    <row r="33" spans="2:6">
      <c r="B33" s="110" t="s">
        <v>4</v>
      </c>
      <c r="C33" s="6" t="s">
        <v>25</v>
      </c>
      <c r="D33" s="208">
        <v>4349823.5999999996</v>
      </c>
      <c r="E33" s="246">
        <f>5000990.29+1823586.91</f>
        <v>6824577.2000000002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665627.43999999994</v>
      </c>
      <c r="E35" s="246">
        <v>632823.85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808838.65</v>
      </c>
      <c r="E39" s="248">
        <v>907928.49</v>
      </c>
      <c r="F39" s="73"/>
    </row>
    <row r="40" spans="2:6" ht="13.5" thickBot="1">
      <c r="B40" s="103" t="s">
        <v>35</v>
      </c>
      <c r="C40" s="104" t="s">
        <v>36</v>
      </c>
      <c r="D40" s="210">
        <v>811273.3</v>
      </c>
      <c r="E40" s="275">
        <v>-569104.02</v>
      </c>
    </row>
    <row r="41" spans="2:6" ht="13.5" thickBot="1">
      <c r="B41" s="105" t="s">
        <v>37</v>
      </c>
      <c r="C41" s="106" t="s">
        <v>38</v>
      </c>
      <c r="D41" s="211">
        <v>68378152.620000005</v>
      </c>
      <c r="E41" s="154">
        <f>E26+E27+E40</f>
        <v>66008862.630000003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.7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1421442.5252239953</v>
      </c>
      <c r="E47" s="75">
        <v>1508445.1646</v>
      </c>
    </row>
    <row r="48" spans="2:6">
      <c r="B48" s="129" t="s">
        <v>6</v>
      </c>
      <c r="C48" s="23" t="s">
        <v>41</v>
      </c>
      <c r="D48" s="213">
        <v>1501409.9515066755</v>
      </c>
      <c r="E48" s="75">
        <v>1448027.25939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44.996620485883497</v>
      </c>
      <c r="E50" s="75">
        <v>45.956684402908202</v>
      </c>
    </row>
    <row r="51" spans="2:5">
      <c r="B51" s="108" t="s">
        <v>6</v>
      </c>
      <c r="C51" s="16" t="s">
        <v>195</v>
      </c>
      <c r="D51" s="212">
        <v>44.996600000000001</v>
      </c>
      <c r="E51" s="75">
        <v>45.5702</v>
      </c>
    </row>
    <row r="52" spans="2:5">
      <c r="B52" s="108" t="s">
        <v>8</v>
      </c>
      <c r="C52" s="16" t="s">
        <v>196</v>
      </c>
      <c r="D52" s="280">
        <v>45.5717</v>
      </c>
      <c r="E52" s="77">
        <v>46.025700000000001</v>
      </c>
    </row>
    <row r="53" spans="2:5" ht="13.5" customHeight="1" thickBot="1">
      <c r="B53" s="109" t="s">
        <v>9</v>
      </c>
      <c r="C53" s="18" t="s">
        <v>41</v>
      </c>
      <c r="D53" s="216">
        <v>45.542626483447798</v>
      </c>
      <c r="E53" s="281">
        <v>45.585372928575197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66050102.609999999</v>
      </c>
      <c r="E58" s="33">
        <f>D58/E21</f>
        <v>1.0006247642870498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5.5">
      <c r="B60" s="15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69017864.52-3235234.16</f>
        <v>65782630.359999999</v>
      </c>
      <c r="E64" s="83">
        <f>D64/E21</f>
        <v>0.99657269855916009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267468.59+3.66</f>
        <v>267472.25</v>
      </c>
      <c r="E69" s="81">
        <f>D69/E21</f>
        <v>4.0520657278896666E-3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8.42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122979.51</v>
      </c>
      <c r="E72" s="125">
        <f>D72/E21</f>
        <v>1.8630757310474809E-3</v>
      </c>
    </row>
    <row r="73" spans="2:5">
      <c r="B73" s="24" t="s">
        <v>62</v>
      </c>
      <c r="C73" s="25" t="s">
        <v>65</v>
      </c>
      <c r="D73" s="26">
        <f>E17</f>
        <v>164227.91</v>
      </c>
      <c r="E73" s="27">
        <f>D73/E21</f>
        <v>2.4879675767259923E-3</v>
      </c>
    </row>
    <row r="74" spans="2:5">
      <c r="B74" s="126" t="s">
        <v>64</v>
      </c>
      <c r="C74" s="127" t="s">
        <v>66</v>
      </c>
      <c r="D74" s="128">
        <f>D58++D71+D72-D73</f>
        <v>66008862.630000003</v>
      </c>
      <c r="E74" s="68">
        <f>E58+E72-E73</f>
        <v>0.99999987244137123</v>
      </c>
    </row>
    <row r="75" spans="2:5">
      <c r="B75" s="15" t="s">
        <v>4</v>
      </c>
      <c r="C75" s="16" t="s">
        <v>67</v>
      </c>
      <c r="D75" s="80">
        <f>D74</f>
        <v>66008862.630000003</v>
      </c>
      <c r="E75" s="81">
        <f>E74</f>
        <v>0.99999987244137123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182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57279.55</v>
      </c>
      <c r="E11" s="9">
        <f>E12</f>
        <v>57028</v>
      </c>
    </row>
    <row r="12" spans="2:7">
      <c r="B12" s="112" t="s">
        <v>4</v>
      </c>
      <c r="C12" s="6" t="s">
        <v>5</v>
      </c>
      <c r="D12" s="235">
        <v>57279.55</v>
      </c>
      <c r="E12" s="87">
        <v>57028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87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57279.55</v>
      </c>
      <c r="E21" s="154">
        <f>E11</f>
        <v>57028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267246.53000000003</v>
      </c>
      <c r="E26" s="274">
        <f>D21</f>
        <v>57279.55</v>
      </c>
    </row>
    <row r="27" spans="2:6">
      <c r="B27" s="10" t="s">
        <v>17</v>
      </c>
      <c r="C27" s="11" t="s">
        <v>192</v>
      </c>
      <c r="D27" s="207">
        <v>-224373.19999999998</v>
      </c>
      <c r="E27" s="243">
        <f>E28-E32</f>
        <v>-534.48</v>
      </c>
      <c r="F27" s="73"/>
    </row>
    <row r="28" spans="2:6">
      <c r="B28" s="10" t="s">
        <v>18</v>
      </c>
      <c r="C28" s="11" t="s">
        <v>19</v>
      </c>
      <c r="D28" s="207">
        <v>114555.59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114555.59</v>
      </c>
      <c r="E31" s="246"/>
      <c r="F31" s="73"/>
    </row>
    <row r="32" spans="2:6">
      <c r="B32" s="97" t="s">
        <v>23</v>
      </c>
      <c r="C32" s="12" t="s">
        <v>24</v>
      </c>
      <c r="D32" s="207">
        <v>338928.79</v>
      </c>
      <c r="E32" s="244">
        <f>SUM(E33:E39)</f>
        <v>534.48</v>
      </c>
      <c r="F32" s="73"/>
    </row>
    <row r="33" spans="2:6">
      <c r="B33" s="110" t="s">
        <v>4</v>
      </c>
      <c r="C33" s="6" t="s">
        <v>25</v>
      </c>
      <c r="D33" s="208"/>
      <c r="E33" s="246"/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40.53</v>
      </c>
      <c r="E35" s="246">
        <v>41.42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1453.44</v>
      </c>
      <c r="E37" s="246">
        <v>493.06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337434.82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11353.54</v>
      </c>
      <c r="E40" s="275">
        <v>282.93</v>
      </c>
    </row>
    <row r="41" spans="2:6" ht="13.5" thickBot="1">
      <c r="B41" s="105" t="s">
        <v>37</v>
      </c>
      <c r="C41" s="106" t="s">
        <v>38</v>
      </c>
      <c r="D41" s="211">
        <v>54226.870000000046</v>
      </c>
      <c r="E41" s="154">
        <f>E26+E27+E40</f>
        <v>57028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2383.7885000000001</v>
      </c>
      <c r="E47" s="155">
        <v>449.78050000000002</v>
      </c>
    </row>
    <row r="48" spans="2:6">
      <c r="B48" s="129" t="s">
        <v>6</v>
      </c>
      <c r="C48" s="23" t="s">
        <v>41</v>
      </c>
      <c r="D48" s="213">
        <v>453.97129999999999</v>
      </c>
      <c r="E48" s="155">
        <v>445.6705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112.11</v>
      </c>
      <c r="E50" s="155">
        <v>127.35</v>
      </c>
    </row>
    <row r="51" spans="2:5">
      <c r="B51" s="108" t="s">
        <v>6</v>
      </c>
      <c r="C51" s="16" t="s">
        <v>195</v>
      </c>
      <c r="D51" s="215">
        <v>112.11</v>
      </c>
      <c r="E51" s="77">
        <v>122.88</v>
      </c>
    </row>
    <row r="52" spans="2:5">
      <c r="B52" s="108" t="s">
        <v>8</v>
      </c>
      <c r="C52" s="16" t="s">
        <v>196</v>
      </c>
      <c r="D52" s="215">
        <v>121.9</v>
      </c>
      <c r="E52" s="77">
        <v>133.47</v>
      </c>
    </row>
    <row r="53" spans="2:5" ht="12.75" customHeight="1" thickBot="1">
      <c r="B53" s="109" t="s">
        <v>9</v>
      </c>
      <c r="C53" s="18" t="s">
        <v>41</v>
      </c>
      <c r="D53" s="216">
        <v>119.45</v>
      </c>
      <c r="E53" s="281">
        <v>127.96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57028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57028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57028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57028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92"/>
      <c r="C4" s="92"/>
      <c r="D4" s="92"/>
      <c r="E4" s="92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205</v>
      </c>
      <c r="C6" s="311"/>
      <c r="D6" s="311"/>
      <c r="E6" s="311"/>
    </row>
    <row r="7" spans="2:8" ht="14.25">
      <c r="B7" s="94"/>
      <c r="C7" s="94"/>
      <c r="D7" s="94"/>
      <c r="E7" s="94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93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219107</v>
      </c>
      <c r="E11" s="9">
        <f>E12</f>
        <v>0</v>
      </c>
    </row>
    <row r="12" spans="2:8">
      <c r="B12" s="112" t="s">
        <v>4</v>
      </c>
      <c r="C12" s="6" t="s">
        <v>5</v>
      </c>
      <c r="D12" s="235">
        <v>219107</v>
      </c>
      <c r="E12" s="87">
        <v>0</v>
      </c>
    </row>
    <row r="13" spans="2:8">
      <c r="B13" s="112" t="s">
        <v>6</v>
      </c>
      <c r="C13" s="70" t="s">
        <v>7</v>
      </c>
      <c r="D13" s="235"/>
      <c r="E13" s="87"/>
    </row>
    <row r="14" spans="2:8">
      <c r="B14" s="112" t="s">
        <v>8</v>
      </c>
      <c r="C14" s="70" t="s">
        <v>10</v>
      </c>
      <c r="D14" s="235"/>
      <c r="E14" s="87"/>
    </row>
    <row r="15" spans="2:8">
      <c r="B15" s="112" t="s">
        <v>187</v>
      </c>
      <c r="C15" s="70" t="s">
        <v>11</v>
      </c>
      <c r="D15" s="235"/>
      <c r="E15" s="87"/>
    </row>
    <row r="16" spans="2:8">
      <c r="B16" s="113" t="s">
        <v>188</v>
      </c>
      <c r="C16" s="96" t="s">
        <v>12</v>
      </c>
      <c r="D16" s="236"/>
      <c r="E16" s="88"/>
    </row>
    <row r="17" spans="2:7">
      <c r="B17" s="10" t="s">
        <v>13</v>
      </c>
      <c r="C17" s="12" t="s">
        <v>65</v>
      </c>
      <c r="D17" s="264"/>
      <c r="E17" s="98"/>
    </row>
    <row r="18" spans="2:7">
      <c r="B18" s="112" t="s">
        <v>4</v>
      </c>
      <c r="C18" s="6" t="s">
        <v>11</v>
      </c>
      <c r="D18" s="235"/>
      <c r="E18" s="88"/>
    </row>
    <row r="19" spans="2:7" ht="15" customHeight="1">
      <c r="B19" s="112" t="s">
        <v>6</v>
      </c>
      <c r="C19" s="70" t="s">
        <v>189</v>
      </c>
      <c r="D19" s="235"/>
      <c r="E19" s="87"/>
    </row>
    <row r="20" spans="2:7" ht="13.5" thickBot="1">
      <c r="B20" s="114" t="s">
        <v>8</v>
      </c>
      <c r="C20" s="71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219107</v>
      </c>
      <c r="E21" s="154">
        <f>E11</f>
        <v>0</v>
      </c>
      <c r="F21" s="79"/>
      <c r="G21" s="69"/>
    </row>
    <row r="22" spans="2:7">
      <c r="B22" s="3"/>
      <c r="C22" s="7"/>
      <c r="D22" s="8"/>
      <c r="E22" s="8"/>
    </row>
    <row r="23" spans="2:7" ht="13.5">
      <c r="B23" s="313" t="s">
        <v>185</v>
      </c>
      <c r="C23" s="321"/>
      <c r="D23" s="321"/>
      <c r="E23" s="321"/>
    </row>
    <row r="24" spans="2:7" ht="15.75" customHeight="1" thickBot="1">
      <c r="B24" s="312" t="s">
        <v>186</v>
      </c>
      <c r="C24" s="322"/>
      <c r="D24" s="322"/>
      <c r="E24" s="322"/>
    </row>
    <row r="25" spans="2:7" ht="13.5" thickBot="1">
      <c r="B25" s="93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480490.65</v>
      </c>
      <c r="E26" s="274">
        <f>D21</f>
        <v>219107</v>
      </c>
    </row>
    <row r="27" spans="2:7">
      <c r="B27" s="10" t="s">
        <v>17</v>
      </c>
      <c r="C27" s="11" t="s">
        <v>192</v>
      </c>
      <c r="D27" s="207">
        <v>-74318.880000000005</v>
      </c>
      <c r="E27" s="243">
        <f>E28-E32</f>
        <v>-221644.41999999998</v>
      </c>
      <c r="F27" s="73"/>
    </row>
    <row r="28" spans="2:7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7">
      <c r="B29" s="110" t="s">
        <v>4</v>
      </c>
      <c r="C29" s="6" t="s">
        <v>20</v>
      </c>
      <c r="D29" s="208"/>
      <c r="E29" s="246"/>
      <c r="F29" s="73"/>
    </row>
    <row r="30" spans="2:7">
      <c r="B30" s="110" t="s">
        <v>6</v>
      </c>
      <c r="C30" s="6" t="s">
        <v>21</v>
      </c>
      <c r="D30" s="208"/>
      <c r="E30" s="246"/>
      <c r="F30" s="73"/>
    </row>
    <row r="31" spans="2:7">
      <c r="B31" s="110" t="s">
        <v>8</v>
      </c>
      <c r="C31" s="6" t="s">
        <v>22</v>
      </c>
      <c r="D31" s="208"/>
      <c r="E31" s="246"/>
      <c r="F31" s="73"/>
    </row>
    <row r="32" spans="2:7">
      <c r="B32" s="97" t="s">
        <v>23</v>
      </c>
      <c r="C32" s="12" t="s">
        <v>24</v>
      </c>
      <c r="D32" s="207">
        <v>74318.880000000005</v>
      </c>
      <c r="E32" s="244">
        <f>SUM(E33:E39)</f>
        <v>221644.41999999998</v>
      </c>
      <c r="F32" s="73"/>
    </row>
    <row r="33" spans="2:6">
      <c r="B33" s="110" t="s">
        <v>4</v>
      </c>
      <c r="C33" s="6" t="s">
        <v>25</v>
      </c>
      <c r="D33" s="208"/>
      <c r="E33" s="246"/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/>
      <c r="E35" s="246"/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3797.66</v>
      </c>
      <c r="E37" s="246">
        <v>338.84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70521.22</v>
      </c>
      <c r="E39" s="248">
        <v>221305.58</v>
      </c>
      <c r="F39" s="73"/>
    </row>
    <row r="40" spans="2:6" ht="13.5" thickBot="1">
      <c r="B40" s="103" t="s">
        <v>35</v>
      </c>
      <c r="C40" s="104" t="s">
        <v>36</v>
      </c>
      <c r="D40" s="210">
        <v>-43991.88</v>
      </c>
      <c r="E40" s="275">
        <v>2537.42</v>
      </c>
    </row>
    <row r="41" spans="2:6" ht="13.5" thickBot="1">
      <c r="B41" s="105" t="s">
        <v>37</v>
      </c>
      <c r="C41" s="106" t="s">
        <v>38</v>
      </c>
      <c r="D41" s="211">
        <v>362179.89</v>
      </c>
      <c r="E41" s="154" t="s">
        <v>212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4594.4793</v>
      </c>
      <c r="E47" s="75">
        <v>2168.7321000000002</v>
      </c>
    </row>
    <row r="48" spans="2:6">
      <c r="B48" s="129" t="s">
        <v>6</v>
      </c>
      <c r="C48" s="23" t="s">
        <v>41</v>
      </c>
      <c r="D48" s="213">
        <v>3836.6514000000002</v>
      </c>
      <c r="E48" s="155"/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104.58</v>
      </c>
      <c r="E50" s="77">
        <v>101.03</v>
      </c>
    </row>
    <row r="51" spans="2:5">
      <c r="B51" s="108" t="s">
        <v>6</v>
      </c>
      <c r="C51" s="16" t="s">
        <v>195</v>
      </c>
      <c r="D51" s="215">
        <v>92.99</v>
      </c>
      <c r="E51" s="77">
        <v>95.34</v>
      </c>
    </row>
    <row r="52" spans="2:5">
      <c r="B52" s="108" t="s">
        <v>8</v>
      </c>
      <c r="C52" s="16" t="s">
        <v>196</v>
      </c>
      <c r="D52" s="215">
        <v>105.92</v>
      </c>
      <c r="E52" s="77">
        <v>103.7</v>
      </c>
    </row>
    <row r="53" spans="2:5" ht="12.75" customHeight="1" thickBot="1">
      <c r="B53" s="109" t="s">
        <v>9</v>
      </c>
      <c r="C53" s="18" t="s">
        <v>41</v>
      </c>
      <c r="D53" s="216">
        <v>94.4</v>
      </c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0</v>
      </c>
      <c r="E64" s="83">
        <f>E58</f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239</v>
      </c>
      <c r="C6" s="311"/>
      <c r="D6" s="311"/>
      <c r="E6" s="311"/>
    </row>
    <row r="7" spans="2:7" ht="14.25">
      <c r="B7" s="156"/>
      <c r="C7" s="156"/>
      <c r="D7" s="156"/>
      <c r="E7" s="156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7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67">
        <v>46995.21</v>
      </c>
      <c r="E11" s="9">
        <f>E12</f>
        <v>42388.7</v>
      </c>
    </row>
    <row r="12" spans="2:7">
      <c r="B12" s="112" t="s">
        <v>4</v>
      </c>
      <c r="C12" s="6" t="s">
        <v>5</v>
      </c>
      <c r="D12" s="268">
        <v>46995.21</v>
      </c>
      <c r="E12" s="87">
        <v>42388.7</v>
      </c>
    </row>
    <row r="13" spans="2:7">
      <c r="B13" s="112" t="s">
        <v>6</v>
      </c>
      <c r="C13" s="70" t="s">
        <v>7</v>
      </c>
      <c r="D13" s="269"/>
      <c r="E13" s="87"/>
    </row>
    <row r="14" spans="2:7">
      <c r="B14" s="112" t="s">
        <v>8</v>
      </c>
      <c r="C14" s="70" t="s">
        <v>10</v>
      </c>
      <c r="D14" s="269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46995.21</v>
      </c>
      <c r="E21" s="154">
        <f>E11</f>
        <v>42388.7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57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37539.24</v>
      </c>
      <c r="E26" s="274">
        <f>D21</f>
        <v>46995.21</v>
      </c>
    </row>
    <row r="27" spans="2:6">
      <c r="B27" s="10" t="s">
        <v>17</v>
      </c>
      <c r="C27" s="11" t="s">
        <v>192</v>
      </c>
      <c r="D27" s="207">
        <v>-484.62</v>
      </c>
      <c r="E27" s="243">
        <f>E28-E32</f>
        <v>-433.82000000000005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484.62</v>
      </c>
      <c r="E32" s="244">
        <f>SUM(E33:E39)</f>
        <v>433.82000000000005</v>
      </c>
      <c r="F32" s="73"/>
    </row>
    <row r="33" spans="2:6">
      <c r="B33" s="110" t="s">
        <v>4</v>
      </c>
      <c r="C33" s="6" t="s">
        <v>25</v>
      </c>
      <c r="D33" s="208"/>
      <c r="E33" s="246"/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41.89</v>
      </c>
      <c r="E35" s="246">
        <v>32.1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442.73</v>
      </c>
      <c r="E37" s="246">
        <v>401.72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6680.9</v>
      </c>
      <c r="E40" s="275">
        <v>-4172.6899999999996</v>
      </c>
    </row>
    <row r="41" spans="2:6" ht="13.5" thickBot="1">
      <c r="B41" s="105" t="s">
        <v>37</v>
      </c>
      <c r="C41" s="106" t="s">
        <v>38</v>
      </c>
      <c r="D41" s="211">
        <v>43735.519999999997</v>
      </c>
      <c r="E41" s="154">
        <f>E26+E27+E40</f>
        <v>42388.7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7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414.75240000000002</v>
      </c>
      <c r="E47" s="75">
        <v>407.37869999999998</v>
      </c>
    </row>
    <row r="48" spans="2:6">
      <c r="B48" s="129" t="s">
        <v>6</v>
      </c>
      <c r="C48" s="23" t="s">
        <v>41</v>
      </c>
      <c r="D48" s="213">
        <v>409.89240000000001</v>
      </c>
      <c r="E48" s="155">
        <v>403.6635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90.51</v>
      </c>
      <c r="E50" s="77">
        <v>115.36</v>
      </c>
    </row>
    <row r="51" spans="2:5">
      <c r="B51" s="108" t="s">
        <v>6</v>
      </c>
      <c r="C51" s="16" t="s">
        <v>195</v>
      </c>
      <c r="D51" s="215">
        <v>90.51</v>
      </c>
      <c r="E51" s="77">
        <v>102.77</v>
      </c>
    </row>
    <row r="52" spans="2:5">
      <c r="B52" s="108" t="s">
        <v>8</v>
      </c>
      <c r="C52" s="16" t="s">
        <v>196</v>
      </c>
      <c r="D52" s="215">
        <v>107.93</v>
      </c>
      <c r="E52" s="77">
        <v>125.68</v>
      </c>
    </row>
    <row r="53" spans="2:5" ht="13.5" thickBot="1">
      <c r="B53" s="109" t="s">
        <v>9</v>
      </c>
      <c r="C53" s="18" t="s">
        <v>41</v>
      </c>
      <c r="D53" s="216">
        <v>106.7</v>
      </c>
      <c r="E53" s="281">
        <v>105.01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42388.7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42388.7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42388.7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42388.7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238</v>
      </c>
      <c r="C6" s="311"/>
      <c r="D6" s="311"/>
      <c r="E6" s="311"/>
    </row>
    <row r="7" spans="2:7" ht="14.25">
      <c r="B7" s="156"/>
      <c r="C7" s="156"/>
      <c r="D7" s="156"/>
      <c r="E7" s="156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7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124639.38</v>
      </c>
      <c r="E11" s="9">
        <f>E12</f>
        <v>193515.11000000002</v>
      </c>
      <c r="F11" s="179"/>
    </row>
    <row r="12" spans="2:7">
      <c r="B12" s="180" t="s">
        <v>4</v>
      </c>
      <c r="C12" s="181" t="s">
        <v>5</v>
      </c>
      <c r="D12" s="235">
        <v>124639.38</v>
      </c>
      <c r="E12" s="87">
        <f>193698.91-183.8</f>
        <v>193515.11000000002</v>
      </c>
      <c r="F12" s="179"/>
    </row>
    <row r="13" spans="2:7">
      <c r="B13" s="180" t="s">
        <v>6</v>
      </c>
      <c r="C13" s="182" t="s">
        <v>7</v>
      </c>
      <c r="D13" s="235"/>
      <c r="E13" s="87"/>
      <c r="F13" s="179"/>
    </row>
    <row r="14" spans="2:7">
      <c r="B14" s="180" t="s">
        <v>8</v>
      </c>
      <c r="C14" s="182" t="s">
        <v>10</v>
      </c>
      <c r="D14" s="235"/>
      <c r="E14" s="87"/>
      <c r="F14" s="179"/>
    </row>
    <row r="15" spans="2:7">
      <c r="B15" s="180" t="s">
        <v>187</v>
      </c>
      <c r="C15" s="182" t="s">
        <v>11</v>
      </c>
      <c r="D15" s="235"/>
      <c r="E15" s="87"/>
      <c r="F15" s="179"/>
    </row>
    <row r="16" spans="2:7">
      <c r="B16" s="183" t="s">
        <v>188</v>
      </c>
      <c r="C16" s="184" t="s">
        <v>12</v>
      </c>
      <c r="D16" s="236"/>
      <c r="E16" s="88"/>
      <c r="F16" s="179"/>
    </row>
    <row r="17" spans="2:6">
      <c r="B17" s="10" t="s">
        <v>13</v>
      </c>
      <c r="C17" s="12" t="s">
        <v>65</v>
      </c>
      <c r="D17" s="264"/>
      <c r="E17" s="98"/>
      <c r="F17" s="179"/>
    </row>
    <row r="18" spans="2:6">
      <c r="B18" s="180" t="s">
        <v>4</v>
      </c>
      <c r="C18" s="181" t="s">
        <v>11</v>
      </c>
      <c r="D18" s="235"/>
      <c r="E18" s="88"/>
      <c r="F18" s="179"/>
    </row>
    <row r="19" spans="2:6" ht="15" customHeight="1">
      <c r="B19" s="180" t="s">
        <v>6</v>
      </c>
      <c r="C19" s="182" t="s">
        <v>189</v>
      </c>
      <c r="D19" s="235"/>
      <c r="E19" s="87"/>
      <c r="F19" s="179"/>
    </row>
    <row r="20" spans="2:6" ht="13.5" thickBot="1">
      <c r="B20" s="185" t="s">
        <v>8</v>
      </c>
      <c r="C20" s="186" t="s">
        <v>14</v>
      </c>
      <c r="D20" s="238"/>
      <c r="E20" s="89"/>
      <c r="F20" s="179"/>
    </row>
    <row r="21" spans="2:6" ht="13.5" thickBot="1">
      <c r="B21" s="319" t="s">
        <v>191</v>
      </c>
      <c r="C21" s="320"/>
      <c r="D21" s="239">
        <v>124639.38</v>
      </c>
      <c r="E21" s="154">
        <f>E11-E17</f>
        <v>193515.11000000002</v>
      </c>
      <c r="F21" s="158"/>
    </row>
    <row r="22" spans="2:6">
      <c r="B22" s="3"/>
      <c r="C22" s="7"/>
      <c r="D22" s="8"/>
      <c r="E22" s="8"/>
      <c r="F22" s="179"/>
    </row>
    <row r="23" spans="2:6" ht="13.5">
      <c r="B23" s="313" t="s">
        <v>185</v>
      </c>
      <c r="C23" s="325"/>
      <c r="D23" s="325"/>
      <c r="E23" s="325"/>
      <c r="F23" s="179"/>
    </row>
    <row r="24" spans="2:6" ht="15.75" customHeight="1" thickBot="1">
      <c r="B24" s="312" t="s">
        <v>186</v>
      </c>
      <c r="C24" s="326"/>
      <c r="D24" s="326"/>
      <c r="E24" s="326"/>
      <c r="F24" s="179"/>
    </row>
    <row r="25" spans="2:6" ht="13.5" thickBot="1">
      <c r="B25" s="177"/>
      <c r="C25" s="187" t="s">
        <v>2</v>
      </c>
      <c r="D25" s="72" t="s">
        <v>233</v>
      </c>
      <c r="E25" s="30" t="s">
        <v>232</v>
      </c>
      <c r="F25" s="179"/>
    </row>
    <row r="26" spans="2:6">
      <c r="B26" s="101" t="s">
        <v>15</v>
      </c>
      <c r="C26" s="102" t="s">
        <v>16</v>
      </c>
      <c r="D26" s="206">
        <v>14479.4</v>
      </c>
      <c r="E26" s="274">
        <f>D21</f>
        <v>124639.38</v>
      </c>
      <c r="F26" s="179"/>
    </row>
    <row r="27" spans="2:6">
      <c r="B27" s="10" t="s">
        <v>17</v>
      </c>
      <c r="C27" s="11" t="s">
        <v>192</v>
      </c>
      <c r="D27" s="207">
        <v>75886.599999999991</v>
      </c>
      <c r="E27" s="243">
        <f>E28-E32</f>
        <v>67656.049999999988</v>
      </c>
      <c r="F27" s="158"/>
    </row>
    <row r="28" spans="2:6">
      <c r="B28" s="10" t="s">
        <v>18</v>
      </c>
      <c r="C28" s="11" t="s">
        <v>19</v>
      </c>
      <c r="D28" s="207">
        <v>80980.739999999991</v>
      </c>
      <c r="E28" s="244">
        <f>SUM(E29:E31)</f>
        <v>95298.409999999989</v>
      </c>
      <c r="F28" s="158"/>
    </row>
    <row r="29" spans="2:6">
      <c r="B29" s="188" t="s">
        <v>4</v>
      </c>
      <c r="C29" s="181" t="s">
        <v>20</v>
      </c>
      <c r="D29" s="208">
        <v>70678.009999999995</v>
      </c>
      <c r="E29" s="246">
        <v>95197.04</v>
      </c>
      <c r="F29" s="158"/>
    </row>
    <row r="30" spans="2:6">
      <c r="B30" s="188" t="s">
        <v>6</v>
      </c>
      <c r="C30" s="181" t="s">
        <v>21</v>
      </c>
      <c r="D30" s="208"/>
      <c r="E30" s="246"/>
      <c r="F30" s="158"/>
    </row>
    <row r="31" spans="2:6">
      <c r="B31" s="188" t="s">
        <v>8</v>
      </c>
      <c r="C31" s="181" t="s">
        <v>22</v>
      </c>
      <c r="D31" s="208">
        <v>10302.73</v>
      </c>
      <c r="E31" s="246">
        <v>101.37</v>
      </c>
      <c r="F31" s="158"/>
    </row>
    <row r="32" spans="2:6">
      <c r="B32" s="97" t="s">
        <v>23</v>
      </c>
      <c r="C32" s="12" t="s">
        <v>24</v>
      </c>
      <c r="D32" s="207">
        <v>5094.1400000000003</v>
      </c>
      <c r="E32" s="244">
        <f>SUM(E33:E39)</f>
        <v>27642.36</v>
      </c>
      <c r="F32" s="158"/>
    </row>
    <row r="33" spans="2:6">
      <c r="B33" s="188" t="s">
        <v>4</v>
      </c>
      <c r="C33" s="181" t="s">
        <v>25</v>
      </c>
      <c r="D33" s="208">
        <v>796.63</v>
      </c>
      <c r="E33" s="246">
        <f>22032.01+0.46</f>
        <v>22032.469999999998</v>
      </c>
      <c r="F33" s="158"/>
    </row>
    <row r="34" spans="2:6">
      <c r="B34" s="188" t="s">
        <v>6</v>
      </c>
      <c r="C34" s="181" t="s">
        <v>26</v>
      </c>
      <c r="D34" s="208"/>
      <c r="E34" s="246"/>
      <c r="F34" s="158"/>
    </row>
    <row r="35" spans="2:6">
      <c r="B35" s="188" t="s">
        <v>8</v>
      </c>
      <c r="C35" s="181" t="s">
        <v>27</v>
      </c>
      <c r="D35" s="208">
        <v>2557.86</v>
      </c>
      <c r="E35" s="246">
        <v>5032.8100000000004</v>
      </c>
      <c r="F35" s="158"/>
    </row>
    <row r="36" spans="2:6">
      <c r="B36" s="188" t="s">
        <v>9</v>
      </c>
      <c r="C36" s="181" t="s">
        <v>28</v>
      </c>
      <c r="D36" s="208"/>
      <c r="E36" s="246"/>
      <c r="F36" s="158"/>
    </row>
    <row r="37" spans="2:6" ht="25.5">
      <c r="B37" s="188" t="s">
        <v>29</v>
      </c>
      <c r="C37" s="181" t="s">
        <v>30</v>
      </c>
      <c r="D37" s="208">
        <v>96.18</v>
      </c>
      <c r="E37" s="246">
        <v>577.08000000000004</v>
      </c>
      <c r="F37" s="158"/>
    </row>
    <row r="38" spans="2:6">
      <c r="B38" s="188" t="s">
        <v>31</v>
      </c>
      <c r="C38" s="181" t="s">
        <v>32</v>
      </c>
      <c r="D38" s="208"/>
      <c r="E38" s="246"/>
      <c r="F38" s="158"/>
    </row>
    <row r="39" spans="2:6">
      <c r="B39" s="189" t="s">
        <v>33</v>
      </c>
      <c r="C39" s="190" t="s">
        <v>34</v>
      </c>
      <c r="D39" s="209">
        <v>1643.47</v>
      </c>
      <c r="E39" s="248"/>
      <c r="F39" s="158"/>
    </row>
    <row r="40" spans="2:6" ht="13.5" thickBot="1">
      <c r="B40" s="103" t="s">
        <v>35</v>
      </c>
      <c r="C40" s="104" t="s">
        <v>36</v>
      </c>
      <c r="D40" s="210">
        <v>-1153.76</v>
      </c>
      <c r="E40" s="275">
        <v>1219.68</v>
      </c>
      <c r="F40" s="179"/>
    </row>
    <row r="41" spans="2:6" ht="13.5" thickBot="1">
      <c r="B41" s="105" t="s">
        <v>37</v>
      </c>
      <c r="C41" s="106" t="s">
        <v>38</v>
      </c>
      <c r="D41" s="211">
        <v>89212.239999999991</v>
      </c>
      <c r="E41" s="154">
        <f>E26+E27+E40</f>
        <v>193515.11</v>
      </c>
      <c r="F41" s="158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7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129.4769</v>
      </c>
      <c r="E47" s="75">
        <v>1039.2677000000001</v>
      </c>
    </row>
    <row r="48" spans="2:6">
      <c r="B48" s="129" t="s">
        <v>6</v>
      </c>
      <c r="C48" s="23" t="s">
        <v>41</v>
      </c>
      <c r="D48" s="213">
        <v>791.52018454440599</v>
      </c>
      <c r="E48" s="155">
        <v>1617.61356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111.83</v>
      </c>
      <c r="E50" s="77">
        <v>119.93</v>
      </c>
    </row>
    <row r="51" spans="2:5">
      <c r="B51" s="108" t="s">
        <v>6</v>
      </c>
      <c r="C51" s="16" t="s">
        <v>195</v>
      </c>
      <c r="D51" s="215">
        <v>111.49</v>
      </c>
      <c r="E51" s="77">
        <v>112.47</v>
      </c>
    </row>
    <row r="52" spans="2:5">
      <c r="B52" s="108" t="s">
        <v>8</v>
      </c>
      <c r="C52" s="16" t="s">
        <v>196</v>
      </c>
      <c r="D52" s="215">
        <v>116.81</v>
      </c>
      <c r="E52" s="77">
        <v>124.78</v>
      </c>
    </row>
    <row r="53" spans="2:5" ht="13.5" thickBot="1">
      <c r="B53" s="109" t="s">
        <v>9</v>
      </c>
      <c r="C53" s="18" t="s">
        <v>41</v>
      </c>
      <c r="D53" s="216">
        <v>112.71</v>
      </c>
      <c r="E53" s="281">
        <v>119.63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193515.11000000002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193515.11000000002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193515.11000000002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193515.11000000002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14.25">
      <c r="B5" s="310" t="s">
        <v>1</v>
      </c>
      <c r="C5" s="310"/>
      <c r="D5" s="310"/>
      <c r="E5" s="310"/>
    </row>
    <row r="6" spans="2:5" ht="14.25">
      <c r="B6" s="311" t="s">
        <v>237</v>
      </c>
      <c r="C6" s="311"/>
      <c r="D6" s="311"/>
      <c r="E6" s="311"/>
    </row>
    <row r="7" spans="2:5" ht="14.25">
      <c r="B7" s="171"/>
      <c r="C7" s="171"/>
      <c r="D7" s="171"/>
      <c r="E7" s="17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7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86900.800000000003</v>
      </c>
      <c r="E11" s="9">
        <f>E12</f>
        <v>96552.03</v>
      </c>
    </row>
    <row r="12" spans="2:5">
      <c r="B12" s="112" t="s">
        <v>4</v>
      </c>
      <c r="C12" s="6" t="s">
        <v>5</v>
      </c>
      <c r="D12" s="235">
        <v>86900.800000000003</v>
      </c>
      <c r="E12" s="87">
        <v>96552.03</v>
      </c>
    </row>
    <row r="13" spans="2:5">
      <c r="B13" s="112" t="s">
        <v>6</v>
      </c>
      <c r="C13" s="70" t="s">
        <v>7</v>
      </c>
      <c r="D13" s="235"/>
      <c r="E13" s="87"/>
    </row>
    <row r="14" spans="2:5">
      <c r="B14" s="112" t="s">
        <v>8</v>
      </c>
      <c r="C14" s="70" t="s">
        <v>10</v>
      </c>
      <c r="D14" s="235"/>
      <c r="E14" s="87"/>
    </row>
    <row r="15" spans="2:5">
      <c r="B15" s="112" t="s">
        <v>187</v>
      </c>
      <c r="C15" s="70" t="s">
        <v>11</v>
      </c>
      <c r="D15" s="235"/>
      <c r="E15" s="87"/>
    </row>
    <row r="16" spans="2:5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86900.800000000003</v>
      </c>
      <c r="E21" s="154">
        <f>E11</f>
        <v>96552.03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72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36502.22</v>
      </c>
      <c r="E26" s="274">
        <f>D21</f>
        <v>86900.800000000003</v>
      </c>
    </row>
    <row r="27" spans="2:6">
      <c r="B27" s="10" t="s">
        <v>17</v>
      </c>
      <c r="C27" s="11" t="s">
        <v>192</v>
      </c>
      <c r="D27" s="207">
        <v>14973.300000000001</v>
      </c>
      <c r="E27" s="243">
        <f>E28-E32</f>
        <v>10029.959999999999</v>
      </c>
      <c r="F27" s="73"/>
    </row>
    <row r="28" spans="2:6">
      <c r="B28" s="10" t="s">
        <v>18</v>
      </c>
      <c r="C28" s="11" t="s">
        <v>19</v>
      </c>
      <c r="D28" s="207">
        <v>16567.22</v>
      </c>
      <c r="E28" s="244">
        <f>SUM(E29:E31)</f>
        <v>13272.88</v>
      </c>
      <c r="F28" s="73"/>
    </row>
    <row r="29" spans="2:6">
      <c r="B29" s="110" t="s">
        <v>4</v>
      </c>
      <c r="C29" s="6" t="s">
        <v>20</v>
      </c>
      <c r="D29" s="208">
        <v>14984.51</v>
      </c>
      <c r="E29" s="246">
        <v>13126.5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1582.71</v>
      </c>
      <c r="E31" s="246">
        <v>146.38</v>
      </c>
      <c r="F31" s="73"/>
    </row>
    <row r="32" spans="2:6">
      <c r="B32" s="97" t="s">
        <v>23</v>
      </c>
      <c r="C32" s="12" t="s">
        <v>24</v>
      </c>
      <c r="D32" s="207">
        <v>1593.9199999999996</v>
      </c>
      <c r="E32" s="244">
        <f>SUM(E33:E39)</f>
        <v>3242.9199999999996</v>
      </c>
      <c r="F32" s="73"/>
    </row>
    <row r="33" spans="2:6">
      <c r="B33" s="110" t="s">
        <v>4</v>
      </c>
      <c r="C33" s="6" t="s">
        <v>25</v>
      </c>
      <c r="D33" s="208">
        <v>407.14</v>
      </c>
      <c r="E33" s="246">
        <v>1292.6500000000001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911.56</v>
      </c>
      <c r="E35" s="246">
        <v>1656.09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149.38999999999999</v>
      </c>
      <c r="E37" s="246">
        <v>294.18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125.83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220.21</v>
      </c>
      <c r="E40" s="275">
        <v>-378.73</v>
      </c>
    </row>
    <row r="41" spans="2:6" ht="13.5" thickBot="1">
      <c r="B41" s="105" t="s">
        <v>37</v>
      </c>
      <c r="C41" s="106" t="s">
        <v>38</v>
      </c>
      <c r="D41" s="211">
        <v>51695.73</v>
      </c>
      <c r="E41" s="154">
        <f>E26+E27+E40</f>
        <v>96552.030000000013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7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354.35610000000003</v>
      </c>
      <c r="E47" s="75">
        <v>817.81290000000001</v>
      </c>
    </row>
    <row r="48" spans="2:6">
      <c r="B48" s="129" t="s">
        <v>6</v>
      </c>
      <c r="C48" s="23" t="s">
        <v>41</v>
      </c>
      <c r="D48" s="213">
        <v>500.20060000000001</v>
      </c>
      <c r="E48" s="155">
        <v>912.67629999999997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103.01</v>
      </c>
      <c r="E50" s="77">
        <v>106.26</v>
      </c>
    </row>
    <row r="51" spans="2:5">
      <c r="B51" s="108" t="s">
        <v>6</v>
      </c>
      <c r="C51" s="16" t="s">
        <v>195</v>
      </c>
      <c r="D51" s="215">
        <v>101.97</v>
      </c>
      <c r="E51" s="77">
        <v>103.97</v>
      </c>
    </row>
    <row r="52" spans="2:5">
      <c r="B52" s="108" t="s">
        <v>8</v>
      </c>
      <c r="C52" s="16" t="s">
        <v>196</v>
      </c>
      <c r="D52" s="215">
        <v>104.89</v>
      </c>
      <c r="E52" s="77">
        <v>107.7</v>
      </c>
    </row>
    <row r="53" spans="2:5" ht="13.5" thickBot="1">
      <c r="B53" s="109" t="s">
        <v>9</v>
      </c>
      <c r="C53" s="18" t="s">
        <v>41</v>
      </c>
      <c r="D53" s="216">
        <v>103.35</v>
      </c>
      <c r="E53" s="281">
        <v>105.79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96552.03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96552.03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96552.03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96552.03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236</v>
      </c>
      <c r="C6" s="311"/>
      <c r="D6" s="311"/>
      <c r="E6" s="311"/>
    </row>
    <row r="7" spans="2:7" ht="14.25">
      <c r="B7" s="171"/>
      <c r="C7" s="171"/>
      <c r="D7" s="171"/>
      <c r="E7" s="171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72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293618.39</v>
      </c>
      <c r="E11" s="9">
        <f>E12</f>
        <v>285772.94</v>
      </c>
    </row>
    <row r="12" spans="2:7">
      <c r="B12" s="112" t="s">
        <v>4</v>
      </c>
      <c r="C12" s="6" t="s">
        <v>5</v>
      </c>
      <c r="D12" s="235">
        <v>293618.39</v>
      </c>
      <c r="E12" s="87">
        <v>285772.94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293618.39</v>
      </c>
      <c r="E21" s="154">
        <f>E11</f>
        <v>285772.94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72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8482.2099999999991</v>
      </c>
      <c r="E26" s="274">
        <f>D21</f>
        <v>293618.39</v>
      </c>
    </row>
    <row r="27" spans="2:6">
      <c r="B27" s="10" t="s">
        <v>17</v>
      </c>
      <c r="C27" s="11" t="s">
        <v>192</v>
      </c>
      <c r="D27" s="207">
        <v>149887.69</v>
      </c>
      <c r="E27" s="243">
        <f>E28-E32</f>
        <v>-2879.7399999999907</v>
      </c>
      <c r="F27" s="73"/>
    </row>
    <row r="28" spans="2:6">
      <c r="B28" s="10" t="s">
        <v>18</v>
      </c>
      <c r="C28" s="11" t="s">
        <v>19</v>
      </c>
      <c r="D28" s="207">
        <v>151869.18</v>
      </c>
      <c r="E28" s="244">
        <f>SUM(E29:E31)</f>
        <v>108092.32</v>
      </c>
      <c r="F28" s="73"/>
    </row>
    <row r="29" spans="2:6">
      <c r="B29" s="110" t="s">
        <v>4</v>
      </c>
      <c r="C29" s="6" t="s">
        <v>20</v>
      </c>
      <c r="D29" s="208">
        <v>110696.82</v>
      </c>
      <c r="E29" s="246">
        <v>52557.26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41172.36</v>
      </c>
      <c r="E31" s="246">
        <v>55535.06</v>
      </c>
      <c r="F31" s="73"/>
    </row>
    <row r="32" spans="2:6">
      <c r="B32" s="97" t="s">
        <v>23</v>
      </c>
      <c r="C32" s="12" t="s">
        <v>24</v>
      </c>
      <c r="D32" s="207">
        <v>1981.4900000000002</v>
      </c>
      <c r="E32" s="244">
        <f>SUM(E33:E39)</f>
        <v>110972.06</v>
      </c>
      <c r="F32" s="73"/>
    </row>
    <row r="33" spans="2:6">
      <c r="B33" s="110" t="s">
        <v>4</v>
      </c>
      <c r="C33" s="6" t="s">
        <v>25</v>
      </c>
      <c r="D33" s="208">
        <v>252.7</v>
      </c>
      <c r="E33" s="246">
        <v>66112.09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1514.14</v>
      </c>
      <c r="E35" s="246">
        <v>2964.06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214.65</v>
      </c>
      <c r="E37" s="246">
        <v>979.14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/>
      <c r="E39" s="248">
        <v>40916.769999999997</v>
      </c>
      <c r="F39" s="73"/>
    </row>
    <row r="40" spans="2:6" ht="13.5" thickBot="1">
      <c r="B40" s="103" t="s">
        <v>35</v>
      </c>
      <c r="C40" s="104" t="s">
        <v>36</v>
      </c>
      <c r="D40" s="210">
        <v>-446.88</v>
      </c>
      <c r="E40" s="275">
        <v>-4965.71</v>
      </c>
    </row>
    <row r="41" spans="2:6" ht="13.5" thickBot="1">
      <c r="B41" s="105" t="s">
        <v>37</v>
      </c>
      <c r="C41" s="106" t="s">
        <v>38</v>
      </c>
      <c r="D41" s="211">
        <v>157923.01999999999</v>
      </c>
      <c r="E41" s="154">
        <f>E26+E27+E40</f>
        <v>285772.94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72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79.555499999999995</v>
      </c>
      <c r="E47" s="75">
        <v>2594.4895999999999</v>
      </c>
    </row>
    <row r="48" spans="2:6">
      <c r="B48" s="129" t="s">
        <v>6</v>
      </c>
      <c r="C48" s="23" t="s">
        <v>41</v>
      </c>
      <c r="D48" s="213">
        <v>1463.6053999999999</v>
      </c>
      <c r="E48" s="155">
        <v>2542.2377000000001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106.62</v>
      </c>
      <c r="E50" s="297">
        <v>113.17</v>
      </c>
    </row>
    <row r="51" spans="2:5">
      <c r="B51" s="108" t="s">
        <v>6</v>
      </c>
      <c r="C51" s="16" t="s">
        <v>195</v>
      </c>
      <c r="D51" s="215">
        <v>105.94</v>
      </c>
      <c r="E51" s="285">
        <v>107.83</v>
      </c>
    </row>
    <row r="52" spans="2:5">
      <c r="B52" s="108" t="s">
        <v>8</v>
      </c>
      <c r="C52" s="16" t="s">
        <v>196</v>
      </c>
      <c r="D52" s="215">
        <v>110.33</v>
      </c>
      <c r="E52" s="285">
        <v>116.63</v>
      </c>
    </row>
    <row r="53" spans="2:5" ht="13.5" thickBot="1">
      <c r="B53" s="109" t="s">
        <v>9</v>
      </c>
      <c r="C53" s="18" t="s">
        <v>41</v>
      </c>
      <c r="D53" s="216">
        <v>107.9</v>
      </c>
      <c r="E53" s="281">
        <v>112.41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285772.94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285772.94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285772.94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285772.94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235</v>
      </c>
      <c r="C6" s="311"/>
      <c r="D6" s="311"/>
      <c r="E6" s="311"/>
    </row>
    <row r="7" spans="2:7" ht="14.25">
      <c r="B7" s="156"/>
      <c r="C7" s="156"/>
      <c r="D7" s="156"/>
      <c r="E7" s="156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7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45466.21</v>
      </c>
      <c r="E11" s="9">
        <f>E12</f>
        <v>44131.29</v>
      </c>
    </row>
    <row r="12" spans="2:7">
      <c r="B12" s="112" t="s">
        <v>4</v>
      </c>
      <c r="C12" s="6" t="s">
        <v>5</v>
      </c>
      <c r="D12" s="235">
        <v>45466.21</v>
      </c>
      <c r="E12" s="87">
        <v>44131.29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45466.21</v>
      </c>
      <c r="E21" s="154">
        <f>E11</f>
        <v>44131.29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57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134781.98000000001</v>
      </c>
      <c r="E26" s="274">
        <f>D21</f>
        <v>45466.21</v>
      </c>
    </row>
    <row r="27" spans="2:6">
      <c r="B27" s="10" t="s">
        <v>17</v>
      </c>
      <c r="C27" s="11" t="s">
        <v>192</v>
      </c>
      <c r="D27" s="207">
        <v>-1366.21</v>
      </c>
      <c r="E27" s="243">
        <f>E28-E32</f>
        <v>-497.08000000000004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1366.21</v>
      </c>
      <c r="E32" s="244">
        <f>SUM(E33:E39)</f>
        <v>497.08000000000004</v>
      </c>
      <c r="F32" s="73"/>
    </row>
    <row r="33" spans="2:6">
      <c r="B33" s="110" t="s">
        <v>4</v>
      </c>
      <c r="C33" s="6" t="s">
        <v>25</v>
      </c>
      <c r="D33" s="208"/>
      <c r="E33" s="246"/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210.64</v>
      </c>
      <c r="E35" s="246">
        <v>119.03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1155.57</v>
      </c>
      <c r="E37" s="246">
        <v>378.05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3757.52</v>
      </c>
      <c r="E40" s="275">
        <v>-837.84</v>
      </c>
    </row>
    <row r="41" spans="2:6" ht="13.5" thickBot="1">
      <c r="B41" s="105" t="s">
        <v>37</v>
      </c>
      <c r="C41" s="106" t="s">
        <v>38</v>
      </c>
      <c r="D41" s="211">
        <v>137173.29</v>
      </c>
      <c r="E41" s="154">
        <f>E26+E27+E40</f>
        <v>44131.29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7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1244.7542000000001</v>
      </c>
      <c r="E47" s="75">
        <v>399.91390000000001</v>
      </c>
    </row>
    <row r="48" spans="2:6">
      <c r="B48" s="129" t="s">
        <v>6</v>
      </c>
      <c r="C48" s="23" t="s">
        <v>41</v>
      </c>
      <c r="D48" s="213">
        <v>1232.3536999999999</v>
      </c>
      <c r="E48" s="155">
        <v>395.47710000000001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108.28</v>
      </c>
      <c r="E50" s="77">
        <v>113.69</v>
      </c>
    </row>
    <row r="51" spans="2:5">
      <c r="B51" s="108" t="s">
        <v>6</v>
      </c>
      <c r="C51" s="16" t="s">
        <v>195</v>
      </c>
      <c r="D51" s="215">
        <v>108.28</v>
      </c>
      <c r="E51" s="77">
        <v>107.83</v>
      </c>
    </row>
    <row r="52" spans="2:5">
      <c r="B52" s="108" t="s">
        <v>8</v>
      </c>
      <c r="C52" s="16" t="s">
        <v>196</v>
      </c>
      <c r="D52" s="215">
        <v>112.08</v>
      </c>
      <c r="E52" s="77">
        <v>116.63</v>
      </c>
    </row>
    <row r="53" spans="2:5" ht="13.5" thickBot="1">
      <c r="B53" s="109" t="s">
        <v>9</v>
      </c>
      <c r="C53" s="18" t="s">
        <v>41</v>
      </c>
      <c r="D53" s="216">
        <v>111.31</v>
      </c>
      <c r="E53" s="281">
        <v>111.59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44131.29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44131.29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44131.29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44131.29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234</v>
      </c>
      <c r="C6" s="311"/>
      <c r="D6" s="311"/>
      <c r="E6" s="311"/>
    </row>
    <row r="7" spans="2:7" ht="14.25">
      <c r="B7" s="156"/>
      <c r="C7" s="156"/>
      <c r="D7" s="156"/>
      <c r="E7" s="156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7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70078.289999999994</v>
      </c>
      <c r="E11" s="9">
        <f>E12</f>
        <v>14129.13</v>
      </c>
    </row>
    <row r="12" spans="2:7">
      <c r="B12" s="112" t="s">
        <v>4</v>
      </c>
      <c r="C12" s="6" t="s">
        <v>5</v>
      </c>
      <c r="D12" s="235">
        <v>70078.289999999994</v>
      </c>
      <c r="E12" s="87">
        <v>14129.13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70078.289999999994</v>
      </c>
      <c r="E21" s="154">
        <f>E11</f>
        <v>14129.13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57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78178.210000000006</v>
      </c>
      <c r="E26" s="274">
        <f>D21</f>
        <v>70078.289999999994</v>
      </c>
    </row>
    <row r="27" spans="2:6">
      <c r="B27" s="10" t="s">
        <v>17</v>
      </c>
      <c r="C27" s="11" t="s">
        <v>192</v>
      </c>
      <c r="D27" s="207">
        <v>-20497.72</v>
      </c>
      <c r="E27" s="243">
        <f>E28-E32</f>
        <v>-54759.91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20497.72</v>
      </c>
      <c r="E32" s="244">
        <f>SUM(E33:E39)</f>
        <v>54759.91</v>
      </c>
      <c r="F32" s="73"/>
    </row>
    <row r="33" spans="2:6">
      <c r="B33" s="110" t="s">
        <v>4</v>
      </c>
      <c r="C33" s="6" t="s">
        <v>25</v>
      </c>
      <c r="D33" s="208"/>
      <c r="E33" s="246">
        <v>40021.68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72.06</v>
      </c>
      <c r="E35" s="246">
        <v>74.680000000000007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488.11</v>
      </c>
      <c r="E37" s="246">
        <v>385.08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19937.55</v>
      </c>
      <c r="E39" s="248">
        <v>14278.47</v>
      </c>
      <c r="F39" s="73"/>
    </row>
    <row r="40" spans="2:6" ht="13.5" thickBot="1">
      <c r="B40" s="103" t="s">
        <v>35</v>
      </c>
      <c r="C40" s="104" t="s">
        <v>36</v>
      </c>
      <c r="D40" s="210">
        <v>1554.13</v>
      </c>
      <c r="E40" s="275">
        <v>-1189.25</v>
      </c>
    </row>
    <row r="41" spans="2:6" ht="13.5" thickBot="1">
      <c r="B41" s="105" t="s">
        <v>37</v>
      </c>
      <c r="C41" s="106" t="s">
        <v>38</v>
      </c>
      <c r="D41" s="211">
        <v>59234.62</v>
      </c>
      <c r="E41" s="154">
        <f>E26+E27+E40</f>
        <v>14129.12999999999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7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741.23649999999998</v>
      </c>
      <c r="E47" s="75">
        <v>641.39020000000005</v>
      </c>
    </row>
    <row r="48" spans="2:6">
      <c r="B48" s="129" t="s">
        <v>6</v>
      </c>
      <c r="C48" s="23" t="s">
        <v>41</v>
      </c>
      <c r="D48" s="213">
        <v>549.02790000000005</v>
      </c>
      <c r="E48" s="155">
        <v>132.91749999999999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105.47</v>
      </c>
      <c r="E50" s="77">
        <v>109.26</v>
      </c>
    </row>
    <row r="51" spans="2:5">
      <c r="B51" s="108" t="s">
        <v>6</v>
      </c>
      <c r="C51" s="16" t="s">
        <v>195</v>
      </c>
      <c r="D51" s="215">
        <v>105.46</v>
      </c>
      <c r="E51" s="77">
        <v>106.3</v>
      </c>
    </row>
    <row r="52" spans="2:5">
      <c r="B52" s="108" t="s">
        <v>8</v>
      </c>
      <c r="C52" s="16" t="s">
        <v>196</v>
      </c>
      <c r="D52" s="215">
        <v>108.19</v>
      </c>
      <c r="E52" s="77">
        <v>109.66</v>
      </c>
    </row>
    <row r="53" spans="2:5" ht="13.5" thickBot="1">
      <c r="B53" s="109" t="s">
        <v>9</v>
      </c>
      <c r="C53" s="18" t="s">
        <v>41</v>
      </c>
      <c r="D53" s="216">
        <v>107.89</v>
      </c>
      <c r="E53" s="281">
        <v>106.3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14129.13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14129.13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14129.13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14129.13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92"/>
      <c r="C4" s="92"/>
      <c r="D4" s="92"/>
      <c r="E4" s="92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114</v>
      </c>
      <c r="C6" s="311"/>
      <c r="D6" s="311"/>
      <c r="E6" s="311"/>
    </row>
    <row r="7" spans="2:5" ht="14.25">
      <c r="B7" s="94"/>
      <c r="C7" s="94"/>
      <c r="D7" s="94"/>
      <c r="E7" s="94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9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18753.18</v>
      </c>
      <c r="E11" s="9">
        <f>E12</f>
        <v>13410.52</v>
      </c>
    </row>
    <row r="12" spans="2:5">
      <c r="B12" s="112" t="s">
        <v>4</v>
      </c>
      <c r="C12" s="6" t="s">
        <v>5</v>
      </c>
      <c r="D12" s="235">
        <v>18753.18</v>
      </c>
      <c r="E12" s="87">
        <v>13410.52</v>
      </c>
    </row>
    <row r="13" spans="2:5">
      <c r="B13" s="112" t="s">
        <v>6</v>
      </c>
      <c r="C13" s="70" t="s">
        <v>7</v>
      </c>
      <c r="D13" s="235"/>
      <c r="E13" s="87"/>
    </row>
    <row r="14" spans="2:5">
      <c r="B14" s="112" t="s">
        <v>8</v>
      </c>
      <c r="C14" s="70" t="s">
        <v>10</v>
      </c>
      <c r="D14" s="235"/>
      <c r="E14" s="87"/>
    </row>
    <row r="15" spans="2:5">
      <c r="B15" s="112" t="s">
        <v>187</v>
      </c>
      <c r="C15" s="70" t="s">
        <v>11</v>
      </c>
      <c r="D15" s="235"/>
      <c r="E15" s="87"/>
    </row>
    <row r="16" spans="2:5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18753.18</v>
      </c>
      <c r="E21" s="154">
        <f>E12</f>
        <v>13410.52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23367.21</v>
      </c>
      <c r="E26" s="274">
        <f>D21</f>
        <v>18753.18</v>
      </c>
    </row>
    <row r="27" spans="2:6">
      <c r="B27" s="10" t="s">
        <v>17</v>
      </c>
      <c r="C27" s="11" t="s">
        <v>192</v>
      </c>
      <c r="D27" s="207">
        <v>-5454.4400000000005</v>
      </c>
      <c r="E27" s="243">
        <f>E28-E32</f>
        <v>-5300.9000000000005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5454.4400000000005</v>
      </c>
      <c r="E32" s="244">
        <f>SUM(E33:E39)</f>
        <v>5300.9000000000005</v>
      </c>
      <c r="F32" s="73"/>
    </row>
    <row r="33" spans="2:6">
      <c r="B33" s="110" t="s">
        <v>4</v>
      </c>
      <c r="C33" s="6" t="s">
        <v>25</v>
      </c>
      <c r="D33" s="208">
        <v>5254.51</v>
      </c>
      <c r="E33" s="246">
        <v>5141.63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16.850000000000001</v>
      </c>
      <c r="E35" s="246">
        <v>12.55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183.08</v>
      </c>
      <c r="E37" s="246">
        <v>146.72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946.32</v>
      </c>
      <c r="E40" s="275">
        <v>-41.76</v>
      </c>
    </row>
    <row r="41" spans="2:6" ht="13.5" thickBot="1">
      <c r="B41" s="105" t="s">
        <v>37</v>
      </c>
      <c r="C41" s="106" t="s">
        <v>38</v>
      </c>
      <c r="D41" s="211">
        <v>18859.089999999997</v>
      </c>
      <c r="E41" s="154">
        <f>E26+E27+E40</f>
        <v>13410.519999999999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9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200.57689999999999</v>
      </c>
      <c r="E47" s="155">
        <v>153.12469999999999</v>
      </c>
    </row>
    <row r="48" spans="2:6">
      <c r="B48" s="129" t="s">
        <v>6</v>
      </c>
      <c r="C48" s="23" t="s">
        <v>41</v>
      </c>
      <c r="D48" s="213">
        <v>154.97649999999999</v>
      </c>
      <c r="E48" s="155">
        <v>109.93129999999999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116.5</v>
      </c>
      <c r="E50" s="155">
        <v>122.47</v>
      </c>
    </row>
    <row r="51" spans="2:5">
      <c r="B51" s="108" t="s">
        <v>6</v>
      </c>
      <c r="C51" s="16" t="s">
        <v>195</v>
      </c>
      <c r="D51" s="215">
        <v>116.5</v>
      </c>
      <c r="E51" s="77">
        <v>121.73</v>
      </c>
    </row>
    <row r="52" spans="2:5">
      <c r="B52" s="108" t="s">
        <v>8</v>
      </c>
      <c r="C52" s="16" t="s">
        <v>196</v>
      </c>
      <c r="D52" s="215">
        <v>121.69</v>
      </c>
      <c r="E52" s="77">
        <v>122.78</v>
      </c>
    </row>
    <row r="53" spans="2:5" ht="12.75" customHeight="1" thickBot="1">
      <c r="B53" s="109" t="s">
        <v>9</v>
      </c>
      <c r="C53" s="18" t="s">
        <v>41</v>
      </c>
      <c r="D53" s="216">
        <v>121.69</v>
      </c>
      <c r="E53" s="281">
        <v>121.99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13410.52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13410.52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13410.52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13410.52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206</v>
      </c>
      <c r="C6" s="311"/>
      <c r="D6" s="311"/>
      <c r="E6" s="311"/>
    </row>
    <row r="7" spans="2:7" ht="14.25">
      <c r="B7" s="156"/>
      <c r="C7" s="156"/>
      <c r="D7" s="156"/>
      <c r="E7" s="156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57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19643.47</v>
      </c>
      <c r="E11" s="9">
        <f>E12</f>
        <v>17203.810000000001</v>
      </c>
    </row>
    <row r="12" spans="2:7">
      <c r="B12" s="112" t="s">
        <v>4</v>
      </c>
      <c r="C12" s="6" t="s">
        <v>5</v>
      </c>
      <c r="D12" s="235">
        <v>19643.47</v>
      </c>
      <c r="E12" s="87">
        <v>17203.810000000001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19643.47</v>
      </c>
      <c r="E21" s="154">
        <f>E12</f>
        <v>17203.810000000001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57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5108.1099999999997</v>
      </c>
      <c r="E26" s="274">
        <f>D21</f>
        <v>19643.47</v>
      </c>
    </row>
    <row r="27" spans="2:6">
      <c r="B27" s="10" t="s">
        <v>17</v>
      </c>
      <c r="C27" s="11" t="s">
        <v>192</v>
      </c>
      <c r="D27" s="207">
        <v>19775.489999999998</v>
      </c>
      <c r="E27" s="243">
        <f>E28-E32</f>
        <v>-261.39</v>
      </c>
      <c r="F27" s="73"/>
    </row>
    <row r="28" spans="2:6">
      <c r="B28" s="10" t="s">
        <v>18</v>
      </c>
      <c r="C28" s="11" t="s">
        <v>19</v>
      </c>
      <c r="D28" s="207">
        <v>19878.23</v>
      </c>
      <c r="E28" s="244">
        <f>SUM(E29:E31)</f>
        <v>0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19878.23</v>
      </c>
      <c r="E31" s="246"/>
      <c r="F31" s="73"/>
    </row>
    <row r="32" spans="2:6">
      <c r="B32" s="97" t="s">
        <v>23</v>
      </c>
      <c r="C32" s="12" t="s">
        <v>24</v>
      </c>
      <c r="D32" s="207">
        <v>102.74</v>
      </c>
      <c r="E32" s="244">
        <f>SUM(E33:E39)</f>
        <v>261.39</v>
      </c>
      <c r="F32" s="73"/>
    </row>
    <row r="33" spans="2:6">
      <c r="B33" s="110" t="s">
        <v>4</v>
      </c>
      <c r="C33" s="6" t="s">
        <v>25</v>
      </c>
      <c r="D33" s="208"/>
      <c r="E33" s="246"/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3.85</v>
      </c>
      <c r="E35" s="246">
        <v>18.8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98.89</v>
      </c>
      <c r="E37" s="246">
        <v>242.59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328.89</v>
      </c>
      <c r="E40" s="275">
        <v>-2178.27</v>
      </c>
    </row>
    <row r="41" spans="2:6" ht="13.5" thickBot="1">
      <c r="B41" s="105" t="s">
        <v>37</v>
      </c>
      <c r="C41" s="106" t="s">
        <v>38</v>
      </c>
      <c r="D41" s="211">
        <v>25212.489999999998</v>
      </c>
      <c r="E41" s="154">
        <f>E26+E27+E40</f>
        <v>17203.810000000001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57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36.158499999999997</v>
      </c>
      <c r="E47" s="155">
        <v>136.57419999999999</v>
      </c>
    </row>
    <row r="48" spans="2:6">
      <c r="B48" s="129" t="s">
        <v>6</v>
      </c>
      <c r="C48" s="23" t="s">
        <v>41</v>
      </c>
      <c r="D48" s="213">
        <v>173.55609999999999</v>
      </c>
      <c r="E48" s="155">
        <v>134.7311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141.27000000000001</v>
      </c>
      <c r="E50" s="155">
        <v>143.83000000000001</v>
      </c>
    </row>
    <row r="51" spans="2:5">
      <c r="B51" s="108" t="s">
        <v>6</v>
      </c>
      <c r="C51" s="16" t="s">
        <v>195</v>
      </c>
      <c r="D51" s="215">
        <v>140.28</v>
      </c>
      <c r="E51" s="77">
        <v>127.69</v>
      </c>
    </row>
    <row r="52" spans="2:5">
      <c r="B52" s="108" t="s">
        <v>8</v>
      </c>
      <c r="C52" s="16" t="s">
        <v>196</v>
      </c>
      <c r="D52" s="215">
        <v>146.1</v>
      </c>
      <c r="E52" s="77">
        <v>144.09</v>
      </c>
    </row>
    <row r="53" spans="2:5" ht="13.5" thickBot="1">
      <c r="B53" s="109" t="s">
        <v>9</v>
      </c>
      <c r="C53" s="18" t="s">
        <v>41</v>
      </c>
      <c r="D53" s="216">
        <v>145.27000000000001</v>
      </c>
      <c r="E53" s="281">
        <v>127.69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17203.810000000001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17203.810000000001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17203.810000000001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17203.810000000001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4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90"/>
      <c r="C4" s="90"/>
      <c r="D4" s="90"/>
      <c r="E4" s="90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87</v>
      </c>
      <c r="C6" s="311"/>
      <c r="D6" s="311"/>
      <c r="E6" s="311"/>
    </row>
    <row r="7" spans="2:8" ht="14.25">
      <c r="B7" s="94"/>
      <c r="C7" s="94"/>
      <c r="D7" s="94"/>
      <c r="E7" s="94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91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115562306.42</v>
      </c>
      <c r="E11" s="9">
        <f>E12+E13+E14</f>
        <v>112759969.44</v>
      </c>
    </row>
    <row r="12" spans="2:8">
      <c r="B12" s="112" t="s">
        <v>4</v>
      </c>
      <c r="C12" s="6" t="s">
        <v>5</v>
      </c>
      <c r="D12" s="235">
        <v>115213332.26000001</v>
      </c>
      <c r="E12" s="87">
        <f>114202623.89+340459.51+4.66-2108912.76</f>
        <v>112434175.3</v>
      </c>
    </row>
    <row r="13" spans="2:8">
      <c r="B13" s="112" t="s">
        <v>6</v>
      </c>
      <c r="C13" s="70" t="s">
        <v>7</v>
      </c>
      <c r="D13" s="235"/>
      <c r="E13" s="87">
        <v>10.76</v>
      </c>
    </row>
    <row r="14" spans="2:8">
      <c r="B14" s="112" t="s">
        <v>8</v>
      </c>
      <c r="C14" s="70" t="s">
        <v>10</v>
      </c>
      <c r="D14" s="235">
        <v>348974.16</v>
      </c>
      <c r="E14" s="87">
        <f>E15</f>
        <v>325783.38</v>
      </c>
    </row>
    <row r="15" spans="2:8">
      <c r="B15" s="112" t="s">
        <v>187</v>
      </c>
      <c r="C15" s="70" t="s">
        <v>11</v>
      </c>
      <c r="D15" s="235">
        <v>348974.16</v>
      </c>
      <c r="E15" s="87">
        <v>325783.38</v>
      </c>
    </row>
    <row r="16" spans="2:8">
      <c r="B16" s="113" t="s">
        <v>188</v>
      </c>
      <c r="C16" s="96" t="s">
        <v>12</v>
      </c>
      <c r="D16" s="236"/>
      <c r="E16" s="88"/>
    </row>
    <row r="17" spans="2:7">
      <c r="B17" s="10" t="s">
        <v>13</v>
      </c>
      <c r="C17" s="12" t="s">
        <v>65</v>
      </c>
      <c r="D17" s="264">
        <v>190678.66</v>
      </c>
      <c r="E17" s="98">
        <f>SUM(E18:E19)</f>
        <v>178438.44</v>
      </c>
    </row>
    <row r="18" spans="2:7">
      <c r="B18" s="112" t="s">
        <v>4</v>
      </c>
      <c r="C18" s="6" t="s">
        <v>11</v>
      </c>
      <c r="D18" s="235">
        <v>190678.66</v>
      </c>
      <c r="E18" s="88">
        <v>178438.44</v>
      </c>
    </row>
    <row r="19" spans="2:7" ht="15" customHeight="1">
      <c r="B19" s="112" t="s">
        <v>6</v>
      </c>
      <c r="C19" s="70" t="s">
        <v>189</v>
      </c>
      <c r="D19" s="235"/>
      <c r="E19" s="87"/>
    </row>
    <row r="20" spans="2:7" ht="13.5" thickBot="1">
      <c r="B20" s="114" t="s">
        <v>8</v>
      </c>
      <c r="C20" s="71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115371627.76000001</v>
      </c>
      <c r="E21" s="154">
        <f>E11-E17</f>
        <v>112581531</v>
      </c>
      <c r="F21" s="79"/>
      <c r="G21" s="69"/>
    </row>
    <row r="22" spans="2:7">
      <c r="B22" s="3"/>
      <c r="C22" s="7"/>
      <c r="D22" s="8"/>
      <c r="E22" s="8"/>
    </row>
    <row r="23" spans="2:7" ht="15.75">
      <c r="B23" s="313"/>
      <c r="C23" s="321"/>
      <c r="D23" s="321"/>
      <c r="E23" s="321"/>
    </row>
    <row r="24" spans="2:7" ht="16.5" customHeight="1" thickBot="1">
      <c r="B24" s="312" t="s">
        <v>186</v>
      </c>
      <c r="C24" s="322"/>
      <c r="D24" s="322"/>
      <c r="E24" s="322"/>
    </row>
    <row r="25" spans="2:7" ht="13.5" thickBot="1">
      <c r="B25" s="91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113893270.93000001</v>
      </c>
      <c r="E26" s="274">
        <f>D21</f>
        <v>115371627.76000001</v>
      </c>
    </row>
    <row r="27" spans="2:7">
      <c r="B27" s="10" t="s">
        <v>17</v>
      </c>
      <c r="C27" s="11" t="s">
        <v>192</v>
      </c>
      <c r="D27" s="207">
        <v>-181660.29000000097</v>
      </c>
      <c r="E27" s="243">
        <f>E28-E32</f>
        <v>647787.53999999911</v>
      </c>
      <c r="F27" s="73"/>
    </row>
    <row r="28" spans="2:7">
      <c r="B28" s="10" t="s">
        <v>18</v>
      </c>
      <c r="C28" s="11" t="s">
        <v>19</v>
      </c>
      <c r="D28" s="207">
        <v>9504000.1199999992</v>
      </c>
      <c r="E28" s="244">
        <f>SUM(E29:E31)</f>
        <v>8421772.5399999991</v>
      </c>
      <c r="F28" s="73"/>
    </row>
    <row r="29" spans="2:7">
      <c r="B29" s="110" t="s">
        <v>4</v>
      </c>
      <c r="C29" s="6" t="s">
        <v>20</v>
      </c>
      <c r="D29" s="208">
        <v>9078295.8099999987</v>
      </c>
      <c r="E29" s="246">
        <v>8129568.8899999997</v>
      </c>
      <c r="F29" s="73"/>
    </row>
    <row r="30" spans="2:7">
      <c r="B30" s="110" t="s">
        <v>6</v>
      </c>
      <c r="C30" s="6" t="s">
        <v>21</v>
      </c>
      <c r="D30" s="208"/>
      <c r="E30" s="246"/>
      <c r="F30" s="73"/>
    </row>
    <row r="31" spans="2:7">
      <c r="B31" s="110" t="s">
        <v>8</v>
      </c>
      <c r="C31" s="6" t="s">
        <v>22</v>
      </c>
      <c r="D31" s="208">
        <v>425704.31</v>
      </c>
      <c r="E31" s="246">
        <v>292203.65000000002</v>
      </c>
      <c r="F31" s="73"/>
    </row>
    <row r="32" spans="2:7">
      <c r="B32" s="97" t="s">
        <v>23</v>
      </c>
      <c r="C32" s="12" t="s">
        <v>24</v>
      </c>
      <c r="D32" s="207">
        <v>9685660.4100000001</v>
      </c>
      <c r="E32" s="244">
        <f>SUM(E33:E39)</f>
        <v>7773985</v>
      </c>
      <c r="F32" s="73"/>
    </row>
    <row r="33" spans="2:6">
      <c r="B33" s="110" t="s">
        <v>4</v>
      </c>
      <c r="C33" s="6" t="s">
        <v>25</v>
      </c>
      <c r="D33" s="208">
        <v>7306136.1899999995</v>
      </c>
      <c r="E33" s="246">
        <f>5198310.83+208444.46</f>
        <v>5406755.29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1648118.2200000002</v>
      </c>
      <c r="E35" s="246">
        <v>1523566.74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731406</v>
      </c>
      <c r="E39" s="248">
        <v>843662.97</v>
      </c>
      <c r="F39" s="73"/>
    </row>
    <row r="40" spans="2:6" ht="13.5" thickBot="1">
      <c r="B40" s="103" t="s">
        <v>35</v>
      </c>
      <c r="C40" s="104" t="s">
        <v>36</v>
      </c>
      <c r="D40" s="210">
        <v>3383040.73</v>
      </c>
      <c r="E40" s="275">
        <v>-3437884.3</v>
      </c>
    </row>
    <row r="41" spans="2:6" ht="13.5" thickBot="1">
      <c r="B41" s="105" t="s">
        <v>37</v>
      </c>
      <c r="C41" s="106" t="s">
        <v>38</v>
      </c>
      <c r="D41" s="211">
        <v>117094651.37</v>
      </c>
      <c r="E41" s="154">
        <f>E26+E27+E40</f>
        <v>112581531.00000001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5.7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9829700.2354601733</v>
      </c>
      <c r="E47" s="75">
        <v>9686391.1517999992</v>
      </c>
    </row>
    <row r="48" spans="2:6">
      <c r="B48" s="129" t="s">
        <v>6</v>
      </c>
      <c r="C48" s="23" t="s">
        <v>41</v>
      </c>
      <c r="D48" s="213">
        <v>9819415.6043043118</v>
      </c>
      <c r="E48" s="75">
        <v>9734660.9393399991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11.586647425842701</v>
      </c>
      <c r="E50" s="155">
        <v>11.910692635819199</v>
      </c>
    </row>
    <row r="51" spans="2:5">
      <c r="B51" s="108" t="s">
        <v>6</v>
      </c>
      <c r="C51" s="16" t="s">
        <v>195</v>
      </c>
      <c r="D51" s="280">
        <v>11.586600000000001</v>
      </c>
      <c r="E51" s="304">
        <v>11.4587</v>
      </c>
    </row>
    <row r="52" spans="2:5" ht="12.75" customHeight="1">
      <c r="B52" s="108" t="s">
        <v>8</v>
      </c>
      <c r="C52" s="16" t="s">
        <v>196</v>
      </c>
      <c r="D52" s="280">
        <v>12.059799999999999</v>
      </c>
      <c r="E52" s="304">
        <v>12.333</v>
      </c>
    </row>
    <row r="53" spans="2:5" ht="13.5" thickBot="1">
      <c r="B53" s="109" t="s">
        <v>9</v>
      </c>
      <c r="C53" s="18" t="s">
        <v>41</v>
      </c>
      <c r="D53" s="216">
        <v>11.924808571975699</v>
      </c>
      <c r="E53" s="298">
        <v>11.565018206749301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112434175.3</v>
      </c>
      <c r="E58" s="33">
        <f>D58/E21</f>
        <v>0.99869112012697714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114202623.89-2108912.76</f>
        <v>112093711.13</v>
      </c>
      <c r="E64" s="83">
        <f>D64/E21</f>
        <v>0.99566696361590601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340459.51+4.66</f>
        <v>340464.17</v>
      </c>
      <c r="E69" s="81">
        <f>D69/E21</f>
        <v>3.0241565110710744E-3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10.76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325783.38</v>
      </c>
      <c r="E72" s="125">
        <f>D72/E21</f>
        <v>2.8937551044673571E-3</v>
      </c>
    </row>
    <row r="73" spans="2:5">
      <c r="B73" s="24" t="s">
        <v>62</v>
      </c>
      <c r="C73" s="25" t="s">
        <v>65</v>
      </c>
      <c r="D73" s="26">
        <f>E17</f>
        <v>178438.44</v>
      </c>
      <c r="E73" s="27">
        <f>D73/E21</f>
        <v>1.5849708066236904E-3</v>
      </c>
    </row>
    <row r="74" spans="2:5">
      <c r="B74" s="126" t="s">
        <v>64</v>
      </c>
      <c r="C74" s="127" t="s">
        <v>66</v>
      </c>
      <c r="D74" s="128">
        <f>D58+D71+D72-D73</f>
        <v>112581531</v>
      </c>
      <c r="E74" s="68">
        <f>E58+E72-E73</f>
        <v>0.99999990442482078</v>
      </c>
    </row>
    <row r="75" spans="2:5">
      <c r="B75" s="15" t="s">
        <v>4</v>
      </c>
      <c r="C75" s="16" t="s">
        <v>67</v>
      </c>
      <c r="D75" s="80">
        <f>D74</f>
        <v>112581531</v>
      </c>
      <c r="E75" s="81">
        <f>E74</f>
        <v>0.99999990442482078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115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53370.67</v>
      </c>
      <c r="E11" s="9">
        <f>E12</f>
        <v>50426.35</v>
      </c>
    </row>
    <row r="12" spans="2:7">
      <c r="B12" s="180" t="s">
        <v>4</v>
      </c>
      <c r="C12" s="181" t="s">
        <v>5</v>
      </c>
      <c r="D12" s="235">
        <v>53370.67</v>
      </c>
      <c r="E12" s="87">
        <v>50426.35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53370.67</v>
      </c>
      <c r="E21" s="154">
        <f>E12</f>
        <v>50426.35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55737.33</v>
      </c>
      <c r="E26" s="274">
        <f>D21</f>
        <v>53370.67</v>
      </c>
    </row>
    <row r="27" spans="2:6">
      <c r="B27" s="10" t="s">
        <v>17</v>
      </c>
      <c r="C27" s="11" t="s">
        <v>192</v>
      </c>
      <c r="D27" s="207">
        <v>-9426.42</v>
      </c>
      <c r="E27" s="243">
        <f>E28-E32</f>
        <v>-3055.1699999999996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9426.42</v>
      </c>
      <c r="E32" s="244">
        <f>SUM(E33:E39)</f>
        <v>3055.1699999999996</v>
      </c>
      <c r="F32" s="73"/>
    </row>
    <row r="33" spans="2:6">
      <c r="B33" s="188" t="s">
        <v>4</v>
      </c>
      <c r="C33" s="181" t="s">
        <v>25</v>
      </c>
      <c r="D33" s="208">
        <v>6883.62</v>
      </c>
      <c r="E33" s="246">
        <v>2566.89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19.41</v>
      </c>
      <c r="E35" s="246">
        <v>20.58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478.29</v>
      </c>
      <c r="E37" s="246">
        <v>467.7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2045.1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877.95</v>
      </c>
      <c r="E40" s="275">
        <v>110.85</v>
      </c>
    </row>
    <row r="41" spans="2:6" ht="13.5" thickBot="1">
      <c r="B41" s="105" t="s">
        <v>37</v>
      </c>
      <c r="C41" s="106" t="s">
        <v>38</v>
      </c>
      <c r="D41" s="211">
        <v>47188.86</v>
      </c>
      <c r="E41" s="154">
        <f>E26+E27+E40</f>
        <v>50426.35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438.08319999999998</v>
      </c>
      <c r="E47" s="155">
        <v>406.60270000000003</v>
      </c>
    </row>
    <row r="48" spans="2:6">
      <c r="B48" s="193" t="s">
        <v>6</v>
      </c>
      <c r="C48" s="194" t="s">
        <v>41</v>
      </c>
      <c r="D48" s="213">
        <v>364.28019999999998</v>
      </c>
      <c r="E48" s="155">
        <v>383.41199999999998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127.23</v>
      </c>
      <c r="E50" s="155">
        <v>131.26</v>
      </c>
    </row>
    <row r="51" spans="2:5">
      <c r="B51" s="191" t="s">
        <v>6</v>
      </c>
      <c r="C51" s="192" t="s">
        <v>195</v>
      </c>
      <c r="D51" s="215">
        <v>127.21</v>
      </c>
      <c r="E51" s="77">
        <v>131.26</v>
      </c>
    </row>
    <row r="52" spans="2:5">
      <c r="B52" s="191" t="s">
        <v>8</v>
      </c>
      <c r="C52" s="192" t="s">
        <v>196</v>
      </c>
      <c r="D52" s="215">
        <v>129.54</v>
      </c>
      <c r="E52" s="77">
        <v>132.05000000000001</v>
      </c>
    </row>
    <row r="53" spans="2:5" ht="13.5" customHeight="1" thickBot="1">
      <c r="B53" s="195" t="s">
        <v>9</v>
      </c>
      <c r="C53" s="196" t="s">
        <v>41</v>
      </c>
      <c r="D53" s="216">
        <v>129.54</v>
      </c>
      <c r="E53" s="281">
        <v>131.52000000000001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50426.35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50426.35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50426.35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50426.35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2"/>
      <c r="C4" s="92"/>
      <c r="D4" s="92"/>
      <c r="E4" s="92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164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0</v>
      </c>
      <c r="E11" s="9">
        <f>E12</f>
        <v>0</v>
      </c>
    </row>
    <row r="12" spans="2:7">
      <c r="B12" s="180" t="s">
        <v>4</v>
      </c>
      <c r="C12" s="181" t="s">
        <v>5</v>
      </c>
      <c r="D12" s="235"/>
      <c r="E12" s="87"/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0</v>
      </c>
      <c r="E21" s="154">
        <f>E11</f>
        <v>0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6890.98</v>
      </c>
      <c r="E26" s="274">
        <f>D21</f>
        <v>0</v>
      </c>
    </row>
    <row r="27" spans="2:6">
      <c r="B27" s="10" t="s">
        <v>17</v>
      </c>
      <c r="C27" s="11" t="s">
        <v>192</v>
      </c>
      <c r="D27" s="207">
        <v>-7526.8099999999995</v>
      </c>
      <c r="E27" s="243">
        <f>E28-E32</f>
        <v>0</v>
      </c>
      <c r="F27" s="73"/>
    </row>
    <row r="28" spans="2:6">
      <c r="B28" s="10" t="s">
        <v>18</v>
      </c>
      <c r="C28" s="11" t="s">
        <v>19</v>
      </c>
      <c r="D28" s="207"/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7526.8099999999995</v>
      </c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8.52</v>
      </c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114.17</v>
      </c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7404.12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635.83000000000004</v>
      </c>
      <c r="E40" s="275">
        <f>-E41</f>
        <v>0</v>
      </c>
    </row>
    <row r="41" spans="2:6" ht="13.5" thickBot="1">
      <c r="B41" s="105" t="s">
        <v>37</v>
      </c>
      <c r="C41" s="106" t="s">
        <v>38</v>
      </c>
      <c r="D41" s="211">
        <v>0</v>
      </c>
      <c r="E41" s="154"/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/>
      <c r="E47" s="155"/>
    </row>
    <row r="48" spans="2:6">
      <c r="B48" s="193" t="s">
        <v>6</v>
      </c>
      <c r="C48" s="194" t="s">
        <v>41</v>
      </c>
      <c r="D48" s="213"/>
      <c r="E48" s="155"/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/>
      <c r="E50" s="155"/>
    </row>
    <row r="51" spans="2:5">
      <c r="B51" s="191" t="s">
        <v>6</v>
      </c>
      <c r="C51" s="192" t="s">
        <v>195</v>
      </c>
      <c r="D51" s="215"/>
      <c r="E51" s="77"/>
    </row>
    <row r="52" spans="2:5">
      <c r="B52" s="191" t="s">
        <v>8</v>
      </c>
      <c r="C52" s="192" t="s">
        <v>196</v>
      </c>
      <c r="D52" s="215"/>
      <c r="E52" s="77"/>
    </row>
    <row r="53" spans="2:5" ht="14.25" customHeight="1" thickBot="1">
      <c r="B53" s="195" t="s">
        <v>9</v>
      </c>
      <c r="C53" s="196" t="s">
        <v>41</v>
      </c>
      <c r="D53" s="216"/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0</v>
      </c>
      <c r="E64" s="83"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0"/>
      <c r="C4" s="140"/>
      <c r="D4" s="140"/>
      <c r="E4" s="14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148</v>
      </c>
      <c r="C6" s="311"/>
      <c r="D6" s="311"/>
      <c r="E6" s="311"/>
    </row>
    <row r="7" spans="2:5" ht="14.25">
      <c r="B7" s="139"/>
      <c r="C7" s="139"/>
      <c r="D7" s="139"/>
      <c r="E7" s="139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1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1173362.48</v>
      </c>
      <c r="E11" s="9">
        <f>E12</f>
        <v>576186.48</v>
      </c>
    </row>
    <row r="12" spans="2:5">
      <c r="B12" s="180" t="s">
        <v>4</v>
      </c>
      <c r="C12" s="181" t="s">
        <v>5</v>
      </c>
      <c r="D12" s="235">
        <v>1173362.48</v>
      </c>
      <c r="E12" s="87">
        <v>576186.48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1173362.48</v>
      </c>
      <c r="E21" s="154">
        <f>E11</f>
        <v>576186.48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1786443.04</v>
      </c>
      <c r="E26" s="274">
        <f>D21</f>
        <v>1173362.48</v>
      </c>
    </row>
    <row r="27" spans="2:6">
      <c r="B27" s="10" t="s">
        <v>17</v>
      </c>
      <c r="C27" s="11" t="s">
        <v>192</v>
      </c>
      <c r="D27" s="207">
        <v>-560096.62000000011</v>
      </c>
      <c r="E27" s="243">
        <f>E28-E32</f>
        <v>-580263.03</v>
      </c>
      <c r="F27" s="73"/>
    </row>
    <row r="28" spans="2:6">
      <c r="B28" s="10" t="s">
        <v>18</v>
      </c>
      <c r="C28" s="11" t="s">
        <v>19</v>
      </c>
      <c r="D28" s="207">
        <v>13926.27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13926.27</v>
      </c>
      <c r="E31" s="246"/>
      <c r="F31" s="73"/>
    </row>
    <row r="32" spans="2:6">
      <c r="B32" s="97" t="s">
        <v>23</v>
      </c>
      <c r="C32" s="12" t="s">
        <v>24</v>
      </c>
      <c r="D32" s="207">
        <v>574022.89000000013</v>
      </c>
      <c r="E32" s="244">
        <f>SUM(E33:E39)</f>
        <v>580263.03</v>
      </c>
      <c r="F32" s="73"/>
    </row>
    <row r="33" spans="2:6">
      <c r="B33" s="188" t="s">
        <v>4</v>
      </c>
      <c r="C33" s="181" t="s">
        <v>25</v>
      </c>
      <c r="D33" s="208">
        <v>419203.84000000003</v>
      </c>
      <c r="E33" s="246">
        <v>72338.880000000005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1375.02</v>
      </c>
      <c r="E35" s="246">
        <v>1178.8599999999999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11775.4</v>
      </c>
      <c r="E37" s="246">
        <v>8997.2099999999991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141668.63</v>
      </c>
      <c r="E39" s="248">
        <v>497748.08</v>
      </c>
      <c r="F39" s="73"/>
    </row>
    <row r="40" spans="2:6" ht="13.5" thickBot="1">
      <c r="B40" s="103" t="s">
        <v>35</v>
      </c>
      <c r="C40" s="104" t="s">
        <v>36</v>
      </c>
      <c r="D40" s="210">
        <v>68445.429999999993</v>
      </c>
      <c r="E40" s="275">
        <v>-16912.97</v>
      </c>
    </row>
    <row r="41" spans="2:6" ht="13.5" thickBot="1">
      <c r="B41" s="105" t="s">
        <v>37</v>
      </c>
      <c r="C41" s="106" t="s">
        <v>38</v>
      </c>
      <c r="D41" s="211">
        <v>1294791.8499999999</v>
      </c>
      <c r="E41" s="154">
        <f>E26+E27+E40</f>
        <v>576186.48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160362.93</v>
      </c>
      <c r="E47" s="155">
        <v>96493.625</v>
      </c>
    </row>
    <row r="48" spans="2:6">
      <c r="B48" s="193" t="s">
        <v>6</v>
      </c>
      <c r="C48" s="194" t="s">
        <v>41</v>
      </c>
      <c r="D48" s="213">
        <v>110477.12</v>
      </c>
      <c r="E48" s="155">
        <v>47975.56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11.14</v>
      </c>
      <c r="E50" s="155">
        <v>12.16</v>
      </c>
    </row>
    <row r="51" spans="2:5">
      <c r="B51" s="191" t="s">
        <v>6</v>
      </c>
      <c r="C51" s="192" t="s">
        <v>195</v>
      </c>
      <c r="D51" s="215">
        <v>11.02</v>
      </c>
      <c r="E51" s="77">
        <v>11.47</v>
      </c>
    </row>
    <row r="52" spans="2:5">
      <c r="B52" s="191" t="s">
        <v>8</v>
      </c>
      <c r="C52" s="192" t="s">
        <v>196</v>
      </c>
      <c r="D52" s="215">
        <v>12.26</v>
      </c>
      <c r="E52" s="77">
        <v>12.58</v>
      </c>
    </row>
    <row r="53" spans="2:5" ht="13.5" customHeight="1" thickBot="1">
      <c r="B53" s="195" t="s">
        <v>9</v>
      </c>
      <c r="C53" s="196" t="s">
        <v>41</v>
      </c>
      <c r="D53" s="216">
        <v>11.72</v>
      </c>
      <c r="E53" s="281">
        <v>12.01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576186.48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576186.48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576186.48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576186.48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146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2334416.84</v>
      </c>
      <c r="E11" s="9">
        <f>E12</f>
        <v>2110989.81</v>
      </c>
    </row>
    <row r="12" spans="2:7">
      <c r="B12" s="180" t="s">
        <v>4</v>
      </c>
      <c r="C12" s="181" t="s">
        <v>5</v>
      </c>
      <c r="D12" s="235">
        <v>2334416.84</v>
      </c>
      <c r="E12" s="87">
        <v>2110989.81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2334416.84</v>
      </c>
      <c r="E21" s="154">
        <f>E11</f>
        <v>2110989.81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3052935.22</v>
      </c>
      <c r="E26" s="274">
        <f>D21</f>
        <v>2334416.84</v>
      </c>
    </row>
    <row r="27" spans="2:6">
      <c r="B27" s="10" t="s">
        <v>17</v>
      </c>
      <c r="C27" s="11" t="s">
        <v>192</v>
      </c>
      <c r="D27" s="207">
        <v>-543423.68999999994</v>
      </c>
      <c r="E27" s="243">
        <f>E28-E32</f>
        <v>-146482.16</v>
      </c>
      <c r="F27" s="73"/>
    </row>
    <row r="28" spans="2:6">
      <c r="B28" s="10" t="s">
        <v>18</v>
      </c>
      <c r="C28" s="11" t="s">
        <v>19</v>
      </c>
      <c r="D28" s="207">
        <v>5814.77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>
        <v>1950</v>
      </c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3864.77</v>
      </c>
      <c r="E31" s="246"/>
      <c r="F31" s="73"/>
    </row>
    <row r="32" spans="2:6">
      <c r="B32" s="97" t="s">
        <v>23</v>
      </c>
      <c r="C32" s="12" t="s">
        <v>24</v>
      </c>
      <c r="D32" s="207">
        <v>549238.46</v>
      </c>
      <c r="E32" s="244">
        <f>SUM(E33:E39)</f>
        <v>146482.16</v>
      </c>
      <c r="F32" s="73"/>
    </row>
    <row r="33" spans="2:6">
      <c r="B33" s="188" t="s">
        <v>4</v>
      </c>
      <c r="C33" s="181" t="s">
        <v>25</v>
      </c>
      <c r="D33" s="208">
        <v>524039.25</v>
      </c>
      <c r="E33" s="246">
        <v>127532.3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1230.83</v>
      </c>
      <c r="E35" s="246">
        <v>1179.96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23968.38</v>
      </c>
      <c r="E37" s="246">
        <v>17769.900000000001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192244.38</v>
      </c>
      <c r="E40" s="275">
        <v>-76944.87</v>
      </c>
    </row>
    <row r="41" spans="2:6" ht="13.5" thickBot="1">
      <c r="B41" s="105" t="s">
        <v>37</v>
      </c>
      <c r="C41" s="106" t="s">
        <v>38</v>
      </c>
      <c r="D41" s="211">
        <v>2701755.91</v>
      </c>
      <c r="E41" s="154">
        <f>E26+E27+E40</f>
        <v>2110989.8099999996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200455.36600000001</v>
      </c>
      <c r="E47" s="155">
        <v>141737.51300000001</v>
      </c>
    </row>
    <row r="48" spans="2:6">
      <c r="B48" s="193" t="s">
        <v>6</v>
      </c>
      <c r="C48" s="194" t="s">
        <v>41</v>
      </c>
      <c r="D48" s="213">
        <v>166569.41500000001</v>
      </c>
      <c r="E48" s="155">
        <v>132850.20800000001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15.23</v>
      </c>
      <c r="E50" s="155">
        <v>16.47</v>
      </c>
    </row>
    <row r="51" spans="2:5">
      <c r="B51" s="191" t="s">
        <v>6</v>
      </c>
      <c r="C51" s="192" t="s">
        <v>195</v>
      </c>
      <c r="D51" s="215">
        <v>15.23</v>
      </c>
      <c r="E51" s="155">
        <v>15.85</v>
      </c>
    </row>
    <row r="52" spans="2:5">
      <c r="B52" s="191" t="s">
        <v>8</v>
      </c>
      <c r="C52" s="192" t="s">
        <v>196</v>
      </c>
      <c r="D52" s="215">
        <v>16.28</v>
      </c>
      <c r="E52" s="77">
        <v>17.21</v>
      </c>
    </row>
    <row r="53" spans="2:5" ht="12.75" customHeight="1" thickBot="1">
      <c r="B53" s="195" t="s">
        <v>9</v>
      </c>
      <c r="C53" s="196" t="s">
        <v>41</v>
      </c>
      <c r="D53" s="216">
        <v>16.22</v>
      </c>
      <c r="E53" s="281">
        <v>15.89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2110989.81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2110989.81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2110989.81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2110989.81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147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245235.27</v>
      </c>
      <c r="E11" s="9">
        <f>E12</f>
        <v>195090.46</v>
      </c>
    </row>
    <row r="12" spans="2:7">
      <c r="B12" s="180" t="s">
        <v>4</v>
      </c>
      <c r="C12" s="181" t="s">
        <v>5</v>
      </c>
      <c r="D12" s="235">
        <v>245235.27</v>
      </c>
      <c r="E12" s="87">
        <v>195090.46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245235.27</v>
      </c>
      <c r="E21" s="154">
        <f>E11</f>
        <v>195090.46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255199.78</v>
      </c>
      <c r="E26" s="274">
        <f>D21</f>
        <v>245235.27</v>
      </c>
    </row>
    <row r="27" spans="2:6">
      <c r="B27" s="10" t="s">
        <v>17</v>
      </c>
      <c r="C27" s="11" t="s">
        <v>192</v>
      </c>
      <c r="D27" s="207">
        <v>-2358.79</v>
      </c>
      <c r="E27" s="243">
        <f>E28-E32</f>
        <v>-55276.47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2358.79</v>
      </c>
      <c r="E32" s="244">
        <f>SUM(E33:E39)</f>
        <v>55276.47</v>
      </c>
      <c r="F32" s="73"/>
    </row>
    <row r="33" spans="2:6">
      <c r="B33" s="188" t="s">
        <v>4</v>
      </c>
      <c r="C33" s="181" t="s">
        <v>25</v>
      </c>
      <c r="D33" s="208"/>
      <c r="E33" s="246">
        <v>53753.08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106.18</v>
      </c>
      <c r="E35" s="246">
        <v>21.04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2252.61</v>
      </c>
      <c r="E37" s="246">
        <v>1502.35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-36583.53</v>
      </c>
      <c r="E40" s="275">
        <v>5131.66</v>
      </c>
    </row>
    <row r="41" spans="2:6" ht="13.5" thickBot="1">
      <c r="B41" s="105" t="s">
        <v>37</v>
      </c>
      <c r="C41" s="106" t="s">
        <v>38</v>
      </c>
      <c r="D41" s="211">
        <v>216257.46</v>
      </c>
      <c r="E41" s="154">
        <f>E26+E27+E40</f>
        <v>195090.46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155"/>
    </row>
    <row r="47" spans="2:6">
      <c r="B47" s="191" t="s">
        <v>4</v>
      </c>
      <c r="C47" s="192" t="s">
        <v>40</v>
      </c>
      <c r="D47" s="212">
        <v>32303.77</v>
      </c>
      <c r="E47" s="155">
        <v>31725.132000000001</v>
      </c>
    </row>
    <row r="48" spans="2:6">
      <c r="B48" s="193" t="s">
        <v>6</v>
      </c>
      <c r="C48" s="194" t="s">
        <v>41</v>
      </c>
      <c r="D48" s="213">
        <v>31990.748</v>
      </c>
      <c r="E48" s="155">
        <v>24295.201000000001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7.9</v>
      </c>
      <c r="E50" s="155">
        <v>7.73</v>
      </c>
    </row>
    <row r="51" spans="2:5">
      <c r="B51" s="191" t="s">
        <v>6</v>
      </c>
      <c r="C51" s="192" t="s">
        <v>195</v>
      </c>
      <c r="D51" s="215">
        <v>6.54</v>
      </c>
      <c r="E51" s="77">
        <v>7.12</v>
      </c>
    </row>
    <row r="52" spans="2:5">
      <c r="B52" s="191" t="s">
        <v>8</v>
      </c>
      <c r="C52" s="192" t="s">
        <v>196</v>
      </c>
      <c r="D52" s="215">
        <v>8.2100000000000009</v>
      </c>
      <c r="E52" s="77">
        <v>8.5</v>
      </c>
    </row>
    <row r="53" spans="2:5" ht="12.75" customHeight="1" thickBot="1">
      <c r="B53" s="195" t="s">
        <v>9</v>
      </c>
      <c r="C53" s="196" t="s">
        <v>41</v>
      </c>
      <c r="D53" s="216">
        <v>6.76</v>
      </c>
      <c r="E53" s="281">
        <v>8.0299999999999994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195090.46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195090.46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195090.46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195090.46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0"/>
      <c r="C4" s="140"/>
      <c r="D4" s="140"/>
      <c r="E4" s="14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145</v>
      </c>
      <c r="C6" s="311"/>
      <c r="D6" s="311"/>
      <c r="E6" s="311"/>
    </row>
    <row r="7" spans="2:5" ht="14.25">
      <c r="B7" s="139"/>
      <c r="C7" s="139"/>
      <c r="D7" s="139"/>
      <c r="E7" s="139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1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5264394.12</v>
      </c>
      <c r="E11" s="9">
        <f>E12</f>
        <v>7110867.7599999998</v>
      </c>
    </row>
    <row r="12" spans="2:5">
      <c r="B12" s="180" t="s">
        <v>4</v>
      </c>
      <c r="C12" s="181" t="s">
        <v>5</v>
      </c>
      <c r="D12" s="235">
        <v>5264394.12</v>
      </c>
      <c r="E12" s="87">
        <v>7110867.7599999998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5264394.12</v>
      </c>
      <c r="E21" s="154">
        <f>E11</f>
        <v>7110867.7599999998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4704124.28</v>
      </c>
      <c r="E26" s="274">
        <f>D21</f>
        <v>5264394.12</v>
      </c>
    </row>
    <row r="27" spans="2:6">
      <c r="B27" s="10" t="s">
        <v>17</v>
      </c>
      <c r="C27" s="11" t="s">
        <v>192</v>
      </c>
      <c r="D27" s="207">
        <v>-684352.11</v>
      </c>
      <c r="E27" s="243">
        <f>E28-E32</f>
        <v>1270921.1800000002</v>
      </c>
      <c r="F27" s="73"/>
    </row>
    <row r="28" spans="2:6">
      <c r="B28" s="10" t="s">
        <v>18</v>
      </c>
      <c r="C28" s="11" t="s">
        <v>19</v>
      </c>
      <c r="D28" s="207">
        <v>1462.5</v>
      </c>
      <c r="E28" s="244">
        <f>SUM(E29:E31)</f>
        <v>1637638.11</v>
      </c>
      <c r="F28" s="73"/>
    </row>
    <row r="29" spans="2:6">
      <c r="B29" s="188" t="s">
        <v>4</v>
      </c>
      <c r="C29" s="181" t="s">
        <v>20</v>
      </c>
      <c r="D29" s="208">
        <v>1462.5</v>
      </c>
      <c r="E29" s="246">
        <v>0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1637638.11</v>
      </c>
      <c r="F31" s="73"/>
    </row>
    <row r="32" spans="2:6">
      <c r="B32" s="97" t="s">
        <v>23</v>
      </c>
      <c r="C32" s="12" t="s">
        <v>24</v>
      </c>
      <c r="D32" s="207">
        <v>685814.61</v>
      </c>
      <c r="E32" s="244">
        <f>SUM(E33:E39)</f>
        <v>366716.93000000005</v>
      </c>
      <c r="F32" s="73"/>
    </row>
    <row r="33" spans="2:6">
      <c r="B33" s="188" t="s">
        <v>4</v>
      </c>
      <c r="C33" s="181" t="s">
        <v>25</v>
      </c>
      <c r="D33" s="208">
        <v>624851.11</v>
      </c>
      <c r="E33" s="246">
        <v>271780.71000000002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8566.59</v>
      </c>
      <c r="E35" s="246">
        <v>10182.81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38470.660000000003</v>
      </c>
      <c r="E37" s="246">
        <v>46910.45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13926.25</v>
      </c>
      <c r="E39" s="248">
        <v>37842.959999999999</v>
      </c>
      <c r="F39" s="73"/>
    </row>
    <row r="40" spans="2:6" ht="13.5" thickBot="1">
      <c r="B40" s="103" t="s">
        <v>35</v>
      </c>
      <c r="C40" s="104" t="s">
        <v>36</v>
      </c>
      <c r="D40" s="210">
        <v>645016.56999999995</v>
      </c>
      <c r="E40" s="275">
        <v>575552.46</v>
      </c>
    </row>
    <row r="41" spans="2:6" ht="13.5" thickBot="1">
      <c r="B41" s="105" t="s">
        <v>37</v>
      </c>
      <c r="C41" s="106" t="s">
        <v>38</v>
      </c>
      <c r="D41" s="211">
        <v>4664788.74</v>
      </c>
      <c r="E41" s="154">
        <f>E26+E27+E40</f>
        <v>7110867.7600000007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217280.56700000001</v>
      </c>
      <c r="E47" s="155">
        <v>194905.37299999999</v>
      </c>
    </row>
    <row r="48" spans="2:6">
      <c r="B48" s="193" t="s">
        <v>6</v>
      </c>
      <c r="C48" s="194" t="s">
        <v>41</v>
      </c>
      <c r="D48" s="213">
        <v>188628.74</v>
      </c>
      <c r="E48" s="155">
        <v>236949.94200000001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21.65</v>
      </c>
      <c r="E50" s="155">
        <v>27.01</v>
      </c>
    </row>
    <row r="51" spans="2:5">
      <c r="B51" s="191" t="s">
        <v>6</v>
      </c>
      <c r="C51" s="192" t="s">
        <v>195</v>
      </c>
      <c r="D51" s="215">
        <v>21.65</v>
      </c>
      <c r="E51" s="77">
        <v>26.76</v>
      </c>
    </row>
    <row r="52" spans="2:5">
      <c r="B52" s="191" t="s">
        <v>8</v>
      </c>
      <c r="C52" s="192" t="s">
        <v>196</v>
      </c>
      <c r="D52" s="215">
        <v>25.35</v>
      </c>
      <c r="E52" s="77">
        <v>30.93</v>
      </c>
    </row>
    <row r="53" spans="2:5" ht="13.5" customHeight="1" thickBot="1">
      <c r="B53" s="195" t="s">
        <v>9</v>
      </c>
      <c r="C53" s="196" t="s">
        <v>41</v>
      </c>
      <c r="D53" s="216">
        <v>24.73</v>
      </c>
      <c r="E53" s="281">
        <v>30.01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7110867.7599999998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7110867.7599999998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7110867.7599999998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7110867.7599999998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53"/>
      <c r="C4" s="153"/>
      <c r="D4" s="153"/>
      <c r="E4" s="153"/>
    </row>
    <row r="5" spans="2:5" ht="14.25">
      <c r="B5" s="310" t="s">
        <v>1</v>
      </c>
      <c r="C5" s="310"/>
      <c r="D5" s="310"/>
      <c r="E5" s="310"/>
    </row>
    <row r="6" spans="2:5" ht="14.25">
      <c r="B6" s="311" t="s">
        <v>213</v>
      </c>
      <c r="C6" s="311"/>
      <c r="D6" s="311"/>
      <c r="E6" s="311"/>
    </row>
    <row r="7" spans="2:5" ht="14.25">
      <c r="B7" s="171"/>
      <c r="C7" s="171"/>
      <c r="D7" s="171"/>
      <c r="E7" s="171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72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561298.48</v>
      </c>
      <c r="E11" s="9">
        <f>E12</f>
        <v>423580.4</v>
      </c>
    </row>
    <row r="12" spans="2:5">
      <c r="B12" s="180" t="s">
        <v>4</v>
      </c>
      <c r="C12" s="181" t="s">
        <v>5</v>
      </c>
      <c r="D12" s="235">
        <v>561298.48</v>
      </c>
      <c r="E12" s="87">
        <v>423580.4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561298.48</v>
      </c>
      <c r="E21" s="154">
        <f>E11</f>
        <v>423580.4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340748.63</v>
      </c>
      <c r="E26" s="274">
        <f>D21</f>
        <v>561298.48</v>
      </c>
    </row>
    <row r="27" spans="2:6">
      <c r="B27" s="10" t="s">
        <v>17</v>
      </c>
      <c r="C27" s="11" t="s">
        <v>192</v>
      </c>
      <c r="D27" s="207">
        <v>130453.48</v>
      </c>
      <c r="E27" s="243">
        <f>E28-E32</f>
        <v>-102554.52</v>
      </c>
      <c r="F27" s="73"/>
    </row>
    <row r="28" spans="2:6">
      <c r="B28" s="10" t="s">
        <v>18</v>
      </c>
      <c r="C28" s="11" t="s">
        <v>19</v>
      </c>
      <c r="D28" s="207">
        <v>134851.44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134851.44</v>
      </c>
      <c r="E31" s="246"/>
      <c r="F31" s="73"/>
    </row>
    <row r="32" spans="2:6">
      <c r="B32" s="97" t="s">
        <v>23</v>
      </c>
      <c r="C32" s="12" t="s">
        <v>24</v>
      </c>
      <c r="D32" s="207">
        <v>4397.96</v>
      </c>
      <c r="E32" s="244">
        <f>SUM(E33:E39)</f>
        <v>102554.52</v>
      </c>
      <c r="F32" s="73"/>
    </row>
    <row r="33" spans="2:6">
      <c r="B33" s="188" t="s">
        <v>4</v>
      </c>
      <c r="C33" s="181" t="s">
        <v>25</v>
      </c>
      <c r="D33" s="208"/>
      <c r="E33" s="246">
        <v>97590.36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1275.1300000000001</v>
      </c>
      <c r="E35" s="246">
        <v>787.47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3122.83</v>
      </c>
      <c r="E37" s="246">
        <v>4176.6899999999996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25725.16</v>
      </c>
      <c r="E40" s="275">
        <v>-35163.56</v>
      </c>
    </row>
    <row r="41" spans="2:6" ht="13.5" thickBot="1">
      <c r="B41" s="105" t="s">
        <v>37</v>
      </c>
      <c r="C41" s="106" t="s">
        <v>38</v>
      </c>
      <c r="D41" s="211">
        <v>496927.26999999996</v>
      </c>
      <c r="E41" s="154">
        <f>E26+E27+E40</f>
        <v>423580.39999999997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32986.315000000002</v>
      </c>
      <c r="E47" s="155">
        <v>50071.228999999999</v>
      </c>
    </row>
    <row r="48" spans="2:6">
      <c r="B48" s="193" t="s">
        <v>6</v>
      </c>
      <c r="C48" s="194" t="s">
        <v>41</v>
      </c>
      <c r="D48" s="213">
        <v>45175.205999999998</v>
      </c>
      <c r="E48" s="155">
        <v>40689.760000000002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10.33</v>
      </c>
      <c r="E50" s="155">
        <v>11.21</v>
      </c>
    </row>
    <row r="51" spans="2:5">
      <c r="B51" s="191" t="s">
        <v>6</v>
      </c>
      <c r="C51" s="192" t="s">
        <v>195</v>
      </c>
      <c r="D51" s="215">
        <v>10.33</v>
      </c>
      <c r="E51" s="77">
        <v>10.37</v>
      </c>
    </row>
    <row r="52" spans="2:5">
      <c r="B52" s="191" t="s">
        <v>8</v>
      </c>
      <c r="C52" s="192" t="s">
        <v>196</v>
      </c>
      <c r="D52" s="215">
        <v>11.05</v>
      </c>
      <c r="E52" s="77">
        <v>11.29</v>
      </c>
    </row>
    <row r="53" spans="2:5" ht="13.5" thickBot="1">
      <c r="B53" s="195" t="s">
        <v>9</v>
      </c>
      <c r="C53" s="196" t="s">
        <v>41</v>
      </c>
      <c r="D53" s="216">
        <v>11</v>
      </c>
      <c r="E53" s="281">
        <v>10.41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423580.4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423580.4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423580.4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423580.4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153"/>
      <c r="C4" s="153"/>
      <c r="D4" s="153"/>
      <c r="E4" s="153"/>
    </row>
    <row r="5" spans="2:8" ht="14.25">
      <c r="B5" s="310" t="s">
        <v>1</v>
      </c>
      <c r="C5" s="310"/>
      <c r="D5" s="310"/>
      <c r="E5" s="310"/>
    </row>
    <row r="6" spans="2:8" ht="14.25">
      <c r="B6" s="311" t="s">
        <v>223</v>
      </c>
      <c r="C6" s="311"/>
      <c r="D6" s="311"/>
      <c r="E6" s="311"/>
    </row>
    <row r="7" spans="2:8" ht="14.25">
      <c r="B7" s="203"/>
      <c r="C7" s="203"/>
      <c r="D7" s="203"/>
      <c r="E7" s="203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204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248882.82</v>
      </c>
      <c r="E11" s="9">
        <f>E12</f>
        <v>240695.17</v>
      </c>
    </row>
    <row r="12" spans="2:8">
      <c r="B12" s="180" t="s">
        <v>4</v>
      </c>
      <c r="C12" s="181" t="s">
        <v>5</v>
      </c>
      <c r="D12" s="235">
        <v>248882.82</v>
      </c>
      <c r="E12" s="87">
        <v>240695.17</v>
      </c>
    </row>
    <row r="13" spans="2:8">
      <c r="B13" s="180" t="s">
        <v>6</v>
      </c>
      <c r="C13" s="182" t="s">
        <v>7</v>
      </c>
      <c r="D13" s="235"/>
      <c r="E13" s="87"/>
    </row>
    <row r="14" spans="2:8">
      <c r="B14" s="180" t="s">
        <v>8</v>
      </c>
      <c r="C14" s="182" t="s">
        <v>10</v>
      </c>
      <c r="D14" s="235"/>
      <c r="E14" s="87"/>
    </row>
    <row r="15" spans="2:8">
      <c r="B15" s="180" t="s">
        <v>187</v>
      </c>
      <c r="C15" s="182" t="s">
        <v>11</v>
      </c>
      <c r="D15" s="235"/>
      <c r="E15" s="87"/>
    </row>
    <row r="16" spans="2:8">
      <c r="B16" s="183" t="s">
        <v>188</v>
      </c>
      <c r="C16" s="184" t="s">
        <v>12</v>
      </c>
      <c r="D16" s="236"/>
      <c r="E16" s="88"/>
    </row>
    <row r="17" spans="2:7">
      <c r="B17" s="10" t="s">
        <v>13</v>
      </c>
      <c r="C17" s="12" t="s">
        <v>65</v>
      </c>
      <c r="D17" s="264"/>
      <c r="E17" s="98"/>
    </row>
    <row r="18" spans="2:7">
      <c r="B18" s="180" t="s">
        <v>4</v>
      </c>
      <c r="C18" s="181" t="s">
        <v>11</v>
      </c>
      <c r="D18" s="235"/>
      <c r="E18" s="88"/>
    </row>
    <row r="19" spans="2:7" ht="15" customHeight="1">
      <c r="B19" s="180" t="s">
        <v>6</v>
      </c>
      <c r="C19" s="182" t="s">
        <v>189</v>
      </c>
      <c r="D19" s="235"/>
      <c r="E19" s="87"/>
    </row>
    <row r="20" spans="2:7" ht="13.5" thickBot="1">
      <c r="B20" s="185" t="s">
        <v>8</v>
      </c>
      <c r="C20" s="186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248882.82</v>
      </c>
      <c r="E21" s="154">
        <f>E11</f>
        <v>240695.17</v>
      </c>
      <c r="F21" s="79"/>
      <c r="G21" s="69"/>
    </row>
    <row r="22" spans="2:7">
      <c r="B22" s="3"/>
      <c r="C22" s="7"/>
      <c r="D22" s="8"/>
      <c r="E22" s="8"/>
    </row>
    <row r="23" spans="2:7" ht="13.5">
      <c r="B23" s="313" t="s">
        <v>185</v>
      </c>
      <c r="C23" s="325"/>
      <c r="D23" s="325"/>
      <c r="E23" s="325"/>
    </row>
    <row r="24" spans="2:7" ht="15.75" customHeight="1" thickBot="1">
      <c r="B24" s="312" t="s">
        <v>186</v>
      </c>
      <c r="C24" s="326"/>
      <c r="D24" s="326"/>
      <c r="E24" s="326"/>
    </row>
    <row r="25" spans="2:7" ht="13.5" thickBot="1">
      <c r="B25" s="221"/>
      <c r="C25" s="187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0</v>
      </c>
      <c r="E26" s="274">
        <f>D21</f>
        <v>248882.82</v>
      </c>
    </row>
    <row r="27" spans="2:7">
      <c r="B27" s="10" t="s">
        <v>17</v>
      </c>
      <c r="C27" s="11" t="s">
        <v>192</v>
      </c>
      <c r="D27" s="207">
        <v>1443012.73</v>
      </c>
      <c r="E27" s="243">
        <f>E28-E32</f>
        <v>-1889.78</v>
      </c>
      <c r="F27" s="73"/>
    </row>
    <row r="28" spans="2:7">
      <c r="B28" s="10" t="s">
        <v>18</v>
      </c>
      <c r="C28" s="11" t="s">
        <v>19</v>
      </c>
      <c r="D28" s="207">
        <v>1475485.78</v>
      </c>
      <c r="E28" s="244">
        <f>SUM(E29:E31)</f>
        <v>0</v>
      </c>
      <c r="F28" s="73"/>
    </row>
    <row r="29" spans="2:7">
      <c r="B29" s="188" t="s">
        <v>4</v>
      </c>
      <c r="C29" s="181" t="s">
        <v>20</v>
      </c>
      <c r="D29" s="208"/>
      <c r="E29" s="246"/>
      <c r="F29" s="73"/>
    </row>
    <row r="30" spans="2:7">
      <c r="B30" s="188" t="s">
        <v>6</v>
      </c>
      <c r="C30" s="181" t="s">
        <v>21</v>
      </c>
      <c r="D30" s="208"/>
      <c r="E30" s="246"/>
      <c r="F30" s="73"/>
    </row>
    <row r="31" spans="2:7">
      <c r="B31" s="188" t="s">
        <v>8</v>
      </c>
      <c r="C31" s="181" t="s">
        <v>22</v>
      </c>
      <c r="D31" s="208">
        <v>1475485.78</v>
      </c>
      <c r="E31" s="246"/>
      <c r="F31" s="73"/>
    </row>
    <row r="32" spans="2:7">
      <c r="B32" s="97" t="s">
        <v>23</v>
      </c>
      <c r="C32" s="12" t="s">
        <v>24</v>
      </c>
      <c r="D32" s="207">
        <v>32473.05</v>
      </c>
      <c r="E32" s="244">
        <f>SUM(E33:E39)</f>
        <v>1889.78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5115.4399999999996</v>
      </c>
      <c r="E37" s="246">
        <v>1889.78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27357.61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2282.34</v>
      </c>
      <c r="E40" s="275">
        <v>-6297.87</v>
      </c>
    </row>
    <row r="41" spans="2:6" ht="13.5" thickBot="1">
      <c r="B41" s="105" t="s">
        <v>37</v>
      </c>
      <c r="C41" s="106" t="s">
        <v>38</v>
      </c>
      <c r="D41" s="211">
        <v>1445295.07</v>
      </c>
      <c r="E41" s="154">
        <f>E26+E27+E40</f>
        <v>240695.17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/>
      <c r="E47" s="155">
        <v>2434.538</v>
      </c>
    </row>
    <row r="48" spans="2:6">
      <c r="B48" s="193" t="s">
        <v>6</v>
      </c>
      <c r="C48" s="194" t="s">
        <v>41</v>
      </c>
      <c r="D48" s="213">
        <v>13897.067999999999</v>
      </c>
      <c r="E48" s="155">
        <v>2416.1329999999998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/>
      <c r="E50" s="155">
        <v>102.23</v>
      </c>
    </row>
    <row r="51" spans="2:5">
      <c r="B51" s="191" t="s">
        <v>6</v>
      </c>
      <c r="C51" s="192" t="s">
        <v>195</v>
      </c>
      <c r="D51" s="215">
        <v>101.56</v>
      </c>
      <c r="E51" s="77">
        <v>99.62</v>
      </c>
    </row>
    <row r="52" spans="2:5">
      <c r="B52" s="191" t="s">
        <v>8</v>
      </c>
      <c r="C52" s="192" t="s">
        <v>196</v>
      </c>
      <c r="D52" s="215">
        <v>104.62</v>
      </c>
      <c r="E52" s="77">
        <v>104.63</v>
      </c>
    </row>
    <row r="53" spans="2:5" ht="13.5" thickBot="1">
      <c r="B53" s="195" t="s">
        <v>9</v>
      </c>
      <c r="C53" s="196" t="s">
        <v>41</v>
      </c>
      <c r="D53" s="216">
        <v>104</v>
      </c>
      <c r="E53" s="281">
        <v>99.62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240695.17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240695.17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240695.17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240695.17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0"/>
      <c r="C4" s="140"/>
      <c r="D4" s="140"/>
      <c r="E4" s="14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116</v>
      </c>
      <c r="C6" s="311"/>
      <c r="D6" s="311"/>
      <c r="E6" s="311"/>
    </row>
    <row r="7" spans="2:5" ht="14.25">
      <c r="B7" s="139"/>
      <c r="C7" s="139"/>
      <c r="D7" s="139"/>
      <c r="E7" s="139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1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431685.91</v>
      </c>
      <c r="E11" s="9">
        <f>E12</f>
        <v>654609</v>
      </c>
    </row>
    <row r="12" spans="2:5">
      <c r="B12" s="180" t="s">
        <v>4</v>
      </c>
      <c r="C12" s="181" t="s">
        <v>5</v>
      </c>
      <c r="D12" s="235">
        <v>431685.91</v>
      </c>
      <c r="E12" s="266">
        <v>654609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431685.91</v>
      </c>
      <c r="E21" s="154">
        <f>E11</f>
        <v>654609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67">
        <v>334733.42</v>
      </c>
      <c r="E26" s="274">
        <f>D21</f>
        <v>431685.91</v>
      </c>
    </row>
    <row r="27" spans="2:6">
      <c r="B27" s="10" t="s">
        <v>17</v>
      </c>
      <c r="C27" s="11" t="s">
        <v>192</v>
      </c>
      <c r="D27" s="276">
        <v>250881.65000000002</v>
      </c>
      <c r="E27" s="243">
        <f>E28-E32</f>
        <v>198350.40000000005</v>
      </c>
      <c r="F27" s="73"/>
    </row>
    <row r="28" spans="2:6">
      <c r="B28" s="10" t="s">
        <v>18</v>
      </c>
      <c r="C28" s="11" t="s">
        <v>19</v>
      </c>
      <c r="D28" s="276">
        <v>896537.21</v>
      </c>
      <c r="E28" s="244">
        <f>SUM(E29:E31)</f>
        <v>439788.64</v>
      </c>
      <c r="F28" s="73"/>
    </row>
    <row r="29" spans="2:6">
      <c r="B29" s="188" t="s">
        <v>4</v>
      </c>
      <c r="C29" s="181" t="s">
        <v>20</v>
      </c>
      <c r="D29" s="277"/>
      <c r="E29" s="246"/>
      <c r="F29" s="73"/>
    </row>
    <row r="30" spans="2:6">
      <c r="B30" s="188" t="s">
        <v>6</v>
      </c>
      <c r="C30" s="181" t="s">
        <v>21</v>
      </c>
      <c r="D30" s="277"/>
      <c r="E30" s="246"/>
      <c r="F30" s="73"/>
    </row>
    <row r="31" spans="2:6">
      <c r="B31" s="188" t="s">
        <v>8</v>
      </c>
      <c r="C31" s="181" t="s">
        <v>22</v>
      </c>
      <c r="D31" s="277">
        <v>896537.21</v>
      </c>
      <c r="E31" s="246">
        <v>439788.64</v>
      </c>
      <c r="F31" s="73"/>
    </row>
    <row r="32" spans="2:6">
      <c r="B32" s="97" t="s">
        <v>23</v>
      </c>
      <c r="C32" s="12" t="s">
        <v>24</v>
      </c>
      <c r="D32" s="276">
        <v>645655.55999999994</v>
      </c>
      <c r="E32" s="244">
        <f>SUM(E33:E39)</f>
        <v>241438.23999999996</v>
      </c>
      <c r="F32" s="73"/>
    </row>
    <row r="33" spans="2:6">
      <c r="B33" s="188" t="s">
        <v>4</v>
      </c>
      <c r="C33" s="181" t="s">
        <v>25</v>
      </c>
      <c r="D33" s="277">
        <v>627549.51</v>
      </c>
      <c r="E33" s="246">
        <v>201672.83</v>
      </c>
      <c r="F33" s="73"/>
    </row>
    <row r="34" spans="2:6">
      <c r="B34" s="188" t="s">
        <v>6</v>
      </c>
      <c r="C34" s="181" t="s">
        <v>26</v>
      </c>
      <c r="D34" s="277"/>
      <c r="E34" s="246"/>
      <c r="F34" s="73"/>
    </row>
    <row r="35" spans="2:6">
      <c r="B35" s="188" t="s">
        <v>8</v>
      </c>
      <c r="C35" s="181" t="s">
        <v>27</v>
      </c>
      <c r="D35" s="277">
        <v>245.75</v>
      </c>
      <c r="E35" s="246">
        <v>475.3</v>
      </c>
      <c r="F35" s="73"/>
    </row>
    <row r="36" spans="2:6">
      <c r="B36" s="188" t="s">
        <v>9</v>
      </c>
      <c r="C36" s="181" t="s">
        <v>28</v>
      </c>
      <c r="D36" s="277"/>
      <c r="E36" s="246"/>
      <c r="F36" s="73"/>
    </row>
    <row r="37" spans="2:6" ht="25.5">
      <c r="B37" s="188" t="s">
        <v>29</v>
      </c>
      <c r="C37" s="181" t="s">
        <v>30</v>
      </c>
      <c r="D37" s="277">
        <v>9249.36</v>
      </c>
      <c r="E37" s="246">
        <v>6972.18</v>
      </c>
      <c r="F37" s="73"/>
    </row>
    <row r="38" spans="2:6">
      <c r="B38" s="188" t="s">
        <v>31</v>
      </c>
      <c r="C38" s="181" t="s">
        <v>32</v>
      </c>
      <c r="D38" s="277"/>
      <c r="E38" s="246"/>
      <c r="F38" s="73"/>
    </row>
    <row r="39" spans="2:6">
      <c r="B39" s="189" t="s">
        <v>33</v>
      </c>
      <c r="C39" s="190" t="s">
        <v>34</v>
      </c>
      <c r="D39" s="278">
        <v>8610.94</v>
      </c>
      <c r="E39" s="248">
        <v>32317.93</v>
      </c>
      <c r="F39" s="73"/>
    </row>
    <row r="40" spans="2:6" ht="13.5" thickBot="1">
      <c r="B40" s="103" t="s">
        <v>35</v>
      </c>
      <c r="C40" s="104" t="s">
        <v>36</v>
      </c>
      <c r="D40" s="279">
        <v>117401.29</v>
      </c>
      <c r="E40" s="275">
        <v>24572.69</v>
      </c>
    </row>
    <row r="41" spans="2:6" ht="13.5" thickBot="1">
      <c r="B41" s="105" t="s">
        <v>37</v>
      </c>
      <c r="C41" s="106" t="s">
        <v>38</v>
      </c>
      <c r="D41" s="239">
        <v>703016.3600000001</v>
      </c>
      <c r="E41" s="154">
        <f>E26+E27+E40</f>
        <v>654609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94">
        <v>1324.8373999999999</v>
      </c>
      <c r="E47" s="155">
        <v>1416.5712000000001</v>
      </c>
    </row>
    <row r="48" spans="2:6">
      <c r="B48" s="193" t="s">
        <v>6</v>
      </c>
      <c r="C48" s="194" t="s">
        <v>41</v>
      </c>
      <c r="D48" s="291">
        <v>2428.4650999999999</v>
      </c>
      <c r="E48" s="155">
        <v>2028.6002000000001</v>
      </c>
    </row>
    <row r="49" spans="2:5">
      <c r="B49" s="126" t="s">
        <v>23</v>
      </c>
      <c r="C49" s="130" t="s">
        <v>194</v>
      </c>
      <c r="D49" s="295"/>
      <c r="E49" s="155"/>
    </row>
    <row r="50" spans="2:5">
      <c r="B50" s="191" t="s">
        <v>4</v>
      </c>
      <c r="C50" s="192" t="s">
        <v>40</v>
      </c>
      <c r="D50" s="292">
        <v>252.66</v>
      </c>
      <c r="E50" s="155">
        <v>304.74</v>
      </c>
    </row>
    <row r="51" spans="2:5">
      <c r="B51" s="191" t="s">
        <v>6</v>
      </c>
      <c r="C51" s="192" t="s">
        <v>195</v>
      </c>
      <c r="D51" s="296">
        <v>252.66</v>
      </c>
      <c r="E51" s="155">
        <v>289.95999999999998</v>
      </c>
    </row>
    <row r="52" spans="2:5">
      <c r="B52" s="191" t="s">
        <v>8</v>
      </c>
      <c r="C52" s="192" t="s">
        <v>196</v>
      </c>
      <c r="D52" s="296">
        <v>296.20999999999998</v>
      </c>
      <c r="E52" s="77">
        <v>337.32</v>
      </c>
    </row>
    <row r="53" spans="2:5" ht="14.25" customHeight="1" thickBot="1">
      <c r="B53" s="195" t="s">
        <v>9</v>
      </c>
      <c r="C53" s="196" t="s">
        <v>41</v>
      </c>
      <c r="D53" s="216">
        <v>289.49</v>
      </c>
      <c r="E53" s="281">
        <v>322.69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654609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654609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654609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654609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214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151435.88</v>
      </c>
      <c r="E11" s="9">
        <f>E12</f>
        <v>168623.48</v>
      </c>
    </row>
    <row r="12" spans="2:7">
      <c r="B12" s="180" t="s">
        <v>4</v>
      </c>
      <c r="C12" s="181" t="s">
        <v>5</v>
      </c>
      <c r="D12" s="235">
        <v>151435.88</v>
      </c>
      <c r="E12" s="87">
        <v>168623.48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151435.88</v>
      </c>
      <c r="E21" s="154">
        <f>E11</f>
        <v>168623.48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14570.9</v>
      </c>
      <c r="E26" s="274">
        <f>D21</f>
        <v>151435.88</v>
      </c>
    </row>
    <row r="27" spans="2:6">
      <c r="B27" s="10" t="s">
        <v>17</v>
      </c>
      <c r="C27" s="11" t="s">
        <v>192</v>
      </c>
      <c r="D27" s="207">
        <v>53181.55</v>
      </c>
      <c r="E27" s="243">
        <f>E28-E32</f>
        <v>6780.6699999999983</v>
      </c>
      <c r="F27" s="73"/>
    </row>
    <row r="28" spans="2:6">
      <c r="B28" s="10" t="s">
        <v>18</v>
      </c>
      <c r="C28" s="11" t="s">
        <v>19</v>
      </c>
      <c r="D28" s="207">
        <v>64729.270000000004</v>
      </c>
      <c r="E28" s="244">
        <f>SUM(E29:E31)</f>
        <v>21520.07</v>
      </c>
      <c r="F28" s="73"/>
    </row>
    <row r="29" spans="2:6">
      <c r="B29" s="188" t="s">
        <v>4</v>
      </c>
      <c r="C29" s="181" t="s">
        <v>20</v>
      </c>
      <c r="D29" s="208">
        <v>1508.08</v>
      </c>
      <c r="E29" s="246">
        <v>4928.08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63221.19</v>
      </c>
      <c r="E31" s="246">
        <v>16591.990000000002</v>
      </c>
      <c r="F31" s="73"/>
    </row>
    <row r="32" spans="2:6">
      <c r="B32" s="97" t="s">
        <v>23</v>
      </c>
      <c r="C32" s="12" t="s">
        <v>24</v>
      </c>
      <c r="D32" s="207">
        <v>11547.72</v>
      </c>
      <c r="E32" s="244">
        <f>SUM(E33:E39)</f>
        <v>14739.400000000001</v>
      </c>
      <c r="F32" s="73"/>
    </row>
    <row r="33" spans="2:6">
      <c r="B33" s="188" t="s">
        <v>4</v>
      </c>
      <c r="C33" s="181" t="s">
        <v>25</v>
      </c>
      <c r="D33" s="208">
        <v>776.51</v>
      </c>
      <c r="E33" s="246">
        <v>8115.2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86.56</v>
      </c>
      <c r="E35" s="246">
        <v>247.39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204.6</v>
      </c>
      <c r="E37" s="246">
        <v>760.27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10480.049999999999</v>
      </c>
      <c r="E39" s="248">
        <v>5616.54</v>
      </c>
      <c r="F39" s="73"/>
    </row>
    <row r="40" spans="2:6" ht="13.5" thickBot="1">
      <c r="B40" s="103" t="s">
        <v>35</v>
      </c>
      <c r="C40" s="104" t="s">
        <v>36</v>
      </c>
      <c r="D40" s="210">
        <v>8694.1299999999992</v>
      </c>
      <c r="E40" s="275">
        <v>10406.93</v>
      </c>
    </row>
    <row r="41" spans="2:6" ht="13.5" thickBot="1">
      <c r="B41" s="105" t="s">
        <v>37</v>
      </c>
      <c r="C41" s="106" t="s">
        <v>38</v>
      </c>
      <c r="D41" s="211">
        <v>76446.58</v>
      </c>
      <c r="E41" s="154">
        <f>E26+E27+E40</f>
        <v>168623.47999999998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41.057499999999997</v>
      </c>
      <c r="E47" s="155">
        <v>345.00360000000001</v>
      </c>
    </row>
    <row r="48" spans="2:6">
      <c r="B48" s="193" t="s">
        <v>6</v>
      </c>
      <c r="C48" s="194" t="s">
        <v>41</v>
      </c>
      <c r="D48" s="213">
        <v>184.00909999999999</v>
      </c>
      <c r="E48" s="155">
        <v>358.34640000000002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354.89</v>
      </c>
      <c r="E50" s="155">
        <v>438.94</v>
      </c>
    </row>
    <row r="51" spans="2:5">
      <c r="B51" s="191" t="s">
        <v>6</v>
      </c>
      <c r="C51" s="192" t="s">
        <v>195</v>
      </c>
      <c r="D51" s="215">
        <v>354.89</v>
      </c>
      <c r="E51" s="155">
        <v>436.97</v>
      </c>
    </row>
    <row r="52" spans="2:5">
      <c r="B52" s="191" t="s">
        <v>8</v>
      </c>
      <c r="C52" s="192" t="s">
        <v>196</v>
      </c>
      <c r="D52" s="215">
        <v>424.24</v>
      </c>
      <c r="E52" s="77">
        <v>492.44</v>
      </c>
    </row>
    <row r="53" spans="2:5" ht="13.5" customHeight="1" thickBot="1">
      <c r="B53" s="195" t="s">
        <v>9</v>
      </c>
      <c r="C53" s="196" t="s">
        <v>41</v>
      </c>
      <c r="D53" s="216">
        <v>415.45</v>
      </c>
      <c r="E53" s="293">
        <v>470.56</v>
      </c>
    </row>
    <row r="54" spans="2:5">
      <c r="B54" s="115"/>
      <c r="C54" s="116"/>
      <c r="D54" s="117"/>
      <c r="E54" s="205"/>
    </row>
    <row r="55" spans="2:5" ht="13.5">
      <c r="B55" s="314" t="s">
        <v>62</v>
      </c>
      <c r="C55" s="315"/>
      <c r="D55" s="315"/>
      <c r="E55" s="315"/>
    </row>
    <row r="56" spans="2:5" ht="20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168623.48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168623.48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168623.48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168623.48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88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46898408.069999993</v>
      </c>
      <c r="E11" s="9">
        <f>E12+E13+E14</f>
        <v>41791999.439999998</v>
      </c>
    </row>
    <row r="12" spans="2:7">
      <c r="B12" s="112" t="s">
        <v>4</v>
      </c>
      <c r="C12" s="6" t="s">
        <v>5</v>
      </c>
      <c r="D12" s="235">
        <v>46759038.809999995</v>
      </c>
      <c r="E12" s="87">
        <f>42430297.01+165281.94+2.26-923942.39</f>
        <v>41671638.819999993</v>
      </c>
    </row>
    <row r="13" spans="2:7">
      <c r="B13" s="112" t="s">
        <v>6</v>
      </c>
      <c r="C13" s="70" t="s">
        <v>7</v>
      </c>
      <c r="D13" s="235"/>
      <c r="E13" s="87">
        <v>4.5999999999999996</v>
      </c>
    </row>
    <row r="14" spans="2:7">
      <c r="B14" s="112" t="s">
        <v>8</v>
      </c>
      <c r="C14" s="70" t="s">
        <v>10</v>
      </c>
      <c r="D14" s="235">
        <v>139369.25999999998</v>
      </c>
      <c r="E14" s="87">
        <f>E15</f>
        <v>120356.02</v>
      </c>
    </row>
    <row r="15" spans="2:7">
      <c r="B15" s="112" t="s">
        <v>187</v>
      </c>
      <c r="C15" s="70" t="s">
        <v>11</v>
      </c>
      <c r="D15" s="235">
        <v>139369.25999999998</v>
      </c>
      <c r="E15" s="87">
        <v>120356.02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109469.7</v>
      </c>
      <c r="E17" s="98">
        <f>SUM(E18:E19)</f>
        <v>190958.98</v>
      </c>
    </row>
    <row r="18" spans="2:6">
      <c r="B18" s="112" t="s">
        <v>4</v>
      </c>
      <c r="C18" s="6" t="s">
        <v>11</v>
      </c>
      <c r="D18" s="235">
        <v>109469.7</v>
      </c>
      <c r="E18" s="88">
        <v>190958.98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46788938.36999999</v>
      </c>
      <c r="E21" s="154">
        <f>E11-E17</f>
        <v>41601040.460000001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6.5" customHeight="1" thickBot="1">
      <c r="B24" s="312" t="s">
        <v>186</v>
      </c>
      <c r="C24" s="322"/>
      <c r="D24" s="322"/>
      <c r="E24" s="322"/>
    </row>
    <row r="25" spans="2:6" ht="13.5" thickBot="1">
      <c r="B25" s="9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41553077.079999991</v>
      </c>
      <c r="E26" s="274">
        <f>D21</f>
        <v>46788938.36999999</v>
      </c>
    </row>
    <row r="27" spans="2:6">
      <c r="B27" s="10" t="s">
        <v>17</v>
      </c>
      <c r="C27" s="11" t="s">
        <v>192</v>
      </c>
      <c r="D27" s="207">
        <v>157269.1099999994</v>
      </c>
      <c r="E27" s="243">
        <f>E28-E32</f>
        <v>-986245.12000000011</v>
      </c>
      <c r="F27" s="73"/>
    </row>
    <row r="28" spans="2:6">
      <c r="B28" s="10" t="s">
        <v>18</v>
      </c>
      <c r="C28" s="11" t="s">
        <v>19</v>
      </c>
      <c r="D28" s="207">
        <v>4822997.6399999997</v>
      </c>
      <c r="E28" s="244">
        <f>SUM(E29:E31)</f>
        <v>4125406.83</v>
      </c>
      <c r="F28" s="73"/>
    </row>
    <row r="29" spans="2:6">
      <c r="B29" s="110" t="s">
        <v>4</v>
      </c>
      <c r="C29" s="6" t="s">
        <v>20</v>
      </c>
      <c r="D29" s="208">
        <v>4388737.43</v>
      </c>
      <c r="E29" s="246">
        <v>3721394.6300000004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434260.21</v>
      </c>
      <c r="E31" s="246">
        <v>404012.19999999995</v>
      </c>
      <c r="F31" s="73"/>
    </row>
    <row r="32" spans="2:6">
      <c r="B32" s="97" t="s">
        <v>23</v>
      </c>
      <c r="C32" s="12" t="s">
        <v>24</v>
      </c>
      <c r="D32" s="207">
        <v>4665728.53</v>
      </c>
      <c r="E32" s="244">
        <f>SUM(E33:E39)</f>
        <v>5111651.95</v>
      </c>
      <c r="F32" s="73"/>
    </row>
    <row r="33" spans="2:6">
      <c r="B33" s="110" t="s">
        <v>4</v>
      </c>
      <c r="C33" s="6" t="s">
        <v>25</v>
      </c>
      <c r="D33" s="208">
        <v>3308822.43</v>
      </c>
      <c r="E33" s="246">
        <f>3386794.73+531458.62</f>
        <v>3918253.35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818880.86</v>
      </c>
      <c r="E35" s="246">
        <v>744882.29999999993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538025.24</v>
      </c>
      <c r="E39" s="248">
        <v>448516.3</v>
      </c>
      <c r="F39" s="73"/>
    </row>
    <row r="40" spans="2:6" ht="13.5" thickBot="1">
      <c r="B40" s="103" t="s">
        <v>35</v>
      </c>
      <c r="C40" s="104" t="s">
        <v>36</v>
      </c>
      <c r="D40" s="210">
        <v>4804169.4000000004</v>
      </c>
      <c r="E40" s="275">
        <v>-4201652.79</v>
      </c>
    </row>
    <row r="41" spans="2:6" ht="13.5" thickBot="1">
      <c r="B41" s="105" t="s">
        <v>37</v>
      </c>
      <c r="C41" s="106" t="s">
        <v>38</v>
      </c>
      <c r="D41" s="211">
        <v>46514515.589999989</v>
      </c>
      <c r="E41" s="154">
        <f>E26+E27+E40</f>
        <v>41601040.459999993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5.7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22"/>
    </row>
    <row r="47" spans="2:6">
      <c r="B47" s="108" t="s">
        <v>4</v>
      </c>
      <c r="C47" s="16" t="s">
        <v>40</v>
      </c>
      <c r="D47" s="212">
        <v>4313851.9448238108</v>
      </c>
      <c r="E47" s="75">
        <v>4346746.3946000002</v>
      </c>
    </row>
    <row r="48" spans="2:6">
      <c r="B48" s="129" t="s">
        <v>6</v>
      </c>
      <c r="C48" s="23" t="s">
        <v>41</v>
      </c>
      <c r="D48" s="213">
        <v>4331272.8752386561</v>
      </c>
      <c r="E48" s="75">
        <v>4247911.3639599998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9.6324764065812492</v>
      </c>
      <c r="E50" s="75">
        <v>10.7641288729998</v>
      </c>
    </row>
    <row r="51" spans="2:5">
      <c r="B51" s="108" t="s">
        <v>6</v>
      </c>
      <c r="C51" s="16" t="s">
        <v>195</v>
      </c>
      <c r="D51" s="280">
        <v>9.6325000000000003</v>
      </c>
      <c r="E51" s="77">
        <v>9.6508000000000003</v>
      </c>
    </row>
    <row r="52" spans="2:5" ht="12.75" customHeight="1">
      <c r="B52" s="108" t="s">
        <v>8</v>
      </c>
      <c r="C52" s="16" t="s">
        <v>196</v>
      </c>
      <c r="D52" s="280">
        <v>10.968299999999999</v>
      </c>
      <c r="E52" s="77">
        <v>11.3451</v>
      </c>
    </row>
    <row r="53" spans="2:5" ht="13.5" thickBot="1">
      <c r="B53" s="109" t="s">
        <v>9</v>
      </c>
      <c r="C53" s="18" t="s">
        <v>41</v>
      </c>
      <c r="D53" s="216">
        <v>10.739225380122701</v>
      </c>
      <c r="E53" s="281">
        <v>9.79329296109794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41671638.82</v>
      </c>
      <c r="E58" s="33">
        <f>D58/E21</f>
        <v>1.0016970335169353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42430297.01-923942.39</f>
        <v>41506354.619999997</v>
      </c>
      <c r="E64" s="83">
        <f>D64/E21</f>
        <v>0.99772395500321576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165281.94+2.26</f>
        <v>165284.20000000001</v>
      </c>
      <c r="E69" s="81">
        <f>D69/E21</f>
        <v>3.9730785137194625E-3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4.5999999999999996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120356.02</v>
      </c>
      <c r="E72" s="125">
        <f>D72/E21</f>
        <v>2.8931011981713304E-3</v>
      </c>
    </row>
    <row r="73" spans="2:5">
      <c r="B73" s="24" t="s">
        <v>62</v>
      </c>
      <c r="C73" s="25" t="s">
        <v>65</v>
      </c>
      <c r="D73" s="26">
        <f>E17</f>
        <v>190958.98</v>
      </c>
      <c r="E73" s="27">
        <f>D73/E21</f>
        <v>4.5902452892640951E-3</v>
      </c>
    </row>
    <row r="74" spans="2:5">
      <c r="B74" s="126" t="s">
        <v>64</v>
      </c>
      <c r="C74" s="127" t="s">
        <v>66</v>
      </c>
      <c r="D74" s="128">
        <f>D58+D71+D72-D73</f>
        <v>41601040.460000008</v>
      </c>
      <c r="E74" s="68">
        <f>E58+E72-E73</f>
        <v>0.99999988942584261</v>
      </c>
    </row>
    <row r="75" spans="2:5">
      <c r="B75" s="15" t="s">
        <v>4</v>
      </c>
      <c r="C75" s="16" t="s">
        <v>67</v>
      </c>
      <c r="D75" s="80">
        <f>D74</f>
        <v>41601040.460000008</v>
      </c>
      <c r="E75" s="81">
        <f>E74</f>
        <v>0.99999988942584261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140"/>
      <c r="C4" s="140"/>
      <c r="D4" s="140"/>
      <c r="E4" s="140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118</v>
      </c>
      <c r="C6" s="311"/>
      <c r="D6" s="311"/>
      <c r="E6" s="311"/>
    </row>
    <row r="7" spans="2:8" ht="14.25">
      <c r="B7" s="139"/>
      <c r="C7" s="139"/>
      <c r="D7" s="139"/>
      <c r="E7" s="139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141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323622.02</v>
      </c>
      <c r="E11" s="9">
        <f>E12</f>
        <v>242885.37</v>
      </c>
    </row>
    <row r="12" spans="2:8">
      <c r="B12" s="112" t="s">
        <v>4</v>
      </c>
      <c r="C12" s="6" t="s">
        <v>5</v>
      </c>
      <c r="D12" s="235">
        <v>323622.02</v>
      </c>
      <c r="E12" s="87">
        <f>242893.47-8.1</f>
        <v>242885.37</v>
      </c>
    </row>
    <row r="13" spans="2:8">
      <c r="B13" s="112" t="s">
        <v>6</v>
      </c>
      <c r="C13" s="70" t="s">
        <v>7</v>
      </c>
      <c r="D13" s="235"/>
      <c r="E13" s="87"/>
    </row>
    <row r="14" spans="2:8">
      <c r="B14" s="112" t="s">
        <v>8</v>
      </c>
      <c r="C14" s="70" t="s">
        <v>10</v>
      </c>
      <c r="D14" s="235"/>
      <c r="E14" s="87"/>
    </row>
    <row r="15" spans="2:8">
      <c r="B15" s="112" t="s">
        <v>187</v>
      </c>
      <c r="C15" s="70" t="s">
        <v>11</v>
      </c>
      <c r="D15" s="235"/>
      <c r="E15" s="87"/>
    </row>
    <row r="16" spans="2:8">
      <c r="B16" s="113" t="s">
        <v>188</v>
      </c>
      <c r="C16" s="96" t="s">
        <v>12</v>
      </c>
      <c r="D16" s="236"/>
      <c r="E16" s="88"/>
    </row>
    <row r="17" spans="2:7">
      <c r="B17" s="10" t="s">
        <v>13</v>
      </c>
      <c r="C17" s="12" t="s">
        <v>65</v>
      </c>
      <c r="D17" s="264"/>
      <c r="E17" s="98"/>
    </row>
    <row r="18" spans="2:7">
      <c r="B18" s="112" t="s">
        <v>4</v>
      </c>
      <c r="C18" s="6" t="s">
        <v>11</v>
      </c>
      <c r="D18" s="235"/>
      <c r="E18" s="88"/>
    </row>
    <row r="19" spans="2:7" ht="15" customHeight="1">
      <c r="B19" s="112" t="s">
        <v>6</v>
      </c>
      <c r="C19" s="70" t="s">
        <v>189</v>
      </c>
      <c r="D19" s="235"/>
      <c r="E19" s="87"/>
    </row>
    <row r="20" spans="2:7" ht="13.5" thickBot="1">
      <c r="B20" s="114" t="s">
        <v>8</v>
      </c>
      <c r="C20" s="71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323622.02</v>
      </c>
      <c r="E21" s="154">
        <f>E11</f>
        <v>242885.37</v>
      </c>
      <c r="F21" s="79"/>
      <c r="G21" s="69"/>
    </row>
    <row r="22" spans="2:7">
      <c r="B22" s="3"/>
      <c r="C22" s="7"/>
      <c r="D22" s="8"/>
      <c r="E22" s="8"/>
    </row>
    <row r="23" spans="2:7" ht="13.5">
      <c r="B23" s="313" t="s">
        <v>185</v>
      </c>
      <c r="C23" s="321"/>
      <c r="D23" s="321"/>
      <c r="E23" s="321"/>
    </row>
    <row r="24" spans="2:7" ht="15.75" customHeight="1" thickBot="1">
      <c r="B24" s="312" t="s">
        <v>186</v>
      </c>
      <c r="C24" s="322"/>
      <c r="D24" s="322"/>
      <c r="E24" s="322"/>
    </row>
    <row r="25" spans="2:7" ht="13.5" thickBot="1">
      <c r="B25" s="141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245243.76</v>
      </c>
      <c r="E26" s="274">
        <f>D21</f>
        <v>323622.02</v>
      </c>
    </row>
    <row r="27" spans="2:7">
      <c r="B27" s="10" t="s">
        <v>17</v>
      </c>
      <c r="C27" s="11" t="s">
        <v>192</v>
      </c>
      <c r="D27" s="207">
        <v>178413.13</v>
      </c>
      <c r="E27" s="243">
        <f>E28-E32</f>
        <v>-67814.260000000009</v>
      </c>
      <c r="F27" s="73"/>
    </row>
    <row r="28" spans="2:7">
      <c r="B28" s="10" t="s">
        <v>18</v>
      </c>
      <c r="C28" s="11" t="s">
        <v>19</v>
      </c>
      <c r="D28" s="207">
        <v>379770.23</v>
      </c>
      <c r="E28" s="244">
        <f>SUM(E29:E31)</f>
        <v>14738.46</v>
      </c>
      <c r="F28" s="73"/>
    </row>
    <row r="29" spans="2:7">
      <c r="B29" s="110" t="s">
        <v>4</v>
      </c>
      <c r="C29" s="6" t="s">
        <v>20</v>
      </c>
      <c r="D29" s="208">
        <v>6920.19</v>
      </c>
      <c r="E29" s="246">
        <v>8104.33</v>
      </c>
      <c r="F29" s="73"/>
    </row>
    <row r="30" spans="2:7">
      <c r="B30" s="110" t="s">
        <v>6</v>
      </c>
      <c r="C30" s="6" t="s">
        <v>21</v>
      </c>
      <c r="D30" s="208"/>
      <c r="E30" s="246"/>
      <c r="F30" s="73"/>
    </row>
    <row r="31" spans="2:7">
      <c r="B31" s="110" t="s">
        <v>8</v>
      </c>
      <c r="C31" s="6" t="s">
        <v>22</v>
      </c>
      <c r="D31" s="208">
        <v>372850.04</v>
      </c>
      <c r="E31" s="246">
        <v>6634.13</v>
      </c>
      <c r="F31" s="73"/>
    </row>
    <row r="32" spans="2:7">
      <c r="B32" s="97" t="s">
        <v>23</v>
      </c>
      <c r="C32" s="12" t="s">
        <v>24</v>
      </c>
      <c r="D32" s="207">
        <v>201357.09999999998</v>
      </c>
      <c r="E32" s="244">
        <f>SUM(E33:E39)</f>
        <v>82552.72</v>
      </c>
      <c r="F32" s="73"/>
    </row>
    <row r="33" spans="2:6">
      <c r="B33" s="110" t="s">
        <v>4</v>
      </c>
      <c r="C33" s="6" t="s">
        <v>25</v>
      </c>
      <c r="D33" s="208">
        <v>134017.46</v>
      </c>
      <c r="E33" s="246">
        <f>46912.63-0.25</f>
        <v>46912.38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669.99</v>
      </c>
      <c r="E35" s="246">
        <v>538.52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3902.28</v>
      </c>
      <c r="E37" s="246">
        <v>2035.07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62767.37</v>
      </c>
      <c r="E39" s="248">
        <v>33066.75</v>
      </c>
      <c r="F39" s="73"/>
    </row>
    <row r="40" spans="2:6" ht="13.5" thickBot="1">
      <c r="B40" s="103" t="s">
        <v>35</v>
      </c>
      <c r="C40" s="104" t="s">
        <v>36</v>
      </c>
      <c r="D40" s="210">
        <v>61815.28</v>
      </c>
      <c r="E40" s="275">
        <v>-12922.39</v>
      </c>
    </row>
    <row r="41" spans="2:6" ht="13.5" thickBot="1">
      <c r="B41" s="105" t="s">
        <v>37</v>
      </c>
      <c r="C41" s="106" t="s">
        <v>38</v>
      </c>
      <c r="D41" s="211">
        <v>485472.17000000004</v>
      </c>
      <c r="E41" s="154">
        <f>E26+E27+E40</f>
        <v>242885.37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972.84209999999996</v>
      </c>
      <c r="E47" s="155">
        <v>1100.6803</v>
      </c>
    </row>
    <row r="48" spans="2:6">
      <c r="B48" s="129" t="s">
        <v>6</v>
      </c>
      <c r="C48" s="23" t="s">
        <v>41</v>
      </c>
      <c r="D48" s="213">
        <v>1632.7173269657633</v>
      </c>
      <c r="E48" s="155">
        <v>852.05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252.09</v>
      </c>
      <c r="E50" s="155">
        <v>294.02</v>
      </c>
    </row>
    <row r="51" spans="2:5">
      <c r="B51" s="108" t="s">
        <v>6</v>
      </c>
      <c r="C51" s="16" t="s">
        <v>195</v>
      </c>
      <c r="D51" s="215">
        <v>252.09</v>
      </c>
      <c r="E51" s="77">
        <v>268.69</v>
      </c>
    </row>
    <row r="52" spans="2:5">
      <c r="B52" s="108" t="s">
        <v>8</v>
      </c>
      <c r="C52" s="16" t="s">
        <v>196</v>
      </c>
      <c r="D52" s="215">
        <v>299.66000000000003</v>
      </c>
      <c r="E52" s="77">
        <v>307.20999999999998</v>
      </c>
    </row>
    <row r="53" spans="2:5" ht="12.75" customHeight="1" thickBot="1">
      <c r="B53" s="109" t="s">
        <v>9</v>
      </c>
      <c r="C53" s="18" t="s">
        <v>41</v>
      </c>
      <c r="D53" s="216">
        <v>297.33999999999997</v>
      </c>
      <c r="E53" s="281">
        <v>285.06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242885.37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242885.37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242885.37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242885.37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0"/>
      <c r="C4" s="140"/>
      <c r="D4" s="140"/>
      <c r="E4" s="14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123</v>
      </c>
      <c r="C6" s="311"/>
      <c r="D6" s="311"/>
      <c r="E6" s="311"/>
    </row>
    <row r="7" spans="2:5" ht="14.25">
      <c r="B7" s="139"/>
      <c r="C7" s="139"/>
      <c r="D7" s="139"/>
      <c r="E7" s="139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1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1722218.72</v>
      </c>
      <c r="E11" s="9">
        <f>E12</f>
        <v>1351776.27</v>
      </c>
    </row>
    <row r="12" spans="2:5">
      <c r="B12" s="180" t="s">
        <v>4</v>
      </c>
      <c r="C12" s="181" t="s">
        <v>5</v>
      </c>
      <c r="D12" s="235">
        <v>1722218.72</v>
      </c>
      <c r="E12" s="87">
        <v>1351776.27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1722218.72</v>
      </c>
      <c r="E21" s="154">
        <f>E11</f>
        <v>1351776.27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2770597.41</v>
      </c>
      <c r="E26" s="274">
        <f>D21</f>
        <v>1722218.72</v>
      </c>
    </row>
    <row r="27" spans="2:6">
      <c r="B27" s="10" t="s">
        <v>17</v>
      </c>
      <c r="C27" s="11" t="s">
        <v>192</v>
      </c>
      <c r="D27" s="207">
        <v>-1626764.8199999998</v>
      </c>
      <c r="E27" s="243">
        <f>E28-E32</f>
        <v>-524472.06999999995</v>
      </c>
      <c r="F27" s="73"/>
    </row>
    <row r="28" spans="2:6">
      <c r="B28" s="10" t="s">
        <v>18</v>
      </c>
      <c r="C28" s="11" t="s">
        <v>19</v>
      </c>
      <c r="D28" s="207">
        <v>59579.040000000001</v>
      </c>
      <c r="E28" s="244">
        <f>SUM(E29:E31)</f>
        <v>6101.1100000000006</v>
      </c>
      <c r="F28" s="73"/>
    </row>
    <row r="29" spans="2:6">
      <c r="B29" s="188" t="s">
        <v>4</v>
      </c>
      <c r="C29" s="181" t="s">
        <v>20</v>
      </c>
      <c r="D29" s="208">
        <v>2400</v>
      </c>
      <c r="E29" s="246">
        <v>449.98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57179.040000000001</v>
      </c>
      <c r="E31" s="246">
        <v>5651.13</v>
      </c>
      <c r="F31" s="73"/>
    </row>
    <row r="32" spans="2:6">
      <c r="B32" s="97" t="s">
        <v>23</v>
      </c>
      <c r="C32" s="12" t="s">
        <v>24</v>
      </c>
      <c r="D32" s="207">
        <v>1686343.8599999999</v>
      </c>
      <c r="E32" s="244">
        <f>SUM(E33:E39)</f>
        <v>530573.17999999993</v>
      </c>
      <c r="F32" s="73"/>
    </row>
    <row r="33" spans="2:6">
      <c r="B33" s="188" t="s">
        <v>4</v>
      </c>
      <c r="C33" s="181" t="s">
        <v>25</v>
      </c>
      <c r="D33" s="208">
        <v>690881.69</v>
      </c>
      <c r="E33" s="246">
        <v>479085.94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596.28</v>
      </c>
      <c r="E35" s="246">
        <v>470.1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17752.900000000001</v>
      </c>
      <c r="E37" s="246">
        <v>15957.18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977112.99</v>
      </c>
      <c r="E39" s="248">
        <v>35059.96</v>
      </c>
      <c r="F39" s="73"/>
    </row>
    <row r="40" spans="2:6" ht="13.5" thickBot="1">
      <c r="B40" s="103" t="s">
        <v>35</v>
      </c>
      <c r="C40" s="104" t="s">
        <v>36</v>
      </c>
      <c r="D40" s="210">
        <v>204863.43</v>
      </c>
      <c r="E40" s="275">
        <v>154029.62</v>
      </c>
    </row>
    <row r="41" spans="2:6" ht="13.5" thickBot="1">
      <c r="B41" s="105" t="s">
        <v>37</v>
      </c>
      <c r="C41" s="106" t="s">
        <v>38</v>
      </c>
      <c r="D41" s="211">
        <v>1348696.0200000003</v>
      </c>
      <c r="E41" s="154">
        <f>E26+E27+E40</f>
        <v>1351776.27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5771.2362999999996</v>
      </c>
      <c r="E47" s="155">
        <v>3028.3431</v>
      </c>
    </row>
    <row r="48" spans="2:6">
      <c r="B48" s="193" t="s">
        <v>6</v>
      </c>
      <c r="C48" s="194" t="s">
        <v>41</v>
      </c>
      <c r="D48" s="213">
        <v>2536.1439999999998</v>
      </c>
      <c r="E48" s="155">
        <v>2159.4904999999999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480.07</v>
      </c>
      <c r="E50" s="155">
        <v>568.70000000000005</v>
      </c>
    </row>
    <row r="51" spans="2:5">
      <c r="B51" s="191" t="s">
        <v>6</v>
      </c>
      <c r="C51" s="192" t="s">
        <v>195</v>
      </c>
      <c r="D51" s="215">
        <v>480.07</v>
      </c>
      <c r="E51" s="155">
        <v>568.30999999999995</v>
      </c>
    </row>
    <row r="52" spans="2:5">
      <c r="B52" s="191" t="s">
        <v>8</v>
      </c>
      <c r="C52" s="192" t="s">
        <v>196</v>
      </c>
      <c r="D52" s="215">
        <v>540.04</v>
      </c>
      <c r="E52" s="155">
        <v>645.46</v>
      </c>
    </row>
    <row r="53" spans="2:5" ht="13.5" customHeight="1" thickBot="1">
      <c r="B53" s="195" t="s">
        <v>9</v>
      </c>
      <c r="C53" s="196" t="s">
        <v>41</v>
      </c>
      <c r="D53" s="216">
        <v>531.79</v>
      </c>
      <c r="E53" s="281">
        <v>625.97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1351776.27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1351776.27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1351776.27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1351776.27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0"/>
      <c r="C4" s="140"/>
      <c r="D4" s="140"/>
      <c r="E4" s="14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119</v>
      </c>
      <c r="C6" s="311"/>
      <c r="D6" s="311"/>
      <c r="E6" s="311"/>
    </row>
    <row r="7" spans="2:5" ht="14.25">
      <c r="B7" s="139"/>
      <c r="C7" s="139"/>
      <c r="D7" s="139"/>
      <c r="E7" s="139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1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67733.87</v>
      </c>
      <c r="E11" s="9">
        <f>E12</f>
        <v>30008.81</v>
      </c>
    </row>
    <row r="12" spans="2:5">
      <c r="B12" s="180" t="s">
        <v>4</v>
      </c>
      <c r="C12" s="181" t="s">
        <v>5</v>
      </c>
      <c r="D12" s="235">
        <v>67733.87</v>
      </c>
      <c r="E12" s="87">
        <f>30062.31-53.5</f>
        <v>30008.81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67733.87</v>
      </c>
      <c r="E21" s="154">
        <f>E11</f>
        <v>30008.81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103421.04</v>
      </c>
      <c r="E26" s="274">
        <f>D21</f>
        <v>67733.87</v>
      </c>
    </row>
    <row r="27" spans="2:6">
      <c r="B27" s="10" t="s">
        <v>17</v>
      </c>
      <c r="C27" s="11" t="s">
        <v>192</v>
      </c>
      <c r="D27" s="207">
        <v>-30851.599999999999</v>
      </c>
      <c r="E27" s="243">
        <f>E28-E32</f>
        <v>-32621.829999999998</v>
      </c>
      <c r="F27" s="73"/>
    </row>
    <row r="28" spans="2:6">
      <c r="B28" s="10" t="s">
        <v>18</v>
      </c>
      <c r="C28" s="11" t="s">
        <v>19</v>
      </c>
      <c r="D28" s="207">
        <v>14149.4</v>
      </c>
      <c r="E28" s="244">
        <f>SUM(E29:E31)</f>
        <v>7235.44</v>
      </c>
      <c r="F28" s="73"/>
    </row>
    <row r="29" spans="2:6">
      <c r="B29" s="188" t="s">
        <v>4</v>
      </c>
      <c r="C29" s="181" t="s">
        <v>20</v>
      </c>
      <c r="D29" s="208">
        <v>4257.75</v>
      </c>
      <c r="E29" s="246">
        <v>857.49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9891.65</v>
      </c>
      <c r="E31" s="246">
        <v>6377.95</v>
      </c>
      <c r="F31" s="73"/>
    </row>
    <row r="32" spans="2:6">
      <c r="B32" s="97" t="s">
        <v>23</v>
      </c>
      <c r="C32" s="12" t="s">
        <v>24</v>
      </c>
      <c r="D32" s="207">
        <v>45001</v>
      </c>
      <c r="E32" s="244">
        <f>SUM(E33:E39)</f>
        <v>39857.269999999997</v>
      </c>
      <c r="F32" s="73"/>
    </row>
    <row r="33" spans="2:6">
      <c r="B33" s="188" t="s">
        <v>4</v>
      </c>
      <c r="C33" s="181" t="s">
        <v>25</v>
      </c>
      <c r="D33" s="208">
        <v>351.79</v>
      </c>
      <c r="E33" s="246">
        <f>2033.66+53.5</f>
        <v>2087.16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195.25</v>
      </c>
      <c r="E35" s="246">
        <v>166.29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447.72</v>
      </c>
      <c r="E37" s="246">
        <v>360.01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44006.239999999998</v>
      </c>
      <c r="E39" s="248">
        <v>37243.81</v>
      </c>
      <c r="F39" s="73"/>
    </row>
    <row r="40" spans="2:6" ht="13.5" thickBot="1">
      <c r="B40" s="103" t="s">
        <v>35</v>
      </c>
      <c r="C40" s="104" t="s">
        <v>36</v>
      </c>
      <c r="D40" s="210">
        <v>-2630.67</v>
      </c>
      <c r="E40" s="275">
        <v>-5103.2299999999996</v>
      </c>
    </row>
    <row r="41" spans="2:6" ht="13.5" thickBot="1">
      <c r="B41" s="105" t="s">
        <v>37</v>
      </c>
      <c r="C41" s="106" t="s">
        <v>38</v>
      </c>
      <c r="D41" s="211">
        <v>69938.77</v>
      </c>
      <c r="E41" s="154">
        <f>E26+E27+E40</f>
        <v>30008.809999999994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684.3184</v>
      </c>
      <c r="E47" s="155">
        <v>420.18529999999998</v>
      </c>
    </row>
    <row r="48" spans="2:6">
      <c r="B48" s="193" t="s">
        <v>6</v>
      </c>
      <c r="C48" s="194" t="s">
        <v>41</v>
      </c>
      <c r="D48" s="213">
        <v>491.62639999999999</v>
      </c>
      <c r="E48" s="155">
        <v>208.81504000000001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151.13</v>
      </c>
      <c r="E50" s="155">
        <v>161.19999999999999</v>
      </c>
    </row>
    <row r="51" spans="2:5">
      <c r="B51" s="191" t="s">
        <v>6</v>
      </c>
      <c r="C51" s="192" t="s">
        <v>195</v>
      </c>
      <c r="D51" s="215">
        <v>140.19999999999999</v>
      </c>
      <c r="E51" s="77">
        <v>140.44</v>
      </c>
    </row>
    <row r="52" spans="2:5">
      <c r="B52" s="191" t="s">
        <v>8</v>
      </c>
      <c r="C52" s="192" t="s">
        <v>196</v>
      </c>
      <c r="D52" s="215">
        <v>169.15</v>
      </c>
      <c r="E52" s="77">
        <v>168.28</v>
      </c>
    </row>
    <row r="53" spans="2:5" ht="14.25" customHeight="1" thickBot="1">
      <c r="B53" s="195" t="s">
        <v>9</v>
      </c>
      <c r="C53" s="196" t="s">
        <v>41</v>
      </c>
      <c r="D53" s="216">
        <v>142.26</v>
      </c>
      <c r="E53" s="281">
        <v>143.71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30008.81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30008.81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30008.81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30008.81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120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75110.64</v>
      </c>
      <c r="E11" s="9">
        <f>E12</f>
        <v>57890.899999999994</v>
      </c>
    </row>
    <row r="12" spans="2:7">
      <c r="B12" s="180" t="s">
        <v>4</v>
      </c>
      <c r="C12" s="181" t="s">
        <v>5</v>
      </c>
      <c r="D12" s="235">
        <v>75110.64</v>
      </c>
      <c r="E12" s="87">
        <f>59763.06-1872.16</f>
        <v>57890.899999999994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75110.64</v>
      </c>
      <c r="E21" s="154">
        <f>E11</f>
        <v>57890.899999999994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85717.95</v>
      </c>
      <c r="E26" s="274">
        <f>D21</f>
        <v>75110.64</v>
      </c>
    </row>
    <row r="27" spans="2:6">
      <c r="B27" s="10" t="s">
        <v>17</v>
      </c>
      <c r="C27" s="11" t="s">
        <v>192</v>
      </c>
      <c r="D27" s="207">
        <v>-22426.799999999999</v>
      </c>
      <c r="E27" s="243">
        <f>E28-E32</f>
        <v>-15398.970000000001</v>
      </c>
      <c r="F27" s="73"/>
    </row>
    <row r="28" spans="2:6">
      <c r="B28" s="10" t="s">
        <v>18</v>
      </c>
      <c r="C28" s="11" t="s">
        <v>19</v>
      </c>
      <c r="D28" s="207">
        <v>3856.81</v>
      </c>
      <c r="E28" s="244">
        <f>SUM(E29:E31)</f>
        <v>5978.46</v>
      </c>
      <c r="F28" s="73"/>
    </row>
    <row r="29" spans="2:6">
      <c r="B29" s="188" t="s">
        <v>4</v>
      </c>
      <c r="C29" s="181" t="s">
        <v>20</v>
      </c>
      <c r="D29" s="208">
        <v>2096.29</v>
      </c>
      <c r="E29" s="246">
        <v>2385.13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1760.52</v>
      </c>
      <c r="E31" s="246">
        <v>3593.33</v>
      </c>
      <c r="F31" s="73"/>
    </row>
    <row r="32" spans="2:6">
      <c r="B32" s="97" t="s">
        <v>23</v>
      </c>
      <c r="C32" s="12" t="s">
        <v>24</v>
      </c>
      <c r="D32" s="207">
        <v>26283.61</v>
      </c>
      <c r="E32" s="244">
        <f>SUM(E33:E39)</f>
        <v>21377.43</v>
      </c>
      <c r="F32" s="73"/>
    </row>
    <row r="33" spans="2:6">
      <c r="B33" s="188" t="s">
        <v>4</v>
      </c>
      <c r="C33" s="181" t="s">
        <v>25</v>
      </c>
      <c r="D33" s="208">
        <v>9497.6299999999992</v>
      </c>
      <c r="E33" s="246">
        <f>930.99+1857.93</f>
        <v>2788.92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243.56</v>
      </c>
      <c r="E35" s="246">
        <v>271.42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400.08</v>
      </c>
      <c r="E37" s="246">
        <v>293.81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16142.34</v>
      </c>
      <c r="E39" s="248">
        <v>18023.28</v>
      </c>
      <c r="F39" s="73"/>
    </row>
    <row r="40" spans="2:6" ht="13.5" thickBot="1">
      <c r="B40" s="103" t="s">
        <v>35</v>
      </c>
      <c r="C40" s="104" t="s">
        <v>36</v>
      </c>
      <c r="D40" s="210">
        <v>2701.76</v>
      </c>
      <c r="E40" s="275">
        <v>-1820.77</v>
      </c>
    </row>
    <row r="41" spans="2:6" ht="13.5" thickBot="1">
      <c r="B41" s="105" t="s">
        <v>37</v>
      </c>
      <c r="C41" s="106" t="s">
        <v>38</v>
      </c>
      <c r="D41" s="211">
        <v>65992.909999999989</v>
      </c>
      <c r="E41" s="154">
        <f>E26+E27+E40</f>
        <v>57890.9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91">
        <v>1203.0589</v>
      </c>
      <c r="E47" s="155">
        <v>905.60209999999995</v>
      </c>
    </row>
    <row r="48" spans="2:6">
      <c r="B48" s="193" t="s">
        <v>6</v>
      </c>
      <c r="C48" s="194" t="s">
        <v>41</v>
      </c>
      <c r="D48" s="291">
        <v>894.69780368763554</v>
      </c>
      <c r="E48" s="155">
        <v>715.67439999999999</v>
      </c>
    </row>
    <row r="49" spans="2:5">
      <c r="B49" s="126" t="s">
        <v>23</v>
      </c>
      <c r="C49" s="130" t="s">
        <v>194</v>
      </c>
      <c r="D49" s="291"/>
      <c r="E49" s="155"/>
    </row>
    <row r="50" spans="2:5">
      <c r="B50" s="191" t="s">
        <v>4</v>
      </c>
      <c r="C50" s="192" t="s">
        <v>40</v>
      </c>
      <c r="D50" s="291">
        <v>71.25</v>
      </c>
      <c r="E50" s="155">
        <v>82.94</v>
      </c>
    </row>
    <row r="51" spans="2:5">
      <c r="B51" s="191" t="s">
        <v>6</v>
      </c>
      <c r="C51" s="192" t="s">
        <v>195</v>
      </c>
      <c r="D51" s="292">
        <v>70.84</v>
      </c>
      <c r="E51" s="77">
        <v>79.81</v>
      </c>
    </row>
    <row r="52" spans="2:5">
      <c r="B52" s="191" t="s">
        <v>8</v>
      </c>
      <c r="C52" s="192" t="s">
        <v>196</v>
      </c>
      <c r="D52" s="292">
        <v>78.59</v>
      </c>
      <c r="E52" s="77">
        <v>88.68</v>
      </c>
    </row>
    <row r="53" spans="2:5" ht="13.5" customHeight="1" thickBot="1">
      <c r="B53" s="195" t="s">
        <v>9</v>
      </c>
      <c r="C53" s="196" t="s">
        <v>41</v>
      </c>
      <c r="D53" s="216">
        <v>73.760000000000005</v>
      </c>
      <c r="E53" s="281">
        <v>80.89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57890.899999999994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57890.899999999994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57890.899999999994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57890.899999999994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117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180195.43000000002</v>
      </c>
      <c r="E11" s="9">
        <f>E12</f>
        <v>160300.70000000001</v>
      </c>
    </row>
    <row r="12" spans="2:7">
      <c r="B12" s="112" t="s">
        <v>4</v>
      </c>
      <c r="C12" s="6" t="s">
        <v>5</v>
      </c>
      <c r="D12" s="235">
        <v>180195.43000000002</v>
      </c>
      <c r="E12" s="87">
        <f>160778.07-477.37</f>
        <v>160300.70000000001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180195.43000000002</v>
      </c>
      <c r="E21" s="154">
        <f>E11-E17</f>
        <v>160300.70000000001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4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309732.07</v>
      </c>
      <c r="E26" s="274">
        <f>D21</f>
        <v>180195.43000000002</v>
      </c>
    </row>
    <row r="27" spans="2:6">
      <c r="B27" s="10" t="s">
        <v>17</v>
      </c>
      <c r="C27" s="11" t="s">
        <v>192</v>
      </c>
      <c r="D27" s="207">
        <v>-39450.739999999991</v>
      </c>
      <c r="E27" s="243">
        <f>E28-E32</f>
        <v>-9142.14</v>
      </c>
      <c r="F27" s="73"/>
    </row>
    <row r="28" spans="2:6">
      <c r="B28" s="10" t="s">
        <v>18</v>
      </c>
      <c r="C28" s="11" t="s">
        <v>19</v>
      </c>
      <c r="D28" s="207">
        <v>76583.16</v>
      </c>
      <c r="E28" s="244">
        <f>SUM(E29:E31)</f>
        <v>21957.32</v>
      </c>
      <c r="F28" s="73"/>
    </row>
    <row r="29" spans="2:6">
      <c r="B29" s="110" t="s">
        <v>4</v>
      </c>
      <c r="C29" s="6" t="s">
        <v>20</v>
      </c>
      <c r="D29" s="208">
        <v>7792.35</v>
      </c>
      <c r="E29" s="246">
        <v>5193.41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68790.81</v>
      </c>
      <c r="E31" s="246">
        <v>16763.91</v>
      </c>
      <c r="F31" s="73"/>
    </row>
    <row r="32" spans="2:6">
      <c r="B32" s="97" t="s">
        <v>23</v>
      </c>
      <c r="C32" s="12" t="s">
        <v>24</v>
      </c>
      <c r="D32" s="207">
        <v>116033.9</v>
      </c>
      <c r="E32" s="244">
        <f>SUM(E33:E39)</f>
        <v>31099.46</v>
      </c>
      <c r="F32" s="73"/>
    </row>
    <row r="33" spans="2:6">
      <c r="B33" s="110" t="s">
        <v>4</v>
      </c>
      <c r="C33" s="6" t="s">
        <v>25</v>
      </c>
      <c r="D33" s="208">
        <v>11082.42</v>
      </c>
      <c r="E33" s="246">
        <f>8086.83+241.91</f>
        <v>8328.74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1061.17</v>
      </c>
      <c r="E35" s="246">
        <v>725.13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1828.66</v>
      </c>
      <c r="E37" s="246">
        <v>1070.8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102061.65</v>
      </c>
      <c r="E39" s="248">
        <v>20974.79</v>
      </c>
      <c r="F39" s="73"/>
    </row>
    <row r="40" spans="2:6" ht="13.5" thickBot="1">
      <c r="B40" s="103" t="s">
        <v>35</v>
      </c>
      <c r="C40" s="104" t="s">
        <v>36</v>
      </c>
      <c r="D40" s="210">
        <v>2075.35</v>
      </c>
      <c r="E40" s="275">
        <v>-10752.59</v>
      </c>
    </row>
    <row r="41" spans="2:6" ht="13.5" thickBot="1">
      <c r="B41" s="105" t="s">
        <v>37</v>
      </c>
      <c r="C41" s="106" t="s">
        <v>38</v>
      </c>
      <c r="D41" s="211">
        <v>272356.68</v>
      </c>
      <c r="E41" s="154">
        <f>E26+E27+E40</f>
        <v>160300.70000000004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2154.9576999999999</v>
      </c>
      <c r="E47" s="155">
        <v>1243.92814</v>
      </c>
    </row>
    <row r="48" spans="2:6">
      <c r="B48" s="129" t="s">
        <v>6</v>
      </c>
      <c r="C48" s="23" t="s">
        <v>41</v>
      </c>
      <c r="D48" s="213">
        <v>1882.7366238075488</v>
      </c>
      <c r="E48" s="155">
        <v>1177.21011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143.72999999999999</v>
      </c>
      <c r="E50" s="155">
        <v>144.86000000000001</v>
      </c>
    </row>
    <row r="51" spans="2:5">
      <c r="B51" s="108" t="s">
        <v>6</v>
      </c>
      <c r="C51" s="16" t="s">
        <v>195</v>
      </c>
      <c r="D51" s="215">
        <v>143.66999999999999</v>
      </c>
      <c r="E51" s="155">
        <v>136.1</v>
      </c>
    </row>
    <row r="52" spans="2:5">
      <c r="B52" s="108" t="s">
        <v>8</v>
      </c>
      <c r="C52" s="16" t="s">
        <v>196</v>
      </c>
      <c r="D52" s="215">
        <v>155.35</v>
      </c>
      <c r="E52" s="77">
        <v>150.49</v>
      </c>
    </row>
    <row r="53" spans="2:5" ht="12.75" customHeight="1" thickBot="1">
      <c r="B53" s="109" t="s">
        <v>9</v>
      </c>
      <c r="C53" s="18" t="s">
        <v>41</v>
      </c>
      <c r="D53" s="216">
        <v>144.66</v>
      </c>
      <c r="E53" s="281">
        <v>136.16999999999999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160300.70000000001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160300.70000000001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160300.70000000001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160300.70000000001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183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261740.12</v>
      </c>
      <c r="E11" s="9">
        <f>E12</f>
        <v>82985.66</v>
      </c>
    </row>
    <row r="12" spans="2:7">
      <c r="B12" s="112" t="s">
        <v>4</v>
      </c>
      <c r="C12" s="6" t="s">
        <v>5</v>
      </c>
      <c r="D12" s="235">
        <v>261740.12</v>
      </c>
      <c r="E12" s="87">
        <v>82985.66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261740.12</v>
      </c>
      <c r="E21" s="154">
        <f>E11</f>
        <v>82985.66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4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260732.79999999999</v>
      </c>
      <c r="E26" s="274">
        <f>D21</f>
        <v>261740.12</v>
      </c>
    </row>
    <row r="27" spans="2:6">
      <c r="B27" s="10" t="s">
        <v>17</v>
      </c>
      <c r="C27" s="11" t="s">
        <v>192</v>
      </c>
      <c r="D27" s="207">
        <v>52626.22</v>
      </c>
      <c r="E27" s="243">
        <f>E28-E32</f>
        <v>-181509.74</v>
      </c>
      <c r="F27" s="73"/>
    </row>
    <row r="28" spans="2:6">
      <c r="B28" s="10" t="s">
        <v>18</v>
      </c>
      <c r="C28" s="11" t="s">
        <v>19</v>
      </c>
      <c r="D28" s="207">
        <v>55451.340000000004</v>
      </c>
      <c r="E28" s="244">
        <f>SUM(E29:E31)</f>
        <v>3567.5299999999997</v>
      </c>
      <c r="F28" s="73"/>
    </row>
    <row r="29" spans="2:6">
      <c r="B29" s="110" t="s">
        <v>4</v>
      </c>
      <c r="C29" s="6" t="s">
        <v>20</v>
      </c>
      <c r="D29" s="208">
        <v>1587.68</v>
      </c>
      <c r="E29" s="246">
        <v>1850.67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53863.66</v>
      </c>
      <c r="E31" s="246">
        <v>1716.86</v>
      </c>
      <c r="F31" s="73"/>
    </row>
    <row r="32" spans="2:6">
      <c r="B32" s="97" t="s">
        <v>23</v>
      </c>
      <c r="C32" s="12" t="s">
        <v>24</v>
      </c>
      <c r="D32" s="207">
        <v>2825.1200000000003</v>
      </c>
      <c r="E32" s="244">
        <f>SUM(E33:E39)</f>
        <v>185077.27</v>
      </c>
      <c r="F32" s="73"/>
    </row>
    <row r="33" spans="2:6">
      <c r="B33" s="110" t="s">
        <v>4</v>
      </c>
      <c r="C33" s="6" t="s">
        <v>25</v>
      </c>
      <c r="D33" s="208"/>
      <c r="E33" s="246">
        <v>180907.96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295.26</v>
      </c>
      <c r="E35" s="246">
        <v>270.52999999999997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2395.17</v>
      </c>
      <c r="E37" s="246">
        <v>1362.56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134.69</v>
      </c>
      <c r="E39" s="248">
        <v>2536.2199999999998</v>
      </c>
      <c r="F39" s="73"/>
    </row>
    <row r="40" spans="2:6" ht="13.5" thickBot="1">
      <c r="B40" s="103" t="s">
        <v>35</v>
      </c>
      <c r="C40" s="104" t="s">
        <v>36</v>
      </c>
      <c r="D40" s="210">
        <v>3831.94</v>
      </c>
      <c r="E40" s="275">
        <v>2755.28</v>
      </c>
    </row>
    <row r="41" spans="2:6" ht="13.5" thickBot="1">
      <c r="B41" s="105" t="s">
        <v>37</v>
      </c>
      <c r="C41" s="106" t="s">
        <v>38</v>
      </c>
      <c r="D41" s="211">
        <v>317190.96000000002</v>
      </c>
      <c r="E41" s="154">
        <f>E26+E27+E40</f>
        <v>82985.66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2003.0175999999999</v>
      </c>
      <c r="E47" s="155">
        <v>1957.3744999999999</v>
      </c>
    </row>
    <row r="48" spans="2:6">
      <c r="B48" s="129" t="s">
        <v>6</v>
      </c>
      <c r="C48" s="23" t="s">
        <v>41</v>
      </c>
      <c r="D48" s="213">
        <v>2405.3307</v>
      </c>
      <c r="E48" s="155">
        <v>614.43550000000005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130.16999999999999</v>
      </c>
      <c r="E50" s="155">
        <v>133.72</v>
      </c>
    </row>
    <row r="51" spans="2:5">
      <c r="B51" s="108" t="s">
        <v>6</v>
      </c>
      <c r="C51" s="16" t="s">
        <v>195</v>
      </c>
      <c r="D51" s="215">
        <v>130.07</v>
      </c>
      <c r="E51" s="77">
        <v>133.71</v>
      </c>
    </row>
    <row r="52" spans="2:5">
      <c r="B52" s="108" t="s">
        <v>8</v>
      </c>
      <c r="C52" s="16" t="s">
        <v>196</v>
      </c>
      <c r="D52" s="215">
        <v>131.87</v>
      </c>
      <c r="E52" s="77">
        <v>135.35</v>
      </c>
    </row>
    <row r="53" spans="2:5" ht="13.5" customHeight="1" thickBot="1">
      <c r="B53" s="109" t="s">
        <v>9</v>
      </c>
      <c r="C53" s="18" t="s">
        <v>41</v>
      </c>
      <c r="D53" s="216">
        <v>131.87</v>
      </c>
      <c r="E53" s="281">
        <v>135.06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82985.66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82985.66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82985.66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82985.66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0"/>
      <c r="C4" s="140"/>
      <c r="D4" s="140"/>
      <c r="E4" s="14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121</v>
      </c>
      <c r="C6" s="311"/>
      <c r="D6" s="311"/>
      <c r="E6" s="311"/>
    </row>
    <row r="7" spans="2:5" ht="14.25">
      <c r="B7" s="139"/>
      <c r="C7" s="139"/>
      <c r="D7" s="139"/>
      <c r="E7" s="139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1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284556.46999999997</v>
      </c>
      <c r="E11" s="9">
        <f>E12</f>
        <v>261746.53</v>
      </c>
    </row>
    <row r="12" spans="2:5">
      <c r="B12" s="112" t="s">
        <v>4</v>
      </c>
      <c r="C12" s="6" t="s">
        <v>5</v>
      </c>
      <c r="D12" s="235">
        <v>284556.46999999997</v>
      </c>
      <c r="E12" s="87">
        <f>265922.2-4175.67</f>
        <v>261746.53</v>
      </c>
    </row>
    <row r="13" spans="2:5">
      <c r="B13" s="112" t="s">
        <v>6</v>
      </c>
      <c r="C13" s="70" t="s">
        <v>7</v>
      </c>
      <c r="D13" s="235"/>
      <c r="E13" s="87"/>
    </row>
    <row r="14" spans="2:5">
      <c r="B14" s="112" t="s">
        <v>8</v>
      </c>
      <c r="C14" s="70" t="s">
        <v>10</v>
      </c>
      <c r="D14" s="235"/>
      <c r="E14" s="87"/>
    </row>
    <row r="15" spans="2:5">
      <c r="B15" s="112" t="s">
        <v>187</v>
      </c>
      <c r="C15" s="70" t="s">
        <v>11</v>
      </c>
      <c r="D15" s="235"/>
      <c r="E15" s="87"/>
    </row>
    <row r="16" spans="2:5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284556.46999999997</v>
      </c>
      <c r="E21" s="154">
        <f>E11</f>
        <v>261746.53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4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259327.86</v>
      </c>
      <c r="E26" s="274">
        <f>D21</f>
        <v>284556.46999999997</v>
      </c>
    </row>
    <row r="27" spans="2:6">
      <c r="B27" s="10" t="s">
        <v>17</v>
      </c>
      <c r="C27" s="11" t="s">
        <v>192</v>
      </c>
      <c r="D27" s="207">
        <v>-97201.47</v>
      </c>
      <c r="E27" s="243">
        <f>E28-E32</f>
        <v>-32832.11</v>
      </c>
      <c r="F27" s="73"/>
    </row>
    <row r="28" spans="2:6">
      <c r="B28" s="10" t="s">
        <v>18</v>
      </c>
      <c r="C28" s="11" t="s">
        <v>19</v>
      </c>
      <c r="D28" s="207">
        <v>13782.119999999999</v>
      </c>
      <c r="E28" s="244">
        <f>SUM(E29:E31)</f>
        <v>12047.72</v>
      </c>
      <c r="F28" s="73"/>
    </row>
    <row r="29" spans="2:6">
      <c r="B29" s="110" t="s">
        <v>4</v>
      </c>
      <c r="C29" s="6" t="s">
        <v>20</v>
      </c>
      <c r="D29" s="208">
        <v>10470.549999999999</v>
      </c>
      <c r="E29" s="246">
        <v>10064.459999999999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3311.57</v>
      </c>
      <c r="E31" s="246">
        <v>1983.26</v>
      </c>
      <c r="F31" s="73"/>
    </row>
    <row r="32" spans="2:6">
      <c r="B32" s="97" t="s">
        <v>23</v>
      </c>
      <c r="C32" s="12" t="s">
        <v>24</v>
      </c>
      <c r="D32" s="207">
        <v>110983.59</v>
      </c>
      <c r="E32" s="244">
        <f>SUM(E33:E39)</f>
        <v>44879.83</v>
      </c>
      <c r="F32" s="73"/>
    </row>
    <row r="33" spans="2:6">
      <c r="B33" s="110" t="s">
        <v>4</v>
      </c>
      <c r="C33" s="6" t="s">
        <v>25</v>
      </c>
      <c r="D33" s="208">
        <v>11172.6</v>
      </c>
      <c r="E33" s="246">
        <f>11672.08+4175.67</f>
        <v>15847.75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1224.8599999999999</v>
      </c>
      <c r="E35" s="246">
        <v>1002.32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980.99</v>
      </c>
      <c r="E37" s="246">
        <v>1089.54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97605.14</v>
      </c>
      <c r="E39" s="248">
        <v>26940.22</v>
      </c>
      <c r="F39" s="73"/>
    </row>
    <row r="40" spans="2:6" ht="13.5" thickBot="1">
      <c r="B40" s="103" t="s">
        <v>35</v>
      </c>
      <c r="C40" s="104" t="s">
        <v>36</v>
      </c>
      <c r="D40" s="210">
        <v>10303.030000000001</v>
      </c>
      <c r="E40" s="275">
        <v>10022.17</v>
      </c>
    </row>
    <row r="41" spans="2:6" ht="13.5" thickBot="1">
      <c r="B41" s="105" t="s">
        <v>37</v>
      </c>
      <c r="C41" s="106" t="s">
        <v>38</v>
      </c>
      <c r="D41" s="211">
        <v>172429.41999999998</v>
      </c>
      <c r="E41" s="154">
        <f>E26+E27+E40</f>
        <v>261746.53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1245.5708999999999</v>
      </c>
      <c r="E47" s="155">
        <v>1207.0264</v>
      </c>
    </row>
    <row r="48" spans="2:6">
      <c r="B48" s="129" t="s">
        <v>6</v>
      </c>
      <c r="C48" s="23" t="s">
        <v>41</v>
      </c>
      <c r="D48" s="213">
        <v>786.52290000000005</v>
      </c>
      <c r="E48" s="155">
        <v>1067.0465999999999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208.2</v>
      </c>
      <c r="E50" s="155">
        <v>235.75</v>
      </c>
    </row>
    <row r="51" spans="2:5">
      <c r="B51" s="108" t="s">
        <v>6</v>
      </c>
      <c r="C51" s="16" t="s">
        <v>195</v>
      </c>
      <c r="D51" s="215">
        <v>208.2</v>
      </c>
      <c r="E51" s="77">
        <v>225.77</v>
      </c>
    </row>
    <row r="52" spans="2:5">
      <c r="B52" s="108" t="s">
        <v>8</v>
      </c>
      <c r="C52" s="16" t="s">
        <v>196</v>
      </c>
      <c r="D52" s="215">
        <v>228.64</v>
      </c>
      <c r="E52" s="77">
        <v>252.01</v>
      </c>
    </row>
    <row r="53" spans="2:5" ht="12.75" customHeight="1" thickBot="1">
      <c r="B53" s="109" t="s">
        <v>9</v>
      </c>
      <c r="C53" s="18" t="s">
        <v>41</v>
      </c>
      <c r="D53" s="216">
        <v>219.23</v>
      </c>
      <c r="E53" s="281">
        <v>245.3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261746.53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261746.53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261746.53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261746.53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122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150953.80000000002</v>
      </c>
      <c r="E11" s="9">
        <f>E12</f>
        <v>74897.03</v>
      </c>
    </row>
    <row r="12" spans="2:7">
      <c r="B12" s="112" t="s">
        <v>4</v>
      </c>
      <c r="C12" s="6" t="s">
        <v>5</v>
      </c>
      <c r="D12" s="235">
        <v>150953.80000000002</v>
      </c>
      <c r="E12" s="87">
        <v>74897.03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150953.80000000002</v>
      </c>
      <c r="E21" s="154">
        <f>E11</f>
        <v>74897.03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4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94240.53</v>
      </c>
      <c r="E26" s="274">
        <f>D21</f>
        <v>150953.80000000002</v>
      </c>
    </row>
    <row r="27" spans="2:6">
      <c r="B27" s="10" t="s">
        <v>17</v>
      </c>
      <c r="C27" s="11" t="s">
        <v>192</v>
      </c>
      <c r="D27" s="207">
        <v>73454.829999999987</v>
      </c>
      <c r="E27" s="243">
        <f>E28-E32</f>
        <v>-46516.610000000008</v>
      </c>
      <c r="F27" s="73"/>
    </row>
    <row r="28" spans="2:6">
      <c r="B28" s="10" t="s">
        <v>18</v>
      </c>
      <c r="C28" s="11" t="s">
        <v>19</v>
      </c>
      <c r="D28" s="207">
        <v>195311.15</v>
      </c>
      <c r="E28" s="244">
        <f>SUM(E29:E31)</f>
        <v>9990.1</v>
      </c>
      <c r="F28" s="73"/>
    </row>
    <row r="29" spans="2:6">
      <c r="B29" s="110" t="s">
        <v>4</v>
      </c>
      <c r="C29" s="6" t="s">
        <v>20</v>
      </c>
      <c r="D29" s="208"/>
      <c r="E29" s="246"/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195311.15</v>
      </c>
      <c r="E31" s="246">
        <v>9990.1</v>
      </c>
      <c r="F31" s="73"/>
    </row>
    <row r="32" spans="2:6">
      <c r="B32" s="97" t="s">
        <v>23</v>
      </c>
      <c r="C32" s="12" t="s">
        <v>24</v>
      </c>
      <c r="D32" s="207">
        <v>121856.32000000001</v>
      </c>
      <c r="E32" s="244">
        <f>SUM(E33:E39)</f>
        <v>56506.710000000006</v>
      </c>
      <c r="F32" s="73"/>
    </row>
    <row r="33" spans="2:6">
      <c r="B33" s="110" t="s">
        <v>4</v>
      </c>
      <c r="C33" s="6" t="s">
        <v>25</v>
      </c>
      <c r="D33" s="208">
        <v>88175.96</v>
      </c>
      <c r="E33" s="246">
        <f>39811.62-13559.83</f>
        <v>26251.79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100.52</v>
      </c>
      <c r="E35" s="246">
        <v>65.5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>
        <v>2141.38</v>
      </c>
      <c r="E37" s="246">
        <v>1221.77</v>
      </c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31438.46</v>
      </c>
      <c r="E39" s="248">
        <v>28967.65</v>
      </c>
      <c r="F39" s="73"/>
    </row>
    <row r="40" spans="2:6" ht="13.5" thickBot="1">
      <c r="B40" s="103" t="s">
        <v>35</v>
      </c>
      <c r="C40" s="104" t="s">
        <v>36</v>
      </c>
      <c r="D40" s="210">
        <v>43990.64</v>
      </c>
      <c r="E40" s="275">
        <v>-29540.16</v>
      </c>
    </row>
    <row r="41" spans="2:6" ht="13.5" thickBot="1">
      <c r="B41" s="105" t="s">
        <v>37</v>
      </c>
      <c r="C41" s="106" t="s">
        <v>38</v>
      </c>
      <c r="D41" s="211">
        <v>211686</v>
      </c>
      <c r="E41" s="154">
        <f>E26+E27+E40</f>
        <v>74897.03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620.00350000000003</v>
      </c>
      <c r="E47" s="155">
        <v>885.6712</v>
      </c>
    </row>
    <row r="48" spans="2:6">
      <c r="B48" s="129" t="s">
        <v>6</v>
      </c>
      <c r="C48" s="23" t="s">
        <v>41</v>
      </c>
      <c r="D48" s="213">
        <v>1211.7114999999999</v>
      </c>
      <c r="E48" s="155">
        <v>567.83190000000002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152</v>
      </c>
      <c r="E50" s="155">
        <v>170.44</v>
      </c>
    </row>
    <row r="51" spans="2:5">
      <c r="B51" s="108" t="s">
        <v>6</v>
      </c>
      <c r="C51" s="16" t="s">
        <v>195</v>
      </c>
      <c r="D51" s="215">
        <v>136.65</v>
      </c>
      <c r="E51" s="77">
        <v>122.82</v>
      </c>
    </row>
    <row r="52" spans="2:5">
      <c r="B52" s="108" t="s">
        <v>8</v>
      </c>
      <c r="C52" s="16" t="s">
        <v>196</v>
      </c>
      <c r="D52" s="215">
        <v>177.74</v>
      </c>
      <c r="E52" s="77">
        <v>173.73</v>
      </c>
    </row>
    <row r="53" spans="2:5" ht="13.5" customHeight="1" thickBot="1">
      <c r="B53" s="109" t="s">
        <v>9</v>
      </c>
      <c r="C53" s="18" t="s">
        <v>41</v>
      </c>
      <c r="D53" s="216">
        <v>174.7</v>
      </c>
      <c r="E53" s="281">
        <v>131.9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74897.03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74897.03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74897.03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74897.03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9" right="0.75" top="0.61" bottom="0.61" header="0.5" footer="0.5"/>
  <pageSetup paperSize="9" scale="70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215</v>
      </c>
      <c r="C6" s="311"/>
      <c r="D6" s="311"/>
      <c r="E6" s="311"/>
    </row>
    <row r="7" spans="2:7" ht="14.25">
      <c r="B7" s="171"/>
      <c r="C7" s="171"/>
      <c r="D7" s="171"/>
      <c r="E7" s="171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72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24047.09</v>
      </c>
      <c r="E11" s="9">
        <f>E12</f>
        <v>9906.7099999999991</v>
      </c>
    </row>
    <row r="12" spans="2:7">
      <c r="B12" s="180" t="s">
        <v>4</v>
      </c>
      <c r="C12" s="181" t="s">
        <v>5</v>
      </c>
      <c r="D12" s="235">
        <v>24047.09</v>
      </c>
      <c r="E12" s="87">
        <v>9906.7099999999991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24047.09</v>
      </c>
      <c r="E21" s="154">
        <f>E11</f>
        <v>9906.7099999999991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36210.639999999999</v>
      </c>
      <c r="E26" s="274">
        <f>D21</f>
        <v>24047.09</v>
      </c>
    </row>
    <row r="27" spans="2:6">
      <c r="B27" s="10" t="s">
        <v>17</v>
      </c>
      <c r="C27" s="11" t="s">
        <v>192</v>
      </c>
      <c r="D27" s="207">
        <v>-104.02</v>
      </c>
      <c r="E27" s="243">
        <f>E28-E32</f>
        <v>-14159.91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104.02</v>
      </c>
      <c r="E32" s="244">
        <f>SUM(E33:E39)</f>
        <v>14159.91</v>
      </c>
      <c r="F32" s="73"/>
    </row>
    <row r="33" spans="2:6">
      <c r="B33" s="188" t="s">
        <v>4</v>
      </c>
      <c r="C33" s="181" t="s">
        <v>25</v>
      </c>
      <c r="D33" s="208"/>
      <c r="E33" s="246">
        <v>14038.49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104.02</v>
      </c>
      <c r="E35" s="246">
        <v>94.01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>
        <v>27.41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250.84</v>
      </c>
      <c r="E40" s="275">
        <v>19.53</v>
      </c>
    </row>
    <row r="41" spans="2:6" ht="13.5" thickBot="1">
      <c r="B41" s="105" t="s">
        <v>37</v>
      </c>
      <c r="C41" s="106" t="s">
        <v>38</v>
      </c>
      <c r="D41" s="211">
        <v>36357.46</v>
      </c>
      <c r="E41" s="154">
        <f>E26+E27+E40</f>
        <v>9906.7100000000009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359.23250000000002</v>
      </c>
      <c r="E47" s="155">
        <v>235.5018</v>
      </c>
    </row>
    <row r="48" spans="2:6">
      <c r="B48" s="193" t="s">
        <v>6</v>
      </c>
      <c r="C48" s="194" t="s">
        <v>41</v>
      </c>
      <c r="D48" s="213">
        <v>358.20159999999998</v>
      </c>
      <c r="E48" s="155">
        <v>96.9251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100.8</v>
      </c>
      <c r="E50" s="155">
        <v>102.11</v>
      </c>
    </row>
    <row r="51" spans="2:5">
      <c r="B51" s="191" t="s">
        <v>6</v>
      </c>
      <c r="C51" s="192" t="s">
        <v>195</v>
      </c>
      <c r="D51" s="215">
        <v>100.44</v>
      </c>
      <c r="E51" s="77">
        <v>101.96</v>
      </c>
    </row>
    <row r="52" spans="2:5">
      <c r="B52" s="191" t="s">
        <v>8</v>
      </c>
      <c r="C52" s="192" t="s">
        <v>196</v>
      </c>
      <c r="D52" s="215">
        <v>101.53</v>
      </c>
      <c r="E52" s="77">
        <v>102.36</v>
      </c>
    </row>
    <row r="53" spans="2:5" ht="13.5" thickBot="1">
      <c r="B53" s="195" t="s">
        <v>9</v>
      </c>
      <c r="C53" s="196" t="s">
        <v>41</v>
      </c>
      <c r="D53" s="216">
        <v>101.5</v>
      </c>
      <c r="E53" s="281">
        <v>102.21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9906.7099999999991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9906.7099999999991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9906.7099999999991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9906.7099999999991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207</v>
      </c>
      <c r="C6" s="311"/>
      <c r="D6" s="311"/>
      <c r="E6" s="311"/>
    </row>
    <row r="7" spans="2:7" ht="14.25">
      <c r="B7" s="159"/>
      <c r="C7" s="159"/>
      <c r="D7" s="159"/>
      <c r="E7" s="15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60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329200.03999999998</v>
      </c>
      <c r="E11" s="9">
        <f>E12</f>
        <v>216610.45</v>
      </c>
    </row>
    <row r="12" spans="2:7">
      <c r="B12" s="180" t="s">
        <v>4</v>
      </c>
      <c r="C12" s="181" t="s">
        <v>5</v>
      </c>
      <c r="D12" s="235">
        <v>329200.03999999998</v>
      </c>
      <c r="E12" s="87">
        <v>216610.45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329200.03999999998</v>
      </c>
      <c r="E21" s="154">
        <f>E11</f>
        <v>216610.45</v>
      </c>
      <c r="F21" s="79"/>
    </row>
    <row r="22" spans="2:6">
      <c r="B22" s="3"/>
      <c r="C22" s="7"/>
      <c r="D22" s="8"/>
      <c r="E22" s="230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429073.22</v>
      </c>
      <c r="E26" s="274">
        <f>D21</f>
        <v>329200.03999999998</v>
      </c>
    </row>
    <row r="27" spans="2:6">
      <c r="B27" s="10" t="s">
        <v>17</v>
      </c>
      <c r="C27" s="11" t="s">
        <v>192</v>
      </c>
      <c r="D27" s="207">
        <v>-105625.24</v>
      </c>
      <c r="E27" s="243">
        <f>E28-E32</f>
        <v>-116098.58999999998</v>
      </c>
      <c r="F27" s="73"/>
    </row>
    <row r="28" spans="2:6">
      <c r="B28" s="10" t="s">
        <v>18</v>
      </c>
      <c r="C28" s="11" t="s">
        <v>19</v>
      </c>
      <c r="D28" s="207">
        <v>29029.52</v>
      </c>
      <c r="E28" s="244">
        <f>SUM(E29:E31)</f>
        <v>52315.199999999997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29029.52</v>
      </c>
      <c r="E31" s="246">
        <v>52315.199999999997</v>
      </c>
      <c r="F31" s="73"/>
    </row>
    <row r="32" spans="2:6">
      <c r="B32" s="97" t="s">
        <v>23</v>
      </c>
      <c r="C32" s="12" t="s">
        <v>24</v>
      </c>
      <c r="D32" s="207">
        <v>134654.76</v>
      </c>
      <c r="E32" s="244">
        <f>SUM(E33:E39)</f>
        <v>168413.78999999998</v>
      </c>
      <c r="F32" s="73"/>
    </row>
    <row r="33" spans="2:6">
      <c r="B33" s="188" t="s">
        <v>4</v>
      </c>
      <c r="C33" s="181" t="s">
        <v>25</v>
      </c>
      <c r="D33" s="208">
        <v>134142.28</v>
      </c>
      <c r="E33" s="246">
        <v>144554.07999999999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512.48</v>
      </c>
      <c r="E35" s="246">
        <v>505.08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>
        <v>769.85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22584.78</v>
      </c>
      <c r="F39" s="73"/>
    </row>
    <row r="40" spans="2:6" ht="13.5" thickBot="1">
      <c r="B40" s="103" t="s">
        <v>35</v>
      </c>
      <c r="C40" s="104" t="s">
        <v>36</v>
      </c>
      <c r="D40" s="210">
        <v>6839.44</v>
      </c>
      <c r="E40" s="275">
        <v>3509</v>
      </c>
    </row>
    <row r="41" spans="2:6" ht="13.5" thickBot="1">
      <c r="B41" s="105" t="s">
        <v>37</v>
      </c>
      <c r="C41" s="106" t="s">
        <v>38</v>
      </c>
      <c r="D41" s="211">
        <v>330287.42</v>
      </c>
      <c r="E41" s="154">
        <f>E26+E27+E40</f>
        <v>216610.45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1781.1998000000001</v>
      </c>
      <c r="E47" s="155">
        <v>1325.4954</v>
      </c>
    </row>
    <row r="48" spans="2:6">
      <c r="B48" s="193" t="s">
        <v>6</v>
      </c>
      <c r="C48" s="194" t="s">
        <v>41</v>
      </c>
      <c r="D48" s="213">
        <v>1349.1030961522752</v>
      </c>
      <c r="E48" s="155">
        <v>860.86339999999996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240.89</v>
      </c>
      <c r="E50" s="155">
        <v>248.36</v>
      </c>
    </row>
    <row r="51" spans="2:5">
      <c r="B51" s="191" t="s">
        <v>6</v>
      </c>
      <c r="C51" s="192" t="s">
        <v>195</v>
      </c>
      <c r="D51" s="215">
        <v>240.67</v>
      </c>
      <c r="E51" s="77">
        <v>248.36</v>
      </c>
    </row>
    <row r="52" spans="2:5">
      <c r="B52" s="191" t="s">
        <v>8</v>
      </c>
      <c r="C52" s="192" t="s">
        <v>196</v>
      </c>
      <c r="D52" s="215">
        <v>244.82</v>
      </c>
      <c r="E52" s="77">
        <v>251.63</v>
      </c>
    </row>
    <row r="53" spans="2:5" ht="13.5" thickBot="1">
      <c r="B53" s="195" t="s">
        <v>9</v>
      </c>
      <c r="C53" s="196" t="s">
        <v>41</v>
      </c>
      <c r="D53" s="216">
        <v>244.82</v>
      </c>
      <c r="E53" s="281">
        <v>251.62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216610.45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216610.45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216610.45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216610.45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7.5703125" customWidth="1"/>
    <col min="8" max="8" width="13.140625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90"/>
      <c r="C4" s="90"/>
      <c r="D4" s="90"/>
      <c r="E4" s="90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89</v>
      </c>
      <c r="C6" s="311"/>
      <c r="D6" s="311"/>
      <c r="E6" s="311"/>
    </row>
    <row r="7" spans="2:8" ht="14.25">
      <c r="B7" s="94"/>
      <c r="C7" s="94"/>
      <c r="D7" s="94"/>
      <c r="E7" s="94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91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53357668.25</v>
      </c>
      <c r="E11" s="9">
        <f>E12+E13+E14</f>
        <v>51067472.770000011</v>
      </c>
    </row>
    <row r="12" spans="2:8">
      <c r="B12" s="112" t="s">
        <v>4</v>
      </c>
      <c r="C12" s="6" t="s">
        <v>5</v>
      </c>
      <c r="D12" s="235">
        <v>53192156.670000002</v>
      </c>
      <c r="E12" s="87">
        <f>51411647.52+272933.27+3.74-771913.33</f>
        <v>50912671.20000001</v>
      </c>
    </row>
    <row r="13" spans="2:8">
      <c r="B13" s="112" t="s">
        <v>6</v>
      </c>
      <c r="C13" s="70" t="s">
        <v>7</v>
      </c>
      <c r="D13" s="235"/>
      <c r="E13" s="87">
        <v>11.56</v>
      </c>
    </row>
    <row r="14" spans="2:8">
      <c r="B14" s="112" t="s">
        <v>8</v>
      </c>
      <c r="C14" s="70" t="s">
        <v>10</v>
      </c>
      <c r="D14" s="235">
        <v>165511.58000000002</v>
      </c>
      <c r="E14" s="87">
        <f>E15</f>
        <v>154790.01</v>
      </c>
    </row>
    <row r="15" spans="2:8">
      <c r="B15" s="112" t="s">
        <v>187</v>
      </c>
      <c r="C15" s="70" t="s">
        <v>11</v>
      </c>
      <c r="D15" s="235">
        <v>165511.58000000002</v>
      </c>
      <c r="E15" s="87">
        <v>154790.01</v>
      </c>
    </row>
    <row r="16" spans="2:8">
      <c r="B16" s="113" t="s">
        <v>188</v>
      </c>
      <c r="C16" s="96" t="s">
        <v>12</v>
      </c>
      <c r="D16" s="236"/>
      <c r="E16" s="88"/>
    </row>
    <row r="17" spans="2:7">
      <c r="B17" s="10" t="s">
        <v>13</v>
      </c>
      <c r="C17" s="12" t="s">
        <v>65</v>
      </c>
      <c r="D17" s="264">
        <v>121110.16</v>
      </c>
      <c r="E17" s="98">
        <f>SUM(E18:E19)</f>
        <v>139335.31</v>
      </c>
    </row>
    <row r="18" spans="2:7">
      <c r="B18" s="112" t="s">
        <v>4</v>
      </c>
      <c r="C18" s="6" t="s">
        <v>11</v>
      </c>
      <c r="D18" s="235">
        <v>121110.16</v>
      </c>
      <c r="E18" s="88">
        <v>139335.31</v>
      </c>
    </row>
    <row r="19" spans="2:7" ht="15" customHeight="1">
      <c r="B19" s="112" t="s">
        <v>6</v>
      </c>
      <c r="C19" s="70" t="s">
        <v>189</v>
      </c>
      <c r="D19" s="235"/>
      <c r="E19" s="87"/>
    </row>
    <row r="20" spans="2:7" ht="13.5" thickBot="1">
      <c r="B20" s="114" t="s">
        <v>8</v>
      </c>
      <c r="C20" s="71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53236558.090000004</v>
      </c>
      <c r="E21" s="252">
        <f>E11-E17</f>
        <v>50928137.460000008</v>
      </c>
      <c r="F21" s="79"/>
      <c r="G21" s="69">
        <f>E21-E41</f>
        <v>0</v>
      </c>
    </row>
    <row r="22" spans="2:7">
      <c r="B22" s="3"/>
      <c r="C22" s="7"/>
      <c r="D22" s="8"/>
      <c r="E22" s="8"/>
    </row>
    <row r="23" spans="2:7" ht="15.75">
      <c r="B23" s="313"/>
      <c r="C23" s="321"/>
      <c r="D23" s="321"/>
      <c r="E23" s="321"/>
    </row>
    <row r="24" spans="2:7" ht="17.25" customHeight="1" thickBot="1">
      <c r="B24" s="312" t="s">
        <v>186</v>
      </c>
      <c r="C24" s="322"/>
      <c r="D24" s="322"/>
      <c r="E24" s="322"/>
    </row>
    <row r="25" spans="2:7" ht="13.5" thickBot="1">
      <c r="B25" s="91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48329302.289999992</v>
      </c>
      <c r="E26" s="274">
        <f>D21</f>
        <v>53236558.090000004</v>
      </c>
    </row>
    <row r="27" spans="2:7">
      <c r="B27" s="10" t="s">
        <v>17</v>
      </c>
      <c r="C27" s="11" t="s">
        <v>192</v>
      </c>
      <c r="D27" s="207">
        <v>877511.56999999937</v>
      </c>
      <c r="E27" s="243">
        <f>E28-E32</f>
        <v>-477412.99000000022</v>
      </c>
      <c r="F27" s="73"/>
    </row>
    <row r="28" spans="2:7">
      <c r="B28" s="10" t="s">
        <v>18</v>
      </c>
      <c r="C28" s="11" t="s">
        <v>19</v>
      </c>
      <c r="D28" s="207">
        <v>7621431.9699999997</v>
      </c>
      <c r="E28" s="244">
        <f>SUM(E29:E31)</f>
        <v>6185389.0899999999</v>
      </c>
      <c r="F28" s="73"/>
    </row>
    <row r="29" spans="2:7">
      <c r="B29" s="110" t="s">
        <v>4</v>
      </c>
      <c r="C29" s="6" t="s">
        <v>20</v>
      </c>
      <c r="D29" s="208">
        <v>5825486.04</v>
      </c>
      <c r="E29" s="246">
        <v>4953420.3100000005</v>
      </c>
      <c r="F29" s="73"/>
    </row>
    <row r="30" spans="2:7">
      <c r="B30" s="110" t="s">
        <v>6</v>
      </c>
      <c r="C30" s="6" t="s">
        <v>21</v>
      </c>
      <c r="D30" s="208"/>
      <c r="E30" s="246"/>
      <c r="F30" s="73"/>
    </row>
    <row r="31" spans="2:7">
      <c r="B31" s="110" t="s">
        <v>8</v>
      </c>
      <c r="C31" s="6" t="s">
        <v>22</v>
      </c>
      <c r="D31" s="208">
        <v>1795945.93</v>
      </c>
      <c r="E31" s="246">
        <v>1231968.7799999998</v>
      </c>
      <c r="F31" s="73"/>
    </row>
    <row r="32" spans="2:7">
      <c r="B32" s="97" t="s">
        <v>23</v>
      </c>
      <c r="C32" s="12" t="s">
        <v>24</v>
      </c>
      <c r="D32" s="207">
        <v>6743920.4000000004</v>
      </c>
      <c r="E32" s="244">
        <f>SUM(E33:E39)</f>
        <v>6662802.0800000001</v>
      </c>
      <c r="F32" s="73"/>
    </row>
    <row r="33" spans="2:6">
      <c r="B33" s="110" t="s">
        <v>4</v>
      </c>
      <c r="C33" s="6" t="s">
        <v>25</v>
      </c>
      <c r="D33" s="208">
        <v>4260161.4800000004</v>
      </c>
      <c r="E33" s="246">
        <f>4802248.98+437031.92</f>
        <v>5239280.9000000004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731213.03</v>
      </c>
      <c r="E35" s="246">
        <v>674843.84000000008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1752545.89</v>
      </c>
      <c r="E39" s="248">
        <v>748677.34</v>
      </c>
      <c r="F39" s="73"/>
    </row>
    <row r="40" spans="2:6" ht="13.5" thickBot="1">
      <c r="B40" s="103" t="s">
        <v>35</v>
      </c>
      <c r="C40" s="104" t="s">
        <v>36</v>
      </c>
      <c r="D40" s="210">
        <v>7865941.4800000004</v>
      </c>
      <c r="E40" s="275">
        <v>-1831007.64</v>
      </c>
    </row>
    <row r="41" spans="2:6" ht="13.5" thickBot="1">
      <c r="B41" s="105" t="s">
        <v>37</v>
      </c>
      <c r="C41" s="106" t="s">
        <v>38</v>
      </c>
      <c r="D41" s="211">
        <v>57072755.339999989</v>
      </c>
      <c r="E41" s="154">
        <f>E26+E27+E40</f>
        <v>50928137.460000001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7.2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3817170.7087205527</v>
      </c>
      <c r="E47" s="75">
        <v>3853115.5855999999</v>
      </c>
    </row>
    <row r="48" spans="2:6">
      <c r="B48" s="129" t="s">
        <v>6</v>
      </c>
      <c r="C48" s="23" t="s">
        <v>41</v>
      </c>
      <c r="D48" s="213">
        <v>3881239.2905682363</v>
      </c>
      <c r="E48" s="75">
        <v>3818195.3357799998</v>
      </c>
    </row>
    <row r="49" spans="2:5">
      <c r="B49" s="126" t="s">
        <v>23</v>
      </c>
      <c r="C49" s="130" t="s">
        <v>194</v>
      </c>
      <c r="D49" s="214"/>
      <c r="E49" s="75"/>
    </row>
    <row r="50" spans="2:5">
      <c r="B50" s="108" t="s">
        <v>4</v>
      </c>
      <c r="C50" s="16" t="s">
        <v>40</v>
      </c>
      <c r="D50" s="212">
        <v>12.661027231396501</v>
      </c>
      <c r="E50" s="75">
        <v>13.8164965226125</v>
      </c>
    </row>
    <row r="51" spans="2:5">
      <c r="B51" s="108" t="s">
        <v>6</v>
      </c>
      <c r="C51" s="16" t="s">
        <v>195</v>
      </c>
      <c r="D51" s="280">
        <v>12.6327</v>
      </c>
      <c r="E51" s="75">
        <v>13.0543</v>
      </c>
    </row>
    <row r="52" spans="2:5">
      <c r="B52" s="108" t="s">
        <v>8</v>
      </c>
      <c r="C52" s="16" t="s">
        <v>196</v>
      </c>
      <c r="D52" s="280">
        <v>14.785500000000001</v>
      </c>
      <c r="E52" s="75">
        <v>14.295</v>
      </c>
    </row>
    <row r="53" spans="2:5" ht="13.5" thickBot="1">
      <c r="B53" s="109" t="s">
        <v>9</v>
      </c>
      <c r="C53" s="18" t="s">
        <v>41</v>
      </c>
      <c r="D53" s="216">
        <v>14.7047762498674</v>
      </c>
      <c r="E53" s="281">
        <v>13.3382744938993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50912671.200000003</v>
      </c>
      <c r="E58" s="33">
        <f>D58/E21</f>
        <v>0.99969631208264487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51411647.52-771913.33</f>
        <v>50639734.190000005</v>
      </c>
      <c r="E64" s="83">
        <f>D64/E21</f>
        <v>0.99433705443819698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272933.27+3.74</f>
        <v>272937.01</v>
      </c>
      <c r="E69" s="81">
        <f>D69/E21</f>
        <v>5.35925764444793E-3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11.56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154790.01</v>
      </c>
      <c r="E72" s="125">
        <f>D72/E21</f>
        <v>3.0393809339989159E-3</v>
      </c>
    </row>
    <row r="73" spans="2:5">
      <c r="B73" s="24" t="s">
        <v>62</v>
      </c>
      <c r="C73" s="25" t="s">
        <v>65</v>
      </c>
      <c r="D73" s="26">
        <f>E17</f>
        <v>139335.31</v>
      </c>
      <c r="E73" s="27">
        <f>D73/E21</f>
        <v>2.735920003150258E-3</v>
      </c>
    </row>
    <row r="74" spans="2:5">
      <c r="B74" s="126" t="s">
        <v>64</v>
      </c>
      <c r="C74" s="127" t="s">
        <v>66</v>
      </c>
      <c r="D74" s="128">
        <f>D58+D71+D72-D73</f>
        <v>50928137.460000001</v>
      </c>
      <c r="E74" s="68">
        <f>E58+E72-E73</f>
        <v>0.99999977301349352</v>
      </c>
    </row>
    <row r="75" spans="2:5">
      <c r="B75" s="15" t="s">
        <v>4</v>
      </c>
      <c r="C75" s="16" t="s">
        <v>67</v>
      </c>
      <c r="D75" s="80">
        <f>D74</f>
        <v>50928137.460000001</v>
      </c>
      <c r="E75" s="81">
        <f>E74</f>
        <v>0.99999977301349352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09" t="s">
        <v>0</v>
      </c>
      <c r="C2" s="309"/>
      <c r="D2" s="309"/>
      <c r="E2" s="309"/>
    </row>
    <row r="3" spans="2:5" customFormat="1" ht="15.75">
      <c r="B3" s="309" t="s">
        <v>276</v>
      </c>
      <c r="C3" s="309"/>
      <c r="D3" s="309"/>
      <c r="E3" s="309"/>
    </row>
    <row r="4" spans="2:5" customFormat="1" ht="15">
      <c r="B4" s="153"/>
      <c r="C4" s="153"/>
      <c r="D4" s="153"/>
      <c r="E4" s="153"/>
    </row>
    <row r="5" spans="2:5" customFormat="1" ht="14.25">
      <c r="B5" s="310" t="s">
        <v>1</v>
      </c>
      <c r="C5" s="310"/>
      <c r="D5" s="310"/>
      <c r="E5" s="310"/>
    </row>
    <row r="6" spans="2:5" customFormat="1" ht="14.25" customHeight="1">
      <c r="B6" s="311" t="s">
        <v>208</v>
      </c>
      <c r="C6" s="311"/>
      <c r="D6" s="311"/>
      <c r="E6" s="311"/>
    </row>
    <row r="7" spans="2:5" customFormat="1" ht="14.25">
      <c r="B7" s="159"/>
      <c r="C7" s="159"/>
      <c r="D7" s="159"/>
      <c r="E7" s="159"/>
    </row>
    <row r="8" spans="2:5" customFormat="1" ht="13.5">
      <c r="B8" s="313" t="s">
        <v>18</v>
      </c>
      <c r="C8" s="315"/>
      <c r="D8" s="315"/>
      <c r="E8" s="315"/>
    </row>
    <row r="9" spans="2:5" customFormat="1" ht="16.5" thickBot="1">
      <c r="B9" s="312" t="s">
        <v>184</v>
      </c>
      <c r="C9" s="312"/>
      <c r="D9" s="312"/>
      <c r="E9" s="312"/>
    </row>
    <row r="10" spans="2:5" customFormat="1" ht="13.5" thickBot="1">
      <c r="B10" s="160"/>
      <c r="C10" s="78" t="s">
        <v>2</v>
      </c>
      <c r="D10" s="72" t="s">
        <v>229</v>
      </c>
      <c r="E10" s="30" t="s">
        <v>232</v>
      </c>
    </row>
    <row r="11" spans="2:5" customFormat="1">
      <c r="B11" s="95" t="s">
        <v>3</v>
      </c>
      <c r="C11" s="134" t="s">
        <v>190</v>
      </c>
      <c r="D11" s="232">
        <v>69905.100000000006</v>
      </c>
      <c r="E11" s="9">
        <f>E12</f>
        <v>64871.33</v>
      </c>
    </row>
    <row r="12" spans="2:5" customFormat="1">
      <c r="B12" s="180" t="s">
        <v>4</v>
      </c>
      <c r="C12" s="181" t="s">
        <v>5</v>
      </c>
      <c r="D12" s="235">
        <v>69905.100000000006</v>
      </c>
      <c r="E12" s="87">
        <v>64871.33</v>
      </c>
    </row>
    <row r="13" spans="2:5" customFormat="1">
      <c r="B13" s="180" t="s">
        <v>6</v>
      </c>
      <c r="C13" s="182" t="s">
        <v>7</v>
      </c>
      <c r="D13" s="235"/>
      <c r="E13" s="87"/>
    </row>
    <row r="14" spans="2:5" customFormat="1">
      <c r="B14" s="180" t="s">
        <v>8</v>
      </c>
      <c r="C14" s="182" t="s">
        <v>10</v>
      </c>
      <c r="D14" s="235"/>
      <c r="E14" s="87"/>
    </row>
    <row r="15" spans="2:5" customFormat="1">
      <c r="B15" s="180" t="s">
        <v>187</v>
      </c>
      <c r="C15" s="182" t="s">
        <v>11</v>
      </c>
      <c r="D15" s="235"/>
      <c r="E15" s="87"/>
    </row>
    <row r="16" spans="2:5" customFormat="1">
      <c r="B16" s="183" t="s">
        <v>188</v>
      </c>
      <c r="C16" s="184" t="s">
        <v>12</v>
      </c>
      <c r="D16" s="236"/>
      <c r="E16" s="88"/>
    </row>
    <row r="17" spans="2:6" customFormat="1">
      <c r="B17" s="10" t="s">
        <v>13</v>
      </c>
      <c r="C17" s="12" t="s">
        <v>65</v>
      </c>
      <c r="D17" s="264"/>
      <c r="E17" s="98"/>
    </row>
    <row r="18" spans="2:6" customFormat="1">
      <c r="B18" s="180" t="s">
        <v>4</v>
      </c>
      <c r="C18" s="181" t="s">
        <v>11</v>
      </c>
      <c r="D18" s="235"/>
      <c r="E18" s="88"/>
    </row>
    <row r="19" spans="2:6" customFormat="1" ht="15" customHeight="1">
      <c r="B19" s="180" t="s">
        <v>6</v>
      </c>
      <c r="C19" s="182" t="s">
        <v>189</v>
      </c>
      <c r="D19" s="235"/>
      <c r="E19" s="87"/>
    </row>
    <row r="20" spans="2:6" customFormat="1" ht="13.5" thickBot="1">
      <c r="B20" s="185" t="s">
        <v>8</v>
      </c>
      <c r="C20" s="186" t="s">
        <v>14</v>
      </c>
      <c r="D20" s="238"/>
      <c r="E20" s="89"/>
    </row>
    <row r="21" spans="2:6" customFormat="1" ht="13.5" thickBot="1">
      <c r="B21" s="319" t="s">
        <v>191</v>
      </c>
      <c r="C21" s="320"/>
      <c r="D21" s="239">
        <v>69905.100000000006</v>
      </c>
      <c r="E21" s="154">
        <f>E11</f>
        <v>64871.33</v>
      </c>
      <c r="F21" s="79"/>
    </row>
    <row r="22" spans="2:6" customFormat="1">
      <c r="B22" s="3"/>
      <c r="C22" s="7"/>
      <c r="D22" s="8"/>
      <c r="E22" s="8"/>
    </row>
    <row r="23" spans="2:6" customFormat="1" ht="13.5">
      <c r="B23" s="313" t="s">
        <v>185</v>
      </c>
      <c r="C23" s="325"/>
      <c r="D23" s="325"/>
      <c r="E23" s="325"/>
    </row>
    <row r="24" spans="2:6" customFormat="1" ht="15.75" customHeight="1" thickBot="1">
      <c r="B24" s="312" t="s">
        <v>186</v>
      </c>
      <c r="C24" s="326"/>
      <c r="D24" s="326"/>
      <c r="E24" s="326"/>
    </row>
    <row r="25" spans="2:6" customFormat="1" ht="13.5" thickBot="1">
      <c r="B25" s="221"/>
      <c r="C25" s="187" t="s">
        <v>2</v>
      </c>
      <c r="D25" s="72" t="s">
        <v>233</v>
      </c>
      <c r="E25" s="30" t="s">
        <v>232</v>
      </c>
    </row>
    <row r="26" spans="2:6" customFormat="1">
      <c r="B26" s="101" t="s">
        <v>15</v>
      </c>
      <c r="C26" s="102" t="s">
        <v>16</v>
      </c>
      <c r="D26" s="206">
        <v>141464.54999999999</v>
      </c>
      <c r="E26" s="274">
        <f>D21</f>
        <v>69905.100000000006</v>
      </c>
    </row>
    <row r="27" spans="2:6" customFormat="1">
      <c r="B27" s="10" t="s">
        <v>17</v>
      </c>
      <c r="C27" s="11" t="s">
        <v>192</v>
      </c>
      <c r="D27" s="207">
        <v>-80282.850000000006</v>
      </c>
      <c r="E27" s="243">
        <f>E28-E32</f>
        <v>-9031.4500000000007</v>
      </c>
      <c r="F27" s="73"/>
    </row>
    <row r="28" spans="2:6" customFormat="1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 customFormat="1">
      <c r="B29" s="188" t="s">
        <v>4</v>
      </c>
      <c r="C29" s="181" t="s">
        <v>20</v>
      </c>
      <c r="D29" s="208"/>
      <c r="E29" s="246"/>
      <c r="F29" s="73"/>
    </row>
    <row r="30" spans="2:6" customFormat="1">
      <c r="B30" s="188" t="s">
        <v>6</v>
      </c>
      <c r="C30" s="181" t="s">
        <v>21</v>
      </c>
      <c r="D30" s="208"/>
      <c r="E30" s="246"/>
      <c r="F30" s="73"/>
    </row>
    <row r="31" spans="2:6" customFormat="1">
      <c r="B31" s="188" t="s">
        <v>8</v>
      </c>
      <c r="C31" s="181" t="s">
        <v>22</v>
      </c>
      <c r="D31" s="208"/>
      <c r="E31" s="246"/>
      <c r="F31" s="73"/>
    </row>
    <row r="32" spans="2:6" customFormat="1">
      <c r="B32" s="97" t="s">
        <v>23</v>
      </c>
      <c r="C32" s="12" t="s">
        <v>24</v>
      </c>
      <c r="D32" s="207">
        <v>80282.850000000006</v>
      </c>
      <c r="E32" s="244">
        <f>SUM(E33:E39)</f>
        <v>9031.4500000000007</v>
      </c>
      <c r="F32" s="73"/>
    </row>
    <row r="33" spans="2:6" customFormat="1">
      <c r="B33" s="188" t="s">
        <v>4</v>
      </c>
      <c r="C33" s="181" t="s">
        <v>25</v>
      </c>
      <c r="D33" s="208">
        <v>79150.86</v>
      </c>
      <c r="E33" s="246">
        <v>8309.26</v>
      </c>
      <c r="F33" s="73"/>
    </row>
    <row r="34" spans="2:6" customFormat="1">
      <c r="B34" s="188" t="s">
        <v>6</v>
      </c>
      <c r="C34" s="181" t="s">
        <v>26</v>
      </c>
      <c r="D34" s="208"/>
      <c r="E34" s="246"/>
      <c r="F34" s="73"/>
    </row>
    <row r="35" spans="2:6" customFormat="1">
      <c r="B35" s="188" t="s">
        <v>8</v>
      </c>
      <c r="C35" s="181" t="s">
        <v>27</v>
      </c>
      <c r="D35" s="208">
        <v>172.1</v>
      </c>
      <c r="E35" s="246">
        <v>155.66999999999999</v>
      </c>
      <c r="F35" s="73"/>
    </row>
    <row r="36" spans="2:6" customFormat="1">
      <c r="B36" s="188" t="s">
        <v>9</v>
      </c>
      <c r="C36" s="181" t="s">
        <v>28</v>
      </c>
      <c r="D36" s="208"/>
      <c r="E36" s="246"/>
      <c r="F36" s="73"/>
    </row>
    <row r="37" spans="2:6" customFormat="1" ht="25.5">
      <c r="B37" s="188" t="s">
        <v>29</v>
      </c>
      <c r="C37" s="181" t="s">
        <v>30</v>
      </c>
      <c r="D37" s="208">
        <v>959.89</v>
      </c>
      <c r="E37" s="246">
        <v>566.52</v>
      </c>
      <c r="F37" s="73"/>
    </row>
    <row r="38" spans="2:6" customFormat="1">
      <c r="B38" s="188" t="s">
        <v>31</v>
      </c>
      <c r="C38" s="181" t="s">
        <v>32</v>
      </c>
      <c r="D38" s="208"/>
      <c r="E38" s="246"/>
      <c r="F38" s="73"/>
    </row>
    <row r="39" spans="2:6" customFormat="1">
      <c r="B39" s="189" t="s">
        <v>33</v>
      </c>
      <c r="C39" s="190" t="s">
        <v>34</v>
      </c>
      <c r="D39" s="209"/>
      <c r="E39" s="248"/>
      <c r="F39" s="73"/>
    </row>
    <row r="40" spans="2:6" customFormat="1" ht="13.5" thickBot="1">
      <c r="B40" s="103" t="s">
        <v>35</v>
      </c>
      <c r="C40" s="104" t="s">
        <v>36</v>
      </c>
      <c r="D40" s="210">
        <v>6632.7</v>
      </c>
      <c r="E40" s="275">
        <v>3997.68</v>
      </c>
    </row>
    <row r="41" spans="2:6" customFormat="1" ht="13.5" thickBot="1">
      <c r="B41" s="105" t="s">
        <v>37</v>
      </c>
      <c r="C41" s="106" t="s">
        <v>38</v>
      </c>
      <c r="D41" s="211">
        <v>67814.39999999998</v>
      </c>
      <c r="E41" s="154">
        <f>E26+E27+E40</f>
        <v>64871.330000000009</v>
      </c>
      <c r="F41" s="79"/>
    </row>
    <row r="42" spans="2:6" customFormat="1">
      <c r="B42" s="99"/>
      <c r="C42" s="99"/>
      <c r="D42" s="100"/>
      <c r="E42" s="100"/>
      <c r="F42" s="79"/>
    </row>
    <row r="43" spans="2:6" customFormat="1" ht="13.5">
      <c r="B43" s="314" t="s">
        <v>60</v>
      </c>
      <c r="C43" s="324"/>
      <c r="D43" s="324"/>
      <c r="E43" s="324"/>
    </row>
    <row r="44" spans="2:6" customFormat="1" ht="18" customHeight="1" thickBot="1">
      <c r="B44" s="312" t="s">
        <v>210</v>
      </c>
      <c r="C44" s="323"/>
      <c r="D44" s="323"/>
      <c r="E44" s="323"/>
    </row>
    <row r="45" spans="2:6" customFormat="1" ht="13.5" thickBot="1">
      <c r="B45" s="221"/>
      <c r="C45" s="31" t="s">
        <v>39</v>
      </c>
      <c r="D45" s="72" t="s">
        <v>233</v>
      </c>
      <c r="E45" s="30" t="s">
        <v>232</v>
      </c>
    </row>
    <row r="46" spans="2:6" customFormat="1">
      <c r="B46" s="14" t="s">
        <v>18</v>
      </c>
      <c r="C46" s="32" t="s">
        <v>193</v>
      </c>
      <c r="D46" s="107"/>
      <c r="E46" s="29"/>
    </row>
    <row r="47" spans="2:6" customFormat="1">
      <c r="B47" s="191" t="s">
        <v>4</v>
      </c>
      <c r="C47" s="192" t="s">
        <v>40</v>
      </c>
      <c r="D47" s="212">
        <v>4613.9773999999998</v>
      </c>
      <c r="E47" s="155">
        <v>2059.6671000000001</v>
      </c>
    </row>
    <row r="48" spans="2:6" customFormat="1">
      <c r="B48" s="193" t="s">
        <v>6</v>
      </c>
      <c r="C48" s="194" t="s">
        <v>41</v>
      </c>
      <c r="D48" s="213">
        <v>2082.1122999999998</v>
      </c>
      <c r="E48" s="155">
        <v>1798.4843000000001</v>
      </c>
    </row>
    <row r="49" spans="2:5" customFormat="1">
      <c r="B49" s="126" t="s">
        <v>23</v>
      </c>
      <c r="C49" s="130" t="s">
        <v>194</v>
      </c>
      <c r="D49" s="214"/>
      <c r="E49" s="155"/>
    </row>
    <row r="50" spans="2:5" customFormat="1">
      <c r="B50" s="191" t="s">
        <v>4</v>
      </c>
      <c r="C50" s="192" t="s">
        <v>40</v>
      </c>
      <c r="D50" s="212">
        <v>30.66</v>
      </c>
      <c r="E50" s="155">
        <v>33.94</v>
      </c>
    </row>
    <row r="51" spans="2:5" customFormat="1">
      <c r="B51" s="191" t="s">
        <v>6</v>
      </c>
      <c r="C51" s="192" t="s">
        <v>195</v>
      </c>
      <c r="D51" s="215">
        <v>30.66</v>
      </c>
      <c r="E51" s="77">
        <v>33.94</v>
      </c>
    </row>
    <row r="52" spans="2:5" customFormat="1">
      <c r="B52" s="191" t="s">
        <v>8</v>
      </c>
      <c r="C52" s="192" t="s">
        <v>196</v>
      </c>
      <c r="D52" s="215">
        <v>32.93</v>
      </c>
      <c r="E52" s="77">
        <v>36.68</v>
      </c>
    </row>
    <row r="53" spans="2:5" customFormat="1" ht="13.5" thickBot="1">
      <c r="B53" s="195" t="s">
        <v>9</v>
      </c>
      <c r="C53" s="196" t="s">
        <v>41</v>
      </c>
      <c r="D53" s="216">
        <v>32.57</v>
      </c>
      <c r="E53" s="281">
        <v>36.07</v>
      </c>
    </row>
    <row r="54" spans="2:5" customFormat="1">
      <c r="B54" s="115"/>
      <c r="C54" s="116"/>
      <c r="D54" s="117"/>
      <c r="E54" s="117"/>
    </row>
    <row r="55" spans="2:5" customFormat="1" ht="13.5">
      <c r="B55" s="314" t="s">
        <v>62</v>
      </c>
      <c r="C55" s="315"/>
      <c r="D55" s="315"/>
      <c r="E55" s="315"/>
    </row>
    <row r="56" spans="2:5" customFormat="1" ht="14.25" thickBot="1">
      <c r="B56" s="312" t="s">
        <v>197</v>
      </c>
      <c r="C56" s="316"/>
      <c r="D56" s="316"/>
      <c r="E56" s="316"/>
    </row>
    <row r="57" spans="2:5" customFormat="1" ht="23.25" thickBot="1">
      <c r="B57" s="307" t="s">
        <v>42</v>
      </c>
      <c r="C57" s="308"/>
      <c r="D57" s="19" t="s">
        <v>211</v>
      </c>
      <c r="E57" s="20" t="s">
        <v>198</v>
      </c>
    </row>
    <row r="58" spans="2:5" customFormat="1">
      <c r="B58" s="21" t="s">
        <v>18</v>
      </c>
      <c r="C58" s="132" t="s">
        <v>43</v>
      </c>
      <c r="D58" s="133">
        <f>D64</f>
        <v>64871.33</v>
      </c>
      <c r="E58" s="33">
        <f>D58/E21</f>
        <v>1</v>
      </c>
    </row>
    <row r="59" spans="2:5" customFormat="1" ht="25.5">
      <c r="B59" s="129" t="s">
        <v>4</v>
      </c>
      <c r="C59" s="23" t="s">
        <v>44</v>
      </c>
      <c r="D59" s="82">
        <v>0</v>
      </c>
      <c r="E59" s="83">
        <v>0</v>
      </c>
    </row>
    <row r="60" spans="2:5" customFormat="1" ht="25.5">
      <c r="B60" s="108" t="s">
        <v>6</v>
      </c>
      <c r="C60" s="16" t="s">
        <v>45</v>
      </c>
      <c r="D60" s="80">
        <v>0</v>
      </c>
      <c r="E60" s="81">
        <v>0</v>
      </c>
    </row>
    <row r="61" spans="2:5" customFormat="1">
      <c r="B61" s="108" t="s">
        <v>8</v>
      </c>
      <c r="C61" s="16" t="s">
        <v>46</v>
      </c>
      <c r="D61" s="80">
        <v>0</v>
      </c>
      <c r="E61" s="81">
        <v>0</v>
      </c>
    </row>
    <row r="62" spans="2:5" customFormat="1">
      <c r="B62" s="108" t="s">
        <v>9</v>
      </c>
      <c r="C62" s="16" t="s">
        <v>47</v>
      </c>
      <c r="D62" s="80">
        <v>0</v>
      </c>
      <c r="E62" s="81">
        <v>0</v>
      </c>
    </row>
    <row r="63" spans="2:5" customFormat="1">
      <c r="B63" s="108" t="s">
        <v>29</v>
      </c>
      <c r="C63" s="16" t="s">
        <v>48</v>
      </c>
      <c r="D63" s="80">
        <v>0</v>
      </c>
      <c r="E63" s="81">
        <v>0</v>
      </c>
    </row>
    <row r="64" spans="2:5" customFormat="1">
      <c r="B64" s="129" t="s">
        <v>31</v>
      </c>
      <c r="C64" s="23" t="s">
        <v>49</v>
      </c>
      <c r="D64" s="82">
        <f>E21</f>
        <v>64871.33</v>
      </c>
      <c r="E64" s="83">
        <f>E58</f>
        <v>1</v>
      </c>
    </row>
    <row r="65" spans="2:5" customFormat="1">
      <c r="B65" s="129" t="s">
        <v>33</v>
      </c>
      <c r="C65" s="23" t="s">
        <v>199</v>
      </c>
      <c r="D65" s="82">
        <v>0</v>
      </c>
      <c r="E65" s="83">
        <v>0</v>
      </c>
    </row>
    <row r="66" spans="2:5" customFormat="1">
      <c r="B66" s="129" t="s">
        <v>50</v>
      </c>
      <c r="C66" s="23" t="s">
        <v>51</v>
      </c>
      <c r="D66" s="82">
        <v>0</v>
      </c>
      <c r="E66" s="83">
        <v>0</v>
      </c>
    </row>
    <row r="67" spans="2:5" customFormat="1">
      <c r="B67" s="108" t="s">
        <v>52</v>
      </c>
      <c r="C67" s="16" t="s">
        <v>53</v>
      </c>
      <c r="D67" s="80">
        <v>0</v>
      </c>
      <c r="E67" s="81">
        <v>0</v>
      </c>
    </row>
    <row r="68" spans="2:5" customFormat="1">
      <c r="B68" s="108" t="s">
        <v>54</v>
      </c>
      <c r="C68" s="16" t="s">
        <v>55</v>
      </c>
      <c r="D68" s="80">
        <v>0</v>
      </c>
      <c r="E68" s="81">
        <v>0</v>
      </c>
    </row>
    <row r="69" spans="2:5" customFormat="1">
      <c r="B69" s="108" t="s">
        <v>56</v>
      </c>
      <c r="C69" s="16" t="s">
        <v>57</v>
      </c>
      <c r="D69" s="80">
        <v>0</v>
      </c>
      <c r="E69" s="81">
        <v>0</v>
      </c>
    </row>
    <row r="70" spans="2:5" customFormat="1">
      <c r="B70" s="135" t="s">
        <v>58</v>
      </c>
      <c r="C70" s="119" t="s">
        <v>59</v>
      </c>
      <c r="D70" s="120">
        <v>0</v>
      </c>
      <c r="E70" s="121">
        <v>0</v>
      </c>
    </row>
    <row r="71" spans="2:5" customFormat="1">
      <c r="B71" s="136" t="s">
        <v>23</v>
      </c>
      <c r="C71" s="127" t="s">
        <v>61</v>
      </c>
      <c r="D71" s="128">
        <v>0</v>
      </c>
      <c r="E71" s="68">
        <v>0</v>
      </c>
    </row>
    <row r="72" spans="2:5" customFormat="1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 customFormat="1">
      <c r="B73" s="138" t="s">
        <v>62</v>
      </c>
      <c r="C73" s="25" t="s">
        <v>65</v>
      </c>
      <c r="D73" s="26">
        <v>0</v>
      </c>
      <c r="E73" s="27">
        <v>0</v>
      </c>
    </row>
    <row r="74" spans="2:5" customFormat="1">
      <c r="B74" s="136" t="s">
        <v>64</v>
      </c>
      <c r="C74" s="127" t="s">
        <v>66</v>
      </c>
      <c r="D74" s="128">
        <f>D58</f>
        <v>64871.33</v>
      </c>
      <c r="E74" s="68">
        <f>E58+E72-E73</f>
        <v>1</v>
      </c>
    </row>
    <row r="75" spans="2:5" customFormat="1">
      <c r="B75" s="108" t="s">
        <v>4</v>
      </c>
      <c r="C75" s="16" t="s">
        <v>67</v>
      </c>
      <c r="D75" s="80">
        <f>D74</f>
        <v>64871.33</v>
      </c>
      <c r="E75" s="81">
        <f>E74</f>
        <v>1</v>
      </c>
    </row>
    <row r="76" spans="2:5" customFormat="1">
      <c r="B76" s="108" t="s">
        <v>6</v>
      </c>
      <c r="C76" s="16" t="s">
        <v>200</v>
      </c>
      <c r="D76" s="80">
        <v>0</v>
      </c>
      <c r="E76" s="81">
        <v>0</v>
      </c>
    </row>
    <row r="77" spans="2:5" customFormat="1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09" t="s">
        <v>0</v>
      </c>
      <c r="C2" s="309"/>
      <c r="D2" s="309"/>
      <c r="E2" s="309"/>
    </row>
    <row r="3" spans="2:5" customFormat="1" ht="15.75">
      <c r="B3" s="309" t="s">
        <v>276</v>
      </c>
      <c r="C3" s="309"/>
      <c r="D3" s="309"/>
      <c r="E3" s="309"/>
    </row>
    <row r="4" spans="2:5" customFormat="1" ht="15">
      <c r="B4" s="153"/>
      <c r="C4" s="153"/>
      <c r="D4" s="153"/>
      <c r="E4" s="153"/>
    </row>
    <row r="5" spans="2:5" customFormat="1" ht="14.25">
      <c r="B5" s="310" t="s">
        <v>1</v>
      </c>
      <c r="C5" s="310"/>
      <c r="D5" s="310"/>
      <c r="E5" s="310"/>
    </row>
    <row r="6" spans="2:5" customFormat="1" ht="14.25">
      <c r="B6" s="311" t="s">
        <v>230</v>
      </c>
      <c r="C6" s="311"/>
      <c r="D6" s="311"/>
      <c r="E6" s="311"/>
    </row>
    <row r="7" spans="2:5" customFormat="1" ht="14.25">
      <c r="B7" s="220"/>
      <c r="C7" s="220"/>
      <c r="D7" s="220"/>
      <c r="E7" s="220"/>
    </row>
    <row r="8" spans="2:5" customFormat="1" ht="13.5">
      <c r="B8" s="313" t="s">
        <v>18</v>
      </c>
      <c r="C8" s="315"/>
      <c r="D8" s="315"/>
      <c r="E8" s="315"/>
    </row>
    <row r="9" spans="2:5" customFormat="1" ht="16.5" thickBot="1">
      <c r="B9" s="312" t="s">
        <v>184</v>
      </c>
      <c r="C9" s="312"/>
      <c r="D9" s="312"/>
      <c r="E9" s="312"/>
    </row>
    <row r="10" spans="2:5" customFormat="1" ht="13.5" thickBot="1">
      <c r="B10" s="219"/>
      <c r="C10" s="78" t="s">
        <v>2</v>
      </c>
      <c r="D10" s="72" t="s">
        <v>229</v>
      </c>
      <c r="E10" s="30" t="s">
        <v>232</v>
      </c>
    </row>
    <row r="11" spans="2:5" customFormat="1">
      <c r="B11" s="95" t="s">
        <v>3</v>
      </c>
      <c r="C11" s="134" t="s">
        <v>190</v>
      </c>
      <c r="D11" s="232">
        <v>30289.21</v>
      </c>
      <c r="E11" s="9" t="str">
        <f>E12</f>
        <v>-</v>
      </c>
    </row>
    <row r="12" spans="2:5" customFormat="1">
      <c r="B12" s="180" t="s">
        <v>4</v>
      </c>
      <c r="C12" s="181" t="s">
        <v>5</v>
      </c>
      <c r="D12" s="235">
        <v>30289.21</v>
      </c>
      <c r="E12" s="87" t="s">
        <v>212</v>
      </c>
    </row>
    <row r="13" spans="2:5" customFormat="1">
      <c r="B13" s="180" t="s">
        <v>6</v>
      </c>
      <c r="C13" s="182" t="s">
        <v>7</v>
      </c>
      <c r="D13" s="235"/>
      <c r="E13" s="87"/>
    </row>
    <row r="14" spans="2:5" customFormat="1">
      <c r="B14" s="180" t="s">
        <v>8</v>
      </c>
      <c r="C14" s="182" t="s">
        <v>10</v>
      </c>
      <c r="D14" s="235"/>
      <c r="E14" s="87"/>
    </row>
    <row r="15" spans="2:5" customFormat="1">
      <c r="B15" s="180" t="s">
        <v>187</v>
      </c>
      <c r="C15" s="182" t="s">
        <v>11</v>
      </c>
      <c r="D15" s="235"/>
      <c r="E15" s="87"/>
    </row>
    <row r="16" spans="2:5" customFormat="1">
      <c r="B16" s="183" t="s">
        <v>188</v>
      </c>
      <c r="C16" s="184" t="s">
        <v>12</v>
      </c>
      <c r="D16" s="236"/>
      <c r="E16" s="88"/>
    </row>
    <row r="17" spans="2:6" customFormat="1">
      <c r="B17" s="10" t="s">
        <v>13</v>
      </c>
      <c r="C17" s="12" t="s">
        <v>65</v>
      </c>
      <c r="D17" s="264"/>
      <c r="E17" s="98"/>
    </row>
    <row r="18" spans="2:6" customFormat="1">
      <c r="B18" s="180" t="s">
        <v>4</v>
      </c>
      <c r="C18" s="181" t="s">
        <v>11</v>
      </c>
      <c r="D18" s="235"/>
      <c r="E18" s="88"/>
    </row>
    <row r="19" spans="2:6" customFormat="1" ht="15" customHeight="1">
      <c r="B19" s="180" t="s">
        <v>6</v>
      </c>
      <c r="C19" s="182" t="s">
        <v>189</v>
      </c>
      <c r="D19" s="235"/>
      <c r="E19" s="87"/>
    </row>
    <row r="20" spans="2:6" customFormat="1" ht="13.5" thickBot="1">
      <c r="B20" s="185" t="s">
        <v>8</v>
      </c>
      <c r="C20" s="186" t="s">
        <v>14</v>
      </c>
      <c r="D20" s="238"/>
      <c r="E20" s="89"/>
    </row>
    <row r="21" spans="2:6" customFormat="1" ht="13.5" thickBot="1">
      <c r="B21" s="319" t="s">
        <v>191</v>
      </c>
      <c r="C21" s="320"/>
      <c r="D21" s="239">
        <v>30289.21</v>
      </c>
      <c r="E21" s="154" t="str">
        <f>E11</f>
        <v>-</v>
      </c>
      <c r="F21" s="79"/>
    </row>
    <row r="22" spans="2:6" customFormat="1">
      <c r="B22" s="3"/>
      <c r="C22" s="7"/>
      <c r="D22" s="8"/>
      <c r="E22" s="8"/>
    </row>
    <row r="23" spans="2:6" customFormat="1" ht="13.5">
      <c r="B23" s="313" t="s">
        <v>185</v>
      </c>
      <c r="C23" s="325"/>
      <c r="D23" s="325"/>
      <c r="E23" s="325"/>
    </row>
    <row r="24" spans="2:6" customFormat="1" ht="15.75" customHeight="1" thickBot="1">
      <c r="B24" s="312" t="s">
        <v>186</v>
      </c>
      <c r="C24" s="326"/>
      <c r="D24" s="326"/>
      <c r="E24" s="326"/>
    </row>
    <row r="25" spans="2:6" customFormat="1" ht="13.5" thickBot="1">
      <c r="B25" s="221"/>
      <c r="C25" s="187" t="s">
        <v>2</v>
      </c>
      <c r="D25" s="72" t="s">
        <v>233</v>
      </c>
      <c r="E25" s="30" t="s">
        <v>232</v>
      </c>
    </row>
    <row r="26" spans="2:6" customFormat="1">
      <c r="B26" s="101" t="s">
        <v>15</v>
      </c>
      <c r="C26" s="102" t="s">
        <v>16</v>
      </c>
      <c r="D26" s="206"/>
      <c r="E26" s="274">
        <f>D21</f>
        <v>30289.21</v>
      </c>
    </row>
    <row r="27" spans="2:6" customFormat="1">
      <c r="B27" s="10" t="s">
        <v>17</v>
      </c>
      <c r="C27" s="11" t="s">
        <v>192</v>
      </c>
      <c r="D27" s="207"/>
      <c r="E27" s="243">
        <f>E28-E32</f>
        <v>-31198.41</v>
      </c>
      <c r="F27" s="73"/>
    </row>
    <row r="28" spans="2:6" customFormat="1">
      <c r="B28" s="10" t="s">
        <v>18</v>
      </c>
      <c r="C28" s="11" t="s">
        <v>19</v>
      </c>
      <c r="D28" s="207"/>
      <c r="E28" s="244">
        <f>SUM(E29:E31)</f>
        <v>0</v>
      </c>
      <c r="F28" s="73"/>
    </row>
    <row r="29" spans="2:6" customFormat="1">
      <c r="B29" s="188" t="s">
        <v>4</v>
      </c>
      <c r="C29" s="181" t="s">
        <v>20</v>
      </c>
      <c r="D29" s="208"/>
      <c r="E29" s="246"/>
      <c r="F29" s="73"/>
    </row>
    <row r="30" spans="2:6" customFormat="1">
      <c r="B30" s="188" t="s">
        <v>6</v>
      </c>
      <c r="C30" s="181" t="s">
        <v>21</v>
      </c>
      <c r="D30" s="208"/>
      <c r="E30" s="246"/>
      <c r="F30" s="73"/>
    </row>
    <row r="31" spans="2:6" customFormat="1">
      <c r="B31" s="188" t="s">
        <v>8</v>
      </c>
      <c r="C31" s="181" t="s">
        <v>22</v>
      </c>
      <c r="D31" s="208"/>
      <c r="E31" s="246"/>
      <c r="F31" s="73"/>
    </row>
    <row r="32" spans="2:6" customFormat="1">
      <c r="B32" s="97" t="s">
        <v>23</v>
      </c>
      <c r="C32" s="12" t="s">
        <v>24</v>
      </c>
      <c r="D32" s="207"/>
      <c r="E32" s="244">
        <f>SUM(E33:E39)</f>
        <v>31198.41</v>
      </c>
      <c r="F32" s="73"/>
    </row>
    <row r="33" spans="2:6" customFormat="1">
      <c r="B33" s="188" t="s">
        <v>4</v>
      </c>
      <c r="C33" s="181" t="s">
        <v>25</v>
      </c>
      <c r="D33" s="208"/>
      <c r="E33" s="246"/>
      <c r="F33" s="73"/>
    </row>
    <row r="34" spans="2:6" customFormat="1">
      <c r="B34" s="188" t="s">
        <v>6</v>
      </c>
      <c r="C34" s="181" t="s">
        <v>26</v>
      </c>
      <c r="D34" s="208"/>
      <c r="E34" s="246"/>
      <c r="F34" s="73"/>
    </row>
    <row r="35" spans="2:6" customFormat="1">
      <c r="B35" s="188" t="s">
        <v>8</v>
      </c>
      <c r="C35" s="181" t="s">
        <v>27</v>
      </c>
      <c r="D35" s="208"/>
      <c r="E35" s="246">
        <v>7.67</v>
      </c>
      <c r="F35" s="73"/>
    </row>
    <row r="36" spans="2:6" customFormat="1">
      <c r="B36" s="188" t="s">
        <v>9</v>
      </c>
      <c r="C36" s="181" t="s">
        <v>28</v>
      </c>
      <c r="D36" s="208"/>
      <c r="E36" s="246"/>
      <c r="F36" s="73"/>
    </row>
    <row r="37" spans="2:6" customFormat="1" ht="25.5">
      <c r="B37" s="188" t="s">
        <v>29</v>
      </c>
      <c r="C37" s="181" t="s">
        <v>30</v>
      </c>
      <c r="D37" s="208"/>
      <c r="E37" s="246"/>
      <c r="F37" s="73"/>
    </row>
    <row r="38" spans="2:6" customFormat="1">
      <c r="B38" s="188" t="s">
        <v>31</v>
      </c>
      <c r="C38" s="181" t="s">
        <v>32</v>
      </c>
      <c r="D38" s="208"/>
      <c r="E38" s="246"/>
      <c r="F38" s="73"/>
    </row>
    <row r="39" spans="2:6" customFormat="1">
      <c r="B39" s="189" t="s">
        <v>33</v>
      </c>
      <c r="C39" s="190" t="s">
        <v>34</v>
      </c>
      <c r="D39" s="209"/>
      <c r="E39" s="248">
        <v>31190.74</v>
      </c>
      <c r="F39" s="73"/>
    </row>
    <row r="40" spans="2:6" customFormat="1" ht="13.5" thickBot="1">
      <c r="B40" s="103" t="s">
        <v>35</v>
      </c>
      <c r="C40" s="104" t="s">
        <v>36</v>
      </c>
      <c r="D40" s="210"/>
      <c r="E40" s="275">
        <v>909.2</v>
      </c>
    </row>
    <row r="41" spans="2:6" customFormat="1" ht="13.5" thickBot="1">
      <c r="B41" s="105" t="s">
        <v>37</v>
      </c>
      <c r="C41" s="106" t="s">
        <v>38</v>
      </c>
      <c r="D41" s="211"/>
      <c r="E41" s="154">
        <f>E26+E27+E40</f>
        <v>0</v>
      </c>
      <c r="F41" s="79"/>
    </row>
    <row r="42" spans="2:6" customFormat="1">
      <c r="B42" s="99"/>
      <c r="C42" s="99"/>
      <c r="D42" s="100"/>
      <c r="E42" s="100"/>
      <c r="F42" s="79"/>
    </row>
    <row r="43" spans="2:6" customFormat="1" ht="13.5">
      <c r="B43" s="314" t="s">
        <v>60</v>
      </c>
      <c r="C43" s="324"/>
      <c r="D43" s="324"/>
      <c r="E43" s="324"/>
    </row>
    <row r="44" spans="2:6" customFormat="1" ht="18" customHeight="1" thickBot="1">
      <c r="B44" s="312" t="s">
        <v>210</v>
      </c>
      <c r="C44" s="323"/>
      <c r="D44" s="323"/>
      <c r="E44" s="323"/>
    </row>
    <row r="45" spans="2:6" customFormat="1" ht="13.5" thickBot="1">
      <c r="B45" s="221"/>
      <c r="C45" s="31" t="s">
        <v>39</v>
      </c>
      <c r="D45" s="72" t="s">
        <v>233</v>
      </c>
      <c r="E45" s="30" t="s">
        <v>232</v>
      </c>
    </row>
    <row r="46" spans="2:6" customFormat="1">
      <c r="B46" s="14" t="s">
        <v>18</v>
      </c>
      <c r="C46" s="32" t="s">
        <v>193</v>
      </c>
      <c r="D46" s="107"/>
      <c r="E46" s="29"/>
    </row>
    <row r="47" spans="2:6" customFormat="1">
      <c r="B47" s="191" t="s">
        <v>4</v>
      </c>
      <c r="C47" s="192" t="s">
        <v>40</v>
      </c>
      <c r="D47" s="212"/>
      <c r="E47" s="155">
        <v>239.8955</v>
      </c>
    </row>
    <row r="48" spans="2:6" customFormat="1">
      <c r="B48" s="193" t="s">
        <v>6</v>
      </c>
      <c r="C48" s="194" t="s">
        <v>41</v>
      </c>
      <c r="D48" s="213"/>
      <c r="E48" s="155"/>
    </row>
    <row r="49" spans="2:5" customFormat="1">
      <c r="B49" s="126" t="s">
        <v>23</v>
      </c>
      <c r="C49" s="130" t="s">
        <v>194</v>
      </c>
      <c r="D49" s="214"/>
      <c r="E49" s="155"/>
    </row>
    <row r="50" spans="2:5" customFormat="1">
      <c r="B50" s="191" t="s">
        <v>4</v>
      </c>
      <c r="C50" s="192" t="s">
        <v>40</v>
      </c>
      <c r="D50" s="212"/>
      <c r="E50" s="155">
        <v>126.26</v>
      </c>
    </row>
    <row r="51" spans="2:5" customFormat="1">
      <c r="B51" s="191" t="s">
        <v>6</v>
      </c>
      <c r="C51" s="192" t="s">
        <v>195</v>
      </c>
      <c r="D51" s="215"/>
      <c r="E51" s="77">
        <v>122.14</v>
      </c>
    </row>
    <row r="52" spans="2:5" customFormat="1">
      <c r="B52" s="191" t="s">
        <v>8</v>
      </c>
      <c r="C52" s="192" t="s">
        <v>196</v>
      </c>
      <c r="D52" s="215"/>
      <c r="E52" s="77">
        <v>134.94</v>
      </c>
    </row>
    <row r="53" spans="2:5" customFormat="1" ht="13.5" thickBot="1">
      <c r="B53" s="195" t="s">
        <v>9</v>
      </c>
      <c r="C53" s="196" t="s">
        <v>41</v>
      </c>
      <c r="D53" s="216"/>
      <c r="E53" s="281"/>
    </row>
    <row r="54" spans="2:5" customFormat="1">
      <c r="B54" s="115"/>
      <c r="C54" s="116"/>
      <c r="D54" s="117"/>
      <c r="E54" s="117"/>
    </row>
    <row r="55" spans="2:5" customFormat="1" ht="13.5">
      <c r="B55" s="314" t="s">
        <v>62</v>
      </c>
      <c r="C55" s="315"/>
      <c r="D55" s="315"/>
      <c r="E55" s="315"/>
    </row>
    <row r="56" spans="2:5" customFormat="1" ht="14.25" thickBot="1">
      <c r="B56" s="312" t="s">
        <v>197</v>
      </c>
      <c r="C56" s="316"/>
      <c r="D56" s="316"/>
      <c r="E56" s="316"/>
    </row>
    <row r="57" spans="2:5" customFormat="1" ht="23.25" thickBot="1">
      <c r="B57" s="307" t="s">
        <v>42</v>
      </c>
      <c r="C57" s="308"/>
      <c r="D57" s="19" t="s">
        <v>211</v>
      </c>
      <c r="E57" s="20" t="s">
        <v>198</v>
      </c>
    </row>
    <row r="58" spans="2:5" customFormat="1">
      <c r="B58" s="21" t="s">
        <v>18</v>
      </c>
      <c r="C58" s="132" t="s">
        <v>43</v>
      </c>
      <c r="D58" s="133">
        <v>0</v>
      </c>
      <c r="E58" s="33">
        <v>0</v>
      </c>
    </row>
    <row r="59" spans="2:5" customFormat="1" ht="25.5">
      <c r="B59" s="129" t="s">
        <v>4</v>
      </c>
      <c r="C59" s="23" t="s">
        <v>44</v>
      </c>
      <c r="D59" s="82">
        <v>0</v>
      </c>
      <c r="E59" s="83">
        <v>0</v>
      </c>
    </row>
    <row r="60" spans="2:5" customFormat="1" ht="25.5">
      <c r="B60" s="108" t="s">
        <v>6</v>
      </c>
      <c r="C60" s="16" t="s">
        <v>45</v>
      </c>
      <c r="D60" s="80">
        <v>0</v>
      </c>
      <c r="E60" s="81">
        <v>0</v>
      </c>
    </row>
    <row r="61" spans="2:5" customFormat="1">
      <c r="B61" s="108" t="s">
        <v>8</v>
      </c>
      <c r="C61" s="16" t="s">
        <v>46</v>
      </c>
      <c r="D61" s="80">
        <v>0</v>
      </c>
      <c r="E61" s="81">
        <v>0</v>
      </c>
    </row>
    <row r="62" spans="2:5" customFormat="1">
      <c r="B62" s="108" t="s">
        <v>9</v>
      </c>
      <c r="C62" s="16" t="s">
        <v>47</v>
      </c>
      <c r="D62" s="80">
        <v>0</v>
      </c>
      <c r="E62" s="81">
        <v>0</v>
      </c>
    </row>
    <row r="63" spans="2:5" customFormat="1">
      <c r="B63" s="108" t="s">
        <v>29</v>
      </c>
      <c r="C63" s="16" t="s">
        <v>48</v>
      </c>
      <c r="D63" s="80">
        <v>0</v>
      </c>
      <c r="E63" s="81">
        <v>0</v>
      </c>
    </row>
    <row r="64" spans="2:5" customFormat="1">
      <c r="B64" s="129" t="s">
        <v>31</v>
      </c>
      <c r="C64" s="23" t="s">
        <v>49</v>
      </c>
      <c r="D64" s="82">
        <v>0</v>
      </c>
      <c r="E64" s="83">
        <f>E58</f>
        <v>0</v>
      </c>
    </row>
    <row r="65" spans="2:5" customFormat="1">
      <c r="B65" s="129" t="s">
        <v>33</v>
      </c>
      <c r="C65" s="23" t="s">
        <v>199</v>
      </c>
      <c r="D65" s="82">
        <v>0</v>
      </c>
      <c r="E65" s="83">
        <v>0</v>
      </c>
    </row>
    <row r="66" spans="2:5" customFormat="1">
      <c r="B66" s="129" t="s">
        <v>50</v>
      </c>
      <c r="C66" s="23" t="s">
        <v>51</v>
      </c>
      <c r="D66" s="82">
        <v>0</v>
      </c>
      <c r="E66" s="83">
        <v>0</v>
      </c>
    </row>
    <row r="67" spans="2:5" customFormat="1">
      <c r="B67" s="108" t="s">
        <v>52</v>
      </c>
      <c r="C67" s="16" t="s">
        <v>53</v>
      </c>
      <c r="D67" s="80">
        <v>0</v>
      </c>
      <c r="E67" s="81">
        <v>0</v>
      </c>
    </row>
    <row r="68" spans="2:5" customFormat="1">
      <c r="B68" s="108" t="s">
        <v>54</v>
      </c>
      <c r="C68" s="16" t="s">
        <v>55</v>
      </c>
      <c r="D68" s="80">
        <v>0</v>
      </c>
      <c r="E68" s="81">
        <v>0</v>
      </c>
    </row>
    <row r="69" spans="2:5" customFormat="1">
      <c r="B69" s="108" t="s">
        <v>56</v>
      </c>
      <c r="C69" s="16" t="s">
        <v>57</v>
      </c>
      <c r="D69" s="80">
        <v>0</v>
      </c>
      <c r="E69" s="81">
        <v>0</v>
      </c>
    </row>
    <row r="70" spans="2:5" customFormat="1">
      <c r="B70" s="135" t="s">
        <v>58</v>
      </c>
      <c r="C70" s="119" t="s">
        <v>59</v>
      </c>
      <c r="D70" s="120">
        <v>0</v>
      </c>
      <c r="E70" s="121">
        <v>0</v>
      </c>
    </row>
    <row r="71" spans="2:5" customFormat="1">
      <c r="B71" s="136" t="s">
        <v>23</v>
      </c>
      <c r="C71" s="127" t="s">
        <v>61</v>
      </c>
      <c r="D71" s="128">
        <v>0</v>
      </c>
      <c r="E71" s="68">
        <v>0</v>
      </c>
    </row>
    <row r="72" spans="2:5" customFormat="1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 customFormat="1">
      <c r="B73" s="138" t="s">
        <v>62</v>
      </c>
      <c r="C73" s="25" t="s">
        <v>65</v>
      </c>
      <c r="D73" s="26">
        <v>0</v>
      </c>
      <c r="E73" s="27">
        <v>0</v>
      </c>
    </row>
    <row r="74" spans="2:5" customFormat="1">
      <c r="B74" s="136" t="s">
        <v>64</v>
      </c>
      <c r="C74" s="127" t="s">
        <v>66</v>
      </c>
      <c r="D74" s="128">
        <v>0</v>
      </c>
      <c r="E74" s="68">
        <f>E58+E72-E73</f>
        <v>0</v>
      </c>
    </row>
    <row r="75" spans="2:5" customFormat="1">
      <c r="B75" s="108" t="s">
        <v>4</v>
      </c>
      <c r="C75" s="16" t="s">
        <v>67</v>
      </c>
      <c r="D75" s="80">
        <v>0</v>
      </c>
      <c r="E75" s="81">
        <f>E74</f>
        <v>0</v>
      </c>
    </row>
    <row r="76" spans="2:5" customFormat="1">
      <c r="B76" s="108" t="s">
        <v>6</v>
      </c>
      <c r="C76" s="16" t="s">
        <v>200</v>
      </c>
      <c r="D76" s="80">
        <v>0</v>
      </c>
      <c r="E76" s="81">
        <v>0</v>
      </c>
    </row>
    <row r="77" spans="2:5" customFormat="1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14.25">
      <c r="B5" s="310" t="s">
        <v>1</v>
      </c>
      <c r="C5" s="310"/>
      <c r="D5" s="310"/>
      <c r="E5" s="310"/>
    </row>
    <row r="6" spans="2:7" ht="14.25">
      <c r="B6" s="311" t="s">
        <v>209</v>
      </c>
      <c r="C6" s="311"/>
      <c r="D6" s="311"/>
      <c r="E6" s="311"/>
    </row>
    <row r="7" spans="2:7" ht="14.25">
      <c r="B7" s="159"/>
      <c r="C7" s="159"/>
      <c r="D7" s="159"/>
      <c r="E7" s="15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60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3796.47</v>
      </c>
      <c r="E11" s="9" t="str">
        <f>E12</f>
        <v>-</v>
      </c>
    </row>
    <row r="12" spans="2:7">
      <c r="B12" s="180" t="s">
        <v>4</v>
      </c>
      <c r="C12" s="181" t="s">
        <v>5</v>
      </c>
      <c r="D12" s="235">
        <v>3796.47</v>
      </c>
      <c r="E12" s="87" t="s">
        <v>212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3796.47</v>
      </c>
      <c r="E21" s="154" t="str">
        <f>E11</f>
        <v>-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3492.57</v>
      </c>
      <c r="E26" s="274">
        <f>D21</f>
        <v>3796.47</v>
      </c>
    </row>
    <row r="27" spans="2:6">
      <c r="B27" s="10" t="s">
        <v>17</v>
      </c>
      <c r="C27" s="11" t="s">
        <v>192</v>
      </c>
      <c r="D27" s="207">
        <v>0</v>
      </c>
      <c r="E27" s="243">
        <f>E28-E32</f>
        <v>-3558.42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0</v>
      </c>
      <c r="E32" s="244">
        <f>SUM(E33:E39)</f>
        <v>3558.42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>
        <v>38.92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>
        <v>37.83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3481.67</v>
      </c>
      <c r="F39" s="73"/>
    </row>
    <row r="40" spans="2:6" ht="13.5" thickBot="1">
      <c r="B40" s="103" t="s">
        <v>35</v>
      </c>
      <c r="C40" s="104" t="s">
        <v>36</v>
      </c>
      <c r="D40" s="210">
        <v>381.27</v>
      </c>
      <c r="E40" s="275">
        <v>-238.05</v>
      </c>
    </row>
    <row r="41" spans="2:6" ht="13.5" thickBot="1">
      <c r="B41" s="105" t="s">
        <v>37</v>
      </c>
      <c r="C41" s="106" t="s">
        <v>38</v>
      </c>
      <c r="D41" s="211">
        <v>3873.84</v>
      </c>
      <c r="E41" s="154" t="s">
        <v>212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29.533000000000001</v>
      </c>
      <c r="E47" s="155">
        <v>29.533000000000001</v>
      </c>
    </row>
    <row r="48" spans="2:6">
      <c r="B48" s="193" t="s">
        <v>6</v>
      </c>
      <c r="C48" s="194" t="s">
        <v>41</v>
      </c>
      <c r="D48" s="213">
        <v>29.533000000000001</v>
      </c>
      <c r="E48" s="155"/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118.26</v>
      </c>
      <c r="E50" s="155">
        <v>128.55000000000001</v>
      </c>
    </row>
    <row r="51" spans="2:5">
      <c r="B51" s="191" t="s">
        <v>6</v>
      </c>
      <c r="C51" s="192" t="s">
        <v>195</v>
      </c>
      <c r="D51" s="215">
        <v>118.26</v>
      </c>
      <c r="E51" s="77">
        <v>116.72</v>
      </c>
    </row>
    <row r="52" spans="2:5">
      <c r="B52" s="191" t="s">
        <v>8</v>
      </c>
      <c r="C52" s="192" t="s">
        <v>196</v>
      </c>
      <c r="D52" s="215">
        <v>133.91999999999999</v>
      </c>
      <c r="E52" s="77">
        <v>134.51</v>
      </c>
    </row>
    <row r="53" spans="2:5" ht="13.5" thickBot="1">
      <c r="B53" s="195" t="s">
        <v>9</v>
      </c>
      <c r="C53" s="196" t="s">
        <v>41</v>
      </c>
      <c r="D53" s="216">
        <v>131.16999999999999</v>
      </c>
      <c r="E53" s="281"/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v>0</v>
      </c>
      <c r="E58" s="33">
        <v>0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v>0</v>
      </c>
      <c r="E64" s="83">
        <f>E58</f>
        <v>0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0</v>
      </c>
      <c r="E74" s="68">
        <f>E58+E72-E73</f>
        <v>0</v>
      </c>
    </row>
    <row r="75" spans="2:5">
      <c r="B75" s="108" t="s">
        <v>4</v>
      </c>
      <c r="C75" s="16" t="s">
        <v>67</v>
      </c>
      <c r="D75" s="80">
        <f>D74</f>
        <v>0</v>
      </c>
      <c r="E75" s="81">
        <f>E74</f>
        <v>0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0"/>
      <c r="C4" s="140"/>
      <c r="D4" s="140"/>
      <c r="E4" s="14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160</v>
      </c>
      <c r="C6" s="311"/>
      <c r="D6" s="311"/>
      <c r="E6" s="311"/>
    </row>
    <row r="7" spans="2:5" ht="14.25">
      <c r="B7" s="139"/>
      <c r="C7" s="139"/>
      <c r="D7" s="139"/>
      <c r="E7" s="139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1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3374933.59</v>
      </c>
      <c r="E11" s="9">
        <f>E12</f>
        <v>3234372.26</v>
      </c>
    </row>
    <row r="12" spans="2:5">
      <c r="B12" s="180" t="s">
        <v>4</v>
      </c>
      <c r="C12" s="181" t="s">
        <v>5</v>
      </c>
      <c r="D12" s="235">
        <v>3374933.59</v>
      </c>
      <c r="E12" s="87">
        <v>3234372.26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3374933.59</v>
      </c>
      <c r="E21" s="154">
        <f>E11</f>
        <v>3234372.26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2133646.2599999998</v>
      </c>
      <c r="E26" s="274">
        <f>D21</f>
        <v>3374933.59</v>
      </c>
    </row>
    <row r="27" spans="2:6">
      <c r="B27" s="10" t="s">
        <v>17</v>
      </c>
      <c r="C27" s="11" t="s">
        <v>192</v>
      </c>
      <c r="D27" s="207">
        <v>172148.85</v>
      </c>
      <c r="E27" s="243">
        <f>E28-E32</f>
        <v>-144877.84</v>
      </c>
      <c r="F27" s="73"/>
    </row>
    <row r="28" spans="2:6">
      <c r="B28" s="10" t="s">
        <v>18</v>
      </c>
      <c r="C28" s="11" t="s">
        <v>19</v>
      </c>
      <c r="D28" s="207">
        <v>206077.04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206077.04</v>
      </c>
      <c r="E31" s="246"/>
      <c r="F31" s="73"/>
    </row>
    <row r="32" spans="2:6">
      <c r="B32" s="97" t="s">
        <v>23</v>
      </c>
      <c r="C32" s="12" t="s">
        <v>24</v>
      </c>
      <c r="D32" s="207">
        <v>33928.19</v>
      </c>
      <c r="E32" s="244">
        <f>SUM(E33:E39)</f>
        <v>144877.84</v>
      </c>
      <c r="F32" s="73"/>
    </row>
    <row r="33" spans="2:6">
      <c r="B33" s="188" t="s">
        <v>4</v>
      </c>
      <c r="C33" s="181" t="s">
        <v>25</v>
      </c>
      <c r="D33" s="208">
        <v>13664.86</v>
      </c>
      <c r="E33" s="246">
        <v>89495.77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1819.24</v>
      </c>
      <c r="E35" s="246">
        <v>726.5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18444.09</v>
      </c>
      <c r="E37" s="246">
        <v>26058.94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28596.63</v>
      </c>
      <c r="F39" s="73"/>
    </row>
    <row r="40" spans="2:6" ht="13.5" thickBot="1">
      <c r="B40" s="103" t="s">
        <v>35</v>
      </c>
      <c r="C40" s="104" t="s">
        <v>36</v>
      </c>
      <c r="D40" s="210">
        <v>170874.3</v>
      </c>
      <c r="E40" s="275">
        <v>4316.51</v>
      </c>
    </row>
    <row r="41" spans="2:6" ht="13.5" thickBot="1">
      <c r="B41" s="105" t="s">
        <v>37</v>
      </c>
      <c r="C41" s="106" t="s">
        <v>38</v>
      </c>
      <c r="D41" s="211">
        <v>2476669.4099999997</v>
      </c>
      <c r="E41" s="154">
        <f>E26+E27+E40</f>
        <v>3234372.26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5206.4279999999999</v>
      </c>
      <c r="E47" s="155">
        <v>6830.0519999999997</v>
      </c>
    </row>
    <row r="48" spans="2:6">
      <c r="B48" s="193" t="s">
        <v>6</v>
      </c>
      <c r="C48" s="194" t="s">
        <v>41</v>
      </c>
      <c r="D48" s="213">
        <v>5607.7650000000003</v>
      </c>
      <c r="E48" s="155">
        <v>6538.18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409.81</v>
      </c>
      <c r="E50" s="155">
        <v>494.13</v>
      </c>
    </row>
    <row r="51" spans="2:5">
      <c r="B51" s="191" t="s">
        <v>6</v>
      </c>
      <c r="C51" s="192" t="s">
        <v>195</v>
      </c>
      <c r="D51" s="215">
        <v>409.81</v>
      </c>
      <c r="E51" s="77">
        <v>467.61</v>
      </c>
    </row>
    <row r="52" spans="2:5">
      <c r="B52" s="191" t="s">
        <v>8</v>
      </c>
      <c r="C52" s="192" t="s">
        <v>196</v>
      </c>
      <c r="D52" s="215">
        <v>451.14</v>
      </c>
      <c r="E52" s="77">
        <v>518.08000000000004</v>
      </c>
    </row>
    <row r="53" spans="2:5" ht="12.75" customHeight="1" thickBot="1">
      <c r="B53" s="195" t="s">
        <v>9</v>
      </c>
      <c r="C53" s="196" t="s">
        <v>41</v>
      </c>
      <c r="D53" s="216">
        <v>441.65</v>
      </c>
      <c r="E53" s="281">
        <v>494.69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3234372.26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3234372.26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3234372.26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3234372.26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0"/>
      <c r="C4" s="140"/>
      <c r="D4" s="140"/>
      <c r="E4" s="140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161</v>
      </c>
      <c r="C6" s="311"/>
      <c r="D6" s="311"/>
      <c r="E6" s="311"/>
    </row>
    <row r="7" spans="2:5" ht="14.25">
      <c r="B7" s="139"/>
      <c r="C7" s="139"/>
      <c r="D7" s="139"/>
      <c r="E7" s="139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1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13141202.960000001</v>
      </c>
      <c r="E11" s="9">
        <f>E12</f>
        <v>12222010.550000001</v>
      </c>
    </row>
    <row r="12" spans="2:5">
      <c r="B12" s="180" t="s">
        <v>4</v>
      </c>
      <c r="C12" s="181" t="s">
        <v>5</v>
      </c>
      <c r="D12" s="235">
        <v>13141202.960000001</v>
      </c>
      <c r="E12" s="87">
        <v>12222010.550000001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13141202.960000001</v>
      </c>
      <c r="E21" s="154">
        <f>E11</f>
        <v>12222010.550000001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14810064.869999999</v>
      </c>
      <c r="E26" s="274">
        <f>D21</f>
        <v>13141202.960000001</v>
      </c>
    </row>
    <row r="27" spans="2:6">
      <c r="B27" s="10" t="s">
        <v>17</v>
      </c>
      <c r="C27" s="11" t="s">
        <v>192</v>
      </c>
      <c r="D27" s="207">
        <v>-2622684.2500000005</v>
      </c>
      <c r="E27" s="243">
        <f>E28-E32</f>
        <v>-1451611.24</v>
      </c>
      <c r="F27" s="73"/>
    </row>
    <row r="28" spans="2:6">
      <c r="B28" s="10" t="s">
        <v>18</v>
      </c>
      <c r="C28" s="11" t="s">
        <v>19</v>
      </c>
      <c r="D28" s="207">
        <v>100232.36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100232.36</v>
      </c>
      <c r="E31" s="246"/>
      <c r="F31" s="73"/>
    </row>
    <row r="32" spans="2:6">
      <c r="B32" s="97" t="s">
        <v>23</v>
      </c>
      <c r="C32" s="12" t="s">
        <v>24</v>
      </c>
      <c r="D32" s="207">
        <v>2722916.6100000003</v>
      </c>
      <c r="E32" s="244">
        <f>SUM(E33:E39)</f>
        <v>1451611.24</v>
      </c>
      <c r="F32" s="73"/>
    </row>
    <row r="33" spans="2:6">
      <c r="B33" s="188" t="s">
        <v>4</v>
      </c>
      <c r="C33" s="181" t="s">
        <v>25</v>
      </c>
      <c r="D33" s="208">
        <v>299783.65000000002</v>
      </c>
      <c r="E33" s="246">
        <v>273189.19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6854.59</v>
      </c>
      <c r="E35" s="246">
        <v>4413.42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117632.67</v>
      </c>
      <c r="E37" s="246">
        <v>100500.83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2298645.7000000002</v>
      </c>
      <c r="E39" s="248">
        <v>1073507.8</v>
      </c>
      <c r="F39" s="73"/>
    </row>
    <row r="40" spans="2:6" ht="13.5" thickBot="1">
      <c r="B40" s="103" t="s">
        <v>35</v>
      </c>
      <c r="C40" s="104" t="s">
        <v>36</v>
      </c>
      <c r="D40" s="210">
        <v>1866374.72</v>
      </c>
      <c r="E40" s="275">
        <v>532418.82999999996</v>
      </c>
    </row>
    <row r="41" spans="2:6" ht="13.5" thickBot="1">
      <c r="B41" s="105" t="s">
        <v>37</v>
      </c>
      <c r="C41" s="106" t="s">
        <v>38</v>
      </c>
      <c r="D41" s="211">
        <v>14053755.34</v>
      </c>
      <c r="E41" s="154">
        <f>E26+E27+E40</f>
        <v>12222010.550000001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46656.160000000003</v>
      </c>
      <c r="E47" s="155">
        <v>35443.004999999997</v>
      </c>
    </row>
    <row r="48" spans="2:6">
      <c r="B48" s="193" t="s">
        <v>6</v>
      </c>
      <c r="C48" s="194" t="s">
        <v>41</v>
      </c>
      <c r="D48" s="213">
        <v>38949.491000000002</v>
      </c>
      <c r="E48" s="155">
        <v>31553.701000000001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317.43</v>
      </c>
      <c r="E50" s="155">
        <v>370.77</v>
      </c>
    </row>
    <row r="51" spans="2:5">
      <c r="B51" s="191" t="s">
        <v>6</v>
      </c>
      <c r="C51" s="192" t="s">
        <v>195</v>
      </c>
      <c r="D51" s="215">
        <v>317.37</v>
      </c>
      <c r="E51" s="77">
        <v>353.19</v>
      </c>
    </row>
    <row r="52" spans="2:5">
      <c r="B52" s="191" t="s">
        <v>8</v>
      </c>
      <c r="C52" s="192" t="s">
        <v>196</v>
      </c>
      <c r="D52" s="215">
        <v>370.65</v>
      </c>
      <c r="E52" s="77">
        <v>396.77</v>
      </c>
    </row>
    <row r="53" spans="2:5" ht="14.25" customHeight="1" thickBot="1">
      <c r="B53" s="195" t="s">
        <v>9</v>
      </c>
      <c r="C53" s="196" t="s">
        <v>41</v>
      </c>
      <c r="D53" s="216">
        <v>360.82</v>
      </c>
      <c r="E53" s="281">
        <v>387.34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12222010.550000001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12222010.550000001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12222010.550000001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12222010.550000001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170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4299565.83</v>
      </c>
      <c r="E11" s="9">
        <f>E12</f>
        <v>3350111.92</v>
      </c>
    </row>
    <row r="12" spans="2:7">
      <c r="B12" s="180" t="s">
        <v>4</v>
      </c>
      <c r="C12" s="181" t="s">
        <v>5</v>
      </c>
      <c r="D12" s="235">
        <v>4299565.83</v>
      </c>
      <c r="E12" s="87">
        <v>3350111.92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4299565.83</v>
      </c>
      <c r="E21" s="154">
        <f>E11</f>
        <v>3350111.92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3624941.58</v>
      </c>
      <c r="E26" s="274">
        <f>D21</f>
        <v>4299565.83</v>
      </c>
    </row>
    <row r="27" spans="2:6">
      <c r="B27" s="10" t="s">
        <v>17</v>
      </c>
      <c r="C27" s="11" t="s">
        <v>192</v>
      </c>
      <c r="D27" s="207">
        <v>86259.080000000016</v>
      </c>
      <c r="E27" s="243">
        <f>E28-E32</f>
        <v>-901934.06</v>
      </c>
      <c r="F27" s="73"/>
    </row>
    <row r="28" spans="2:6">
      <c r="B28" s="10" t="s">
        <v>18</v>
      </c>
      <c r="C28" s="11" t="s">
        <v>19</v>
      </c>
      <c r="D28" s="207">
        <v>115366.29000000001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>
        <v>49979.96</v>
      </c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65386.33</v>
      </c>
      <c r="E31" s="246"/>
      <c r="F31" s="73"/>
    </row>
    <row r="32" spans="2:6">
      <c r="B32" s="97" t="s">
        <v>23</v>
      </c>
      <c r="C32" s="12" t="s">
        <v>24</v>
      </c>
      <c r="D32" s="207">
        <v>29107.21</v>
      </c>
      <c r="E32" s="244">
        <f>SUM(E33:E39)</f>
        <v>901934.06</v>
      </c>
      <c r="F32" s="73"/>
    </row>
    <row r="33" spans="2:6">
      <c r="B33" s="188" t="s">
        <v>4</v>
      </c>
      <c r="C33" s="181" t="s">
        <v>25</v>
      </c>
      <c r="D33" s="208"/>
      <c r="E33" s="246">
        <v>510875.57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2.5099999999999998</v>
      </c>
      <c r="E35" s="246">
        <v>407.9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29104.7</v>
      </c>
      <c r="E37" s="246">
        <v>30774.29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359876.3</v>
      </c>
      <c r="F39" s="73"/>
    </row>
    <row r="40" spans="2:6" ht="13.5" thickBot="1">
      <c r="B40" s="103" t="s">
        <v>35</v>
      </c>
      <c r="C40" s="104" t="s">
        <v>36</v>
      </c>
      <c r="D40" s="210">
        <v>52821.45</v>
      </c>
      <c r="E40" s="275">
        <v>-47519.85</v>
      </c>
    </row>
    <row r="41" spans="2:6" ht="13.5" thickBot="1">
      <c r="B41" s="105" t="s">
        <v>37</v>
      </c>
      <c r="C41" s="106" t="s">
        <v>38</v>
      </c>
      <c r="D41" s="211">
        <v>3764022.1100000003</v>
      </c>
      <c r="E41" s="154">
        <f>E26+E27+E40</f>
        <v>3350111.92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8778.1610000000001</v>
      </c>
      <c r="E47" s="155">
        <v>10169.987999999999</v>
      </c>
    </row>
    <row r="48" spans="2:6">
      <c r="B48" s="193" t="s">
        <v>6</v>
      </c>
      <c r="C48" s="194" t="s">
        <v>41</v>
      </c>
      <c r="D48" s="213">
        <v>8984.2039999999997</v>
      </c>
      <c r="E48" s="155">
        <v>8038.4679999999998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412.95</v>
      </c>
      <c r="E50" s="155">
        <v>422.77</v>
      </c>
    </row>
    <row r="51" spans="2:5">
      <c r="B51" s="191" t="s">
        <v>6</v>
      </c>
      <c r="C51" s="192" t="s">
        <v>195</v>
      </c>
      <c r="D51" s="215">
        <v>412.95</v>
      </c>
      <c r="E51" s="77">
        <v>416.57</v>
      </c>
    </row>
    <row r="52" spans="2:5">
      <c r="B52" s="191" t="s">
        <v>8</v>
      </c>
      <c r="C52" s="192" t="s">
        <v>196</v>
      </c>
      <c r="D52" s="215">
        <v>419.36</v>
      </c>
      <c r="E52" s="77">
        <v>425.98</v>
      </c>
    </row>
    <row r="53" spans="2:5" ht="13.5" customHeight="1" thickBot="1">
      <c r="B53" s="195" t="s">
        <v>9</v>
      </c>
      <c r="C53" s="196" t="s">
        <v>41</v>
      </c>
      <c r="D53" s="216">
        <v>418.96</v>
      </c>
      <c r="E53" s="281">
        <v>416.76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3350111.92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3350111.92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3350111.92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3350111.92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53"/>
      <c r="C4" s="153"/>
      <c r="D4" s="153"/>
      <c r="E4" s="153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231</v>
      </c>
      <c r="C6" s="311"/>
      <c r="D6" s="311"/>
      <c r="E6" s="311"/>
    </row>
    <row r="7" spans="2:7" ht="14.25">
      <c r="B7" s="220"/>
      <c r="C7" s="220"/>
      <c r="D7" s="220"/>
      <c r="E7" s="220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219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18128.2</v>
      </c>
      <c r="E11" s="9">
        <f>E12</f>
        <v>52309.45</v>
      </c>
    </row>
    <row r="12" spans="2:7">
      <c r="B12" s="180" t="s">
        <v>4</v>
      </c>
      <c r="C12" s="181" t="s">
        <v>5</v>
      </c>
      <c r="D12" s="235">
        <v>18128.2</v>
      </c>
      <c r="E12" s="87">
        <v>52309.45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18128.2</v>
      </c>
      <c r="E21" s="154">
        <f>E11</f>
        <v>52309.45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/>
      <c r="E26" s="274">
        <f>D21</f>
        <v>18128.2</v>
      </c>
    </row>
    <row r="27" spans="2:6">
      <c r="B27" s="10" t="s">
        <v>17</v>
      </c>
      <c r="C27" s="11" t="s">
        <v>192</v>
      </c>
      <c r="D27" s="207"/>
      <c r="E27" s="243">
        <f>E28-E32</f>
        <v>35229.54</v>
      </c>
      <c r="F27" s="73"/>
    </row>
    <row r="28" spans="2:6">
      <c r="B28" s="10" t="s">
        <v>18</v>
      </c>
      <c r="C28" s="11" t="s">
        <v>19</v>
      </c>
      <c r="D28" s="207"/>
      <c r="E28" s="244">
        <f>SUM(E29:E31)</f>
        <v>35229.54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>
        <v>35229.54</v>
      </c>
      <c r="F31" s="73"/>
    </row>
    <row r="32" spans="2:6">
      <c r="B32" s="97" t="s">
        <v>23</v>
      </c>
      <c r="C32" s="12" t="s">
        <v>24</v>
      </c>
      <c r="D32" s="207"/>
      <c r="E32" s="244">
        <f>SUM(E33:E39)</f>
        <v>0</v>
      </c>
      <c r="F32" s="73"/>
    </row>
    <row r="33" spans="2:6">
      <c r="B33" s="188" t="s">
        <v>4</v>
      </c>
      <c r="C33" s="181" t="s">
        <v>25</v>
      </c>
      <c r="D33" s="208"/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/>
      <c r="E40" s="275">
        <v>-1048.29</v>
      </c>
    </row>
    <row r="41" spans="2:6" ht="13.5" thickBot="1">
      <c r="B41" s="105" t="s">
        <v>37</v>
      </c>
      <c r="C41" s="106" t="s">
        <v>38</v>
      </c>
      <c r="D41" s="211"/>
      <c r="E41" s="154">
        <f>E26+E27+E40</f>
        <v>52309.450000000004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/>
      <c r="E47" s="155">
        <v>16.233000000000001</v>
      </c>
    </row>
    <row r="48" spans="2:6">
      <c r="B48" s="193" t="s">
        <v>6</v>
      </c>
      <c r="C48" s="194" t="s">
        <v>41</v>
      </c>
      <c r="D48" s="213"/>
      <c r="E48" s="155">
        <v>47.165999999999997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/>
      <c r="E50" s="155">
        <v>1116.75</v>
      </c>
    </row>
    <row r="51" spans="2:5">
      <c r="B51" s="191" t="s">
        <v>6</v>
      </c>
      <c r="C51" s="192" t="s">
        <v>195</v>
      </c>
      <c r="D51" s="215"/>
      <c r="E51" s="77">
        <v>1105.55</v>
      </c>
    </row>
    <row r="52" spans="2:5">
      <c r="B52" s="191" t="s">
        <v>8</v>
      </c>
      <c r="C52" s="192" t="s">
        <v>196</v>
      </c>
      <c r="D52" s="215"/>
      <c r="E52" s="77">
        <v>1183.78</v>
      </c>
    </row>
    <row r="53" spans="2:5" ht="13.5" customHeight="1" thickBot="1">
      <c r="B53" s="195" t="s">
        <v>9</v>
      </c>
      <c r="C53" s="196" t="s">
        <v>41</v>
      </c>
      <c r="D53" s="216"/>
      <c r="E53" s="281">
        <v>1109.05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52309.45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52309.45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52309.45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52309.45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224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430340.52</v>
      </c>
      <c r="E11" s="9">
        <f>E12</f>
        <v>313418.92</v>
      </c>
    </row>
    <row r="12" spans="2:7">
      <c r="B12" s="180" t="s">
        <v>4</v>
      </c>
      <c r="C12" s="181" t="s">
        <v>5</v>
      </c>
      <c r="D12" s="235">
        <v>430340.52</v>
      </c>
      <c r="E12" s="87">
        <f>313420.74-1.82</f>
        <v>313418.92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430340.52</v>
      </c>
      <c r="E21" s="154">
        <f>E11</f>
        <v>313418.92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371176.07</v>
      </c>
      <c r="E26" s="274">
        <f>D21</f>
        <v>430340.52</v>
      </c>
    </row>
    <row r="27" spans="2:6">
      <c r="B27" s="10" t="s">
        <v>17</v>
      </c>
      <c r="C27" s="11" t="s">
        <v>192</v>
      </c>
      <c r="D27" s="207">
        <v>31441.039999999979</v>
      </c>
      <c r="E27" s="243">
        <f>E28-E32</f>
        <v>-78857.5</v>
      </c>
      <c r="F27" s="73"/>
    </row>
    <row r="28" spans="2:6">
      <c r="B28" s="10" t="s">
        <v>18</v>
      </c>
      <c r="C28" s="11" t="s">
        <v>19</v>
      </c>
      <c r="D28" s="207">
        <v>120798.51999999999</v>
      </c>
      <c r="E28" s="244">
        <f>SUM(E29:E31)</f>
        <v>15625.51</v>
      </c>
      <c r="F28" s="73"/>
    </row>
    <row r="29" spans="2:6">
      <c r="B29" s="188" t="s">
        <v>4</v>
      </c>
      <c r="C29" s="181" t="s">
        <v>20</v>
      </c>
      <c r="D29" s="208">
        <v>8028.82</v>
      </c>
      <c r="E29" s="246">
        <v>4896.92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112769.7</v>
      </c>
      <c r="E31" s="246">
        <v>10728.59</v>
      </c>
      <c r="F31" s="73"/>
    </row>
    <row r="32" spans="2:6">
      <c r="B32" s="97" t="s">
        <v>23</v>
      </c>
      <c r="C32" s="12" t="s">
        <v>24</v>
      </c>
      <c r="D32" s="207">
        <v>89357.48000000001</v>
      </c>
      <c r="E32" s="244">
        <f>SUM(E33:E39)</f>
        <v>94483.01</v>
      </c>
      <c r="F32" s="73"/>
    </row>
    <row r="33" spans="2:6">
      <c r="B33" s="188" t="s">
        <v>4</v>
      </c>
      <c r="C33" s="181" t="s">
        <v>25</v>
      </c>
      <c r="D33" s="208">
        <v>51055.75</v>
      </c>
      <c r="E33" s="246">
        <f>37273.46-0.22</f>
        <v>37273.24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572.42999999999995</v>
      </c>
      <c r="E35" s="246">
        <v>578.29999999999995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3572.33</v>
      </c>
      <c r="E37" s="246">
        <v>3369.52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34156.97</v>
      </c>
      <c r="E39" s="248">
        <v>53261.95</v>
      </c>
      <c r="F39" s="73"/>
    </row>
    <row r="40" spans="2:6" ht="13.5" thickBot="1">
      <c r="B40" s="103" t="s">
        <v>35</v>
      </c>
      <c r="C40" s="104" t="s">
        <v>36</v>
      </c>
      <c r="D40" s="210">
        <v>56672.36</v>
      </c>
      <c r="E40" s="275">
        <v>-38064.1</v>
      </c>
    </row>
    <row r="41" spans="2:6" ht="13.5" thickBot="1">
      <c r="B41" s="105" t="s">
        <v>37</v>
      </c>
      <c r="C41" s="106" t="s">
        <v>38</v>
      </c>
      <c r="D41" s="211">
        <v>459289.47</v>
      </c>
      <c r="E41" s="154">
        <f>E26+E27+E40</f>
        <v>313418.92000000004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1079.942</v>
      </c>
      <c r="E47" s="155">
        <v>1055.37699</v>
      </c>
    </row>
    <row r="48" spans="2:6">
      <c r="B48" s="193" t="s">
        <v>6</v>
      </c>
      <c r="C48" s="194" t="s">
        <v>41</v>
      </c>
      <c r="D48" s="213">
        <v>1170.0450145208131</v>
      </c>
      <c r="E48" s="155">
        <v>861.04098999999997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343.7</v>
      </c>
      <c r="E50" s="155">
        <v>407.76</v>
      </c>
    </row>
    <row r="51" spans="2:5">
      <c r="B51" s="191" t="s">
        <v>6</v>
      </c>
      <c r="C51" s="192" t="s">
        <v>195</v>
      </c>
      <c r="D51" s="215">
        <v>343.7</v>
      </c>
      <c r="E51" s="155">
        <v>360.35</v>
      </c>
    </row>
    <row r="52" spans="2:5">
      <c r="B52" s="191" t="s">
        <v>8</v>
      </c>
      <c r="C52" s="192" t="s">
        <v>196</v>
      </c>
      <c r="D52" s="215">
        <v>403.53</v>
      </c>
      <c r="E52" s="77">
        <v>427.16</v>
      </c>
    </row>
    <row r="53" spans="2:5" ht="13.5" customHeight="1" thickBot="1">
      <c r="B53" s="195" t="s">
        <v>9</v>
      </c>
      <c r="C53" s="196" t="s">
        <v>41</v>
      </c>
      <c r="D53" s="216">
        <v>392.54</v>
      </c>
      <c r="E53" s="281">
        <v>364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313418.92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313418.92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313418.92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313418.92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0"/>
      <c r="C4" s="140"/>
      <c r="D4" s="140"/>
      <c r="E4" s="14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225</v>
      </c>
      <c r="C6" s="311"/>
      <c r="D6" s="311"/>
      <c r="E6" s="311"/>
    </row>
    <row r="7" spans="2:7" ht="14.25">
      <c r="B7" s="139"/>
      <c r="C7" s="139"/>
      <c r="D7" s="139"/>
      <c r="E7" s="139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1745381.86</v>
      </c>
      <c r="E11" s="9">
        <f>E12</f>
        <v>778708.82</v>
      </c>
    </row>
    <row r="12" spans="2:7">
      <c r="B12" s="180" t="s">
        <v>4</v>
      </c>
      <c r="C12" s="181" t="s">
        <v>5</v>
      </c>
      <c r="D12" s="235">
        <v>1745381.86</v>
      </c>
      <c r="E12" s="87">
        <v>778708.82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1745381.86</v>
      </c>
      <c r="E21" s="154">
        <f>E11</f>
        <v>778708.82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2657924.13</v>
      </c>
      <c r="E26" s="274">
        <f>D21</f>
        <v>1745381.86</v>
      </c>
    </row>
    <row r="27" spans="2:6">
      <c r="B27" s="10" t="s">
        <v>17</v>
      </c>
      <c r="C27" s="11" t="s">
        <v>192</v>
      </c>
      <c r="D27" s="207">
        <v>-863526.73</v>
      </c>
      <c r="E27" s="243">
        <f>E28-E32</f>
        <v>-970460.14999999991</v>
      </c>
      <c r="F27" s="73"/>
    </row>
    <row r="28" spans="2:6">
      <c r="B28" s="10" t="s">
        <v>18</v>
      </c>
      <c r="C28" s="11" t="s">
        <v>19</v>
      </c>
      <c r="D28" s="207">
        <v>37896.050000000003</v>
      </c>
      <c r="E28" s="244">
        <f>SUM(E29:E31)</f>
        <v>12583.54</v>
      </c>
      <c r="F28" s="73"/>
    </row>
    <row r="29" spans="2:6">
      <c r="B29" s="188" t="s">
        <v>4</v>
      </c>
      <c r="C29" s="181" t="s">
        <v>20</v>
      </c>
      <c r="D29" s="208">
        <v>4664.37</v>
      </c>
      <c r="E29" s="246">
        <v>4267.8500000000004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33231.68</v>
      </c>
      <c r="E31" s="246">
        <v>8315.69</v>
      </c>
      <c r="F31" s="73"/>
    </row>
    <row r="32" spans="2:6">
      <c r="B32" s="97" t="s">
        <v>23</v>
      </c>
      <c r="C32" s="12" t="s">
        <v>24</v>
      </c>
      <c r="D32" s="207">
        <v>901422.78</v>
      </c>
      <c r="E32" s="244">
        <f>SUM(E33:E39)</f>
        <v>983043.69</v>
      </c>
      <c r="F32" s="73"/>
    </row>
    <row r="33" spans="2:6">
      <c r="B33" s="188" t="s">
        <v>4</v>
      </c>
      <c r="C33" s="181" t="s">
        <v>25</v>
      </c>
      <c r="D33" s="208">
        <v>23758.97</v>
      </c>
      <c r="E33" s="246">
        <v>968647.61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1137.3399999999999</v>
      </c>
      <c r="E35" s="246">
        <v>793.73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19041.22</v>
      </c>
      <c r="E37" s="246">
        <v>9755.69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857485.25</v>
      </c>
      <c r="E39" s="248">
        <v>3846.66</v>
      </c>
      <c r="F39" s="73"/>
    </row>
    <row r="40" spans="2:6" ht="13.5" thickBot="1">
      <c r="B40" s="103" t="s">
        <v>35</v>
      </c>
      <c r="C40" s="104" t="s">
        <v>36</v>
      </c>
      <c r="D40" s="210">
        <v>36953.379999999997</v>
      </c>
      <c r="E40" s="275">
        <v>3787.11</v>
      </c>
    </row>
    <row r="41" spans="2:6" ht="13.5" thickBot="1">
      <c r="B41" s="105" t="s">
        <v>37</v>
      </c>
      <c r="C41" s="106" t="s">
        <v>38</v>
      </c>
      <c r="D41" s="211">
        <v>1831350.7799999998</v>
      </c>
      <c r="E41" s="154">
        <f>E26+E27+E40</f>
        <v>778708.82000000018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9696.9140000000007</v>
      </c>
      <c r="E47" s="155">
        <v>6167.6450000000004</v>
      </c>
    </row>
    <row r="48" spans="2:6">
      <c r="B48" s="193" t="s">
        <v>6</v>
      </c>
      <c r="C48" s="194" t="s">
        <v>41</v>
      </c>
      <c r="D48" s="213">
        <v>6551.067</v>
      </c>
      <c r="E48" s="155">
        <v>2727.431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274.10000000000002</v>
      </c>
      <c r="E50" s="155">
        <v>282.99</v>
      </c>
    </row>
    <row r="51" spans="2:5">
      <c r="B51" s="191" t="s">
        <v>6</v>
      </c>
      <c r="C51" s="192" t="s">
        <v>195</v>
      </c>
      <c r="D51" s="215">
        <v>273.12</v>
      </c>
      <c r="E51" s="77">
        <v>281.64999999999998</v>
      </c>
    </row>
    <row r="52" spans="2:5">
      <c r="B52" s="191" t="s">
        <v>8</v>
      </c>
      <c r="C52" s="192" t="s">
        <v>196</v>
      </c>
      <c r="D52" s="215">
        <v>280.87</v>
      </c>
      <c r="E52" s="77">
        <v>287.44</v>
      </c>
    </row>
    <row r="53" spans="2:5" ht="14.25" customHeight="1" thickBot="1">
      <c r="B53" s="195" t="s">
        <v>9</v>
      </c>
      <c r="C53" s="196" t="s">
        <v>41</v>
      </c>
      <c r="D53" s="216">
        <v>279.55</v>
      </c>
      <c r="E53" s="281">
        <v>285.51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778708.82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778708.82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778708.82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778708.82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226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430933.32</v>
      </c>
      <c r="E11" s="9">
        <f>E12</f>
        <v>448138</v>
      </c>
    </row>
    <row r="12" spans="2:5">
      <c r="B12" s="180" t="s">
        <v>4</v>
      </c>
      <c r="C12" s="181" t="s">
        <v>5</v>
      </c>
      <c r="D12" s="235">
        <v>430933.32</v>
      </c>
      <c r="E12" s="87">
        <f>448557.26-419.26</f>
        <v>448138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430933.32</v>
      </c>
      <c r="E21" s="154">
        <f>E11-E17</f>
        <v>448138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2109066.27</v>
      </c>
      <c r="E26" s="274">
        <f>D21</f>
        <v>430933.32</v>
      </c>
    </row>
    <row r="27" spans="2:6">
      <c r="B27" s="10" t="s">
        <v>17</v>
      </c>
      <c r="C27" s="11" t="s">
        <v>192</v>
      </c>
      <c r="D27" s="207">
        <v>-1238377.8300000003</v>
      </c>
      <c r="E27" s="243">
        <f>E28-E32</f>
        <v>12420.410000000003</v>
      </c>
      <c r="F27" s="73"/>
    </row>
    <row r="28" spans="2:6">
      <c r="B28" s="10" t="s">
        <v>18</v>
      </c>
      <c r="C28" s="11" t="s">
        <v>19</v>
      </c>
      <c r="D28" s="207">
        <v>146396.66</v>
      </c>
      <c r="E28" s="244">
        <f>SUM(E29:E31)</f>
        <v>135763.53</v>
      </c>
      <c r="F28" s="73"/>
    </row>
    <row r="29" spans="2:6">
      <c r="B29" s="188" t="s">
        <v>4</v>
      </c>
      <c r="C29" s="181" t="s">
        <v>20</v>
      </c>
      <c r="D29" s="208">
        <v>15328.53</v>
      </c>
      <c r="E29" s="246">
        <v>13907.47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131068.13</v>
      </c>
      <c r="E31" s="246">
        <v>121856.06</v>
      </c>
      <c r="F31" s="73"/>
    </row>
    <row r="32" spans="2:6">
      <c r="B32" s="97" t="s">
        <v>23</v>
      </c>
      <c r="C32" s="12" t="s">
        <v>24</v>
      </c>
      <c r="D32" s="207">
        <v>1384774.4900000002</v>
      </c>
      <c r="E32" s="244">
        <f>SUM(E33:E39)</f>
        <v>123343.12</v>
      </c>
      <c r="F32" s="73"/>
    </row>
    <row r="33" spans="2:6">
      <c r="B33" s="188" t="s">
        <v>4</v>
      </c>
      <c r="C33" s="181" t="s">
        <v>25</v>
      </c>
      <c r="D33" s="208">
        <v>1036815.4500000001</v>
      </c>
      <c r="E33" s="246">
        <f>115889.16+386.75</f>
        <v>116275.91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1981.67</v>
      </c>
      <c r="E35" s="246">
        <v>1613.65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13567.26</v>
      </c>
      <c r="E37" s="246">
        <v>3440.12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332410.11</v>
      </c>
      <c r="E39" s="248">
        <v>2013.44</v>
      </c>
      <c r="F39" s="73"/>
    </row>
    <row r="40" spans="2:6" ht="13.5" thickBot="1">
      <c r="B40" s="103" t="s">
        <v>35</v>
      </c>
      <c r="C40" s="104" t="s">
        <v>36</v>
      </c>
      <c r="D40" s="210">
        <v>14436.78</v>
      </c>
      <c r="E40" s="275">
        <v>4784.2700000000004</v>
      </c>
    </row>
    <row r="41" spans="2:6" ht="13.5" thickBot="1">
      <c r="B41" s="105" t="s">
        <v>37</v>
      </c>
      <c r="C41" s="106" t="s">
        <v>38</v>
      </c>
      <c r="D41" s="211">
        <v>885125.21999999974</v>
      </c>
      <c r="E41" s="154">
        <f>E26+E27+E40</f>
        <v>448138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7959.0410000000002</v>
      </c>
      <c r="E47" s="155">
        <v>1590.5119999999999</v>
      </c>
    </row>
    <row r="48" spans="2:6">
      <c r="B48" s="129" t="s">
        <v>6</v>
      </c>
      <c r="C48" s="23" t="s">
        <v>41</v>
      </c>
      <c r="D48" s="213">
        <v>3304.6789874551973</v>
      </c>
      <c r="E48" s="155">
        <v>1636.4359999999999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264.99</v>
      </c>
      <c r="E50" s="155">
        <v>270.94</v>
      </c>
    </row>
    <row r="51" spans="2:5">
      <c r="B51" s="108" t="s">
        <v>6</v>
      </c>
      <c r="C51" s="16" t="s">
        <v>195</v>
      </c>
      <c r="D51" s="215">
        <v>264.95999999999998</v>
      </c>
      <c r="E51" s="155">
        <v>270.91000000000003</v>
      </c>
    </row>
    <row r="52" spans="2:5">
      <c r="B52" s="108" t="s">
        <v>8</v>
      </c>
      <c r="C52" s="16" t="s">
        <v>196</v>
      </c>
      <c r="D52" s="215">
        <v>267.83999999999997</v>
      </c>
      <c r="E52" s="77">
        <v>273.93</v>
      </c>
    </row>
    <row r="53" spans="2:5" ht="13.5" customHeight="1" thickBot="1">
      <c r="B53" s="109" t="s">
        <v>9</v>
      </c>
      <c r="C53" s="18" t="s">
        <v>41</v>
      </c>
      <c r="D53" s="216">
        <v>267.83999999999997</v>
      </c>
      <c r="E53" s="281">
        <v>273.85000000000002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448138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448138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448138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448138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5.85546875" customWidth="1"/>
    <col min="8" max="8" width="12.42578125" customWidth="1"/>
  </cols>
  <sheetData>
    <row r="1" spans="2:8">
      <c r="B1" s="1"/>
      <c r="C1" s="1"/>
      <c r="D1" s="2"/>
      <c r="E1" s="2"/>
    </row>
    <row r="2" spans="2:8" ht="15.75">
      <c r="B2" s="309" t="s">
        <v>0</v>
      </c>
      <c r="C2" s="309"/>
      <c r="D2" s="309"/>
      <c r="E2" s="309"/>
      <c r="H2" s="73"/>
    </row>
    <row r="3" spans="2:8" ht="15.75">
      <c r="B3" s="309" t="s">
        <v>276</v>
      </c>
      <c r="C3" s="309"/>
      <c r="D3" s="309"/>
      <c r="E3" s="309"/>
    </row>
    <row r="4" spans="2:8" ht="15">
      <c r="B4" s="90"/>
      <c r="C4" s="90"/>
      <c r="D4" s="90"/>
      <c r="E4" s="90"/>
    </row>
    <row r="5" spans="2:8" ht="21" customHeight="1">
      <c r="B5" s="310" t="s">
        <v>1</v>
      </c>
      <c r="C5" s="310"/>
      <c r="D5" s="310"/>
      <c r="E5" s="310"/>
    </row>
    <row r="6" spans="2:8" ht="14.25">
      <c r="B6" s="311" t="s">
        <v>100</v>
      </c>
      <c r="C6" s="311"/>
      <c r="D6" s="311"/>
      <c r="E6" s="311"/>
    </row>
    <row r="7" spans="2:8" ht="14.25">
      <c r="B7" s="94"/>
      <c r="C7" s="94"/>
      <c r="D7" s="94"/>
      <c r="E7" s="94"/>
    </row>
    <row r="8" spans="2:8" ht="13.5">
      <c r="B8" s="313" t="s">
        <v>18</v>
      </c>
      <c r="C8" s="315"/>
      <c r="D8" s="315"/>
      <c r="E8" s="315"/>
    </row>
    <row r="9" spans="2:8" ht="16.5" thickBot="1">
      <c r="B9" s="312" t="s">
        <v>184</v>
      </c>
      <c r="C9" s="312"/>
      <c r="D9" s="312"/>
      <c r="E9" s="312"/>
    </row>
    <row r="10" spans="2:8" ht="13.5" thickBot="1">
      <c r="B10" s="91"/>
      <c r="C10" s="78" t="s">
        <v>2</v>
      </c>
      <c r="D10" s="72" t="s">
        <v>229</v>
      </c>
      <c r="E10" s="30" t="s">
        <v>232</v>
      </c>
    </row>
    <row r="11" spans="2:8">
      <c r="B11" s="95" t="s">
        <v>3</v>
      </c>
      <c r="C11" s="134" t="s">
        <v>190</v>
      </c>
      <c r="D11" s="232">
        <v>63431122.060000002</v>
      </c>
      <c r="E11" s="9">
        <f>E12+E13+E14</f>
        <v>65139395.960000001</v>
      </c>
    </row>
    <row r="12" spans="2:8">
      <c r="B12" s="112" t="s">
        <v>4</v>
      </c>
      <c r="C12" s="6" t="s">
        <v>5</v>
      </c>
      <c r="D12" s="235">
        <v>63259998.410000004</v>
      </c>
      <c r="E12" s="87">
        <f>67250253.98+577396.87+7.91-2811201.57</f>
        <v>65016457.190000005</v>
      </c>
    </row>
    <row r="13" spans="2:8">
      <c r="B13" s="112" t="s">
        <v>6</v>
      </c>
      <c r="C13" s="70" t="s">
        <v>7</v>
      </c>
      <c r="D13" s="235"/>
      <c r="E13" s="87">
        <v>14.41</v>
      </c>
    </row>
    <row r="14" spans="2:8">
      <c r="B14" s="112" t="s">
        <v>8</v>
      </c>
      <c r="C14" s="70" t="s">
        <v>10</v>
      </c>
      <c r="D14" s="235">
        <v>171123.65000000002</v>
      </c>
      <c r="E14" s="87">
        <f>E15</f>
        <v>122924.36</v>
      </c>
    </row>
    <row r="15" spans="2:8">
      <c r="B15" s="112" t="s">
        <v>187</v>
      </c>
      <c r="C15" s="70" t="s">
        <v>11</v>
      </c>
      <c r="D15" s="235">
        <v>171123.65000000002</v>
      </c>
      <c r="E15" s="87">
        <v>122924.36</v>
      </c>
    </row>
    <row r="16" spans="2:8">
      <c r="B16" s="113" t="s">
        <v>188</v>
      </c>
      <c r="C16" s="96" t="s">
        <v>12</v>
      </c>
      <c r="D16" s="236"/>
      <c r="E16" s="88"/>
    </row>
    <row r="17" spans="2:7">
      <c r="B17" s="10" t="s">
        <v>13</v>
      </c>
      <c r="C17" s="12" t="s">
        <v>65</v>
      </c>
      <c r="D17" s="264">
        <v>31619.93</v>
      </c>
      <c r="E17" s="98">
        <f>SUM(E18:E19)</f>
        <v>36152.25</v>
      </c>
    </row>
    <row r="18" spans="2:7">
      <c r="B18" s="112" t="s">
        <v>4</v>
      </c>
      <c r="C18" s="6" t="s">
        <v>11</v>
      </c>
      <c r="D18" s="235">
        <v>31619.93</v>
      </c>
      <c r="E18" s="88">
        <v>36152.25</v>
      </c>
    </row>
    <row r="19" spans="2:7" ht="15" customHeight="1">
      <c r="B19" s="112" t="s">
        <v>6</v>
      </c>
      <c r="C19" s="70" t="s">
        <v>189</v>
      </c>
      <c r="D19" s="235"/>
      <c r="E19" s="87"/>
    </row>
    <row r="20" spans="2:7" ht="13.5" thickBot="1">
      <c r="B20" s="114" t="s">
        <v>8</v>
      </c>
      <c r="C20" s="71" t="s">
        <v>14</v>
      </c>
      <c r="D20" s="238"/>
      <c r="E20" s="89"/>
    </row>
    <row r="21" spans="2:7" ht="13.5" thickBot="1">
      <c r="B21" s="319" t="s">
        <v>191</v>
      </c>
      <c r="C21" s="320"/>
      <c r="D21" s="239">
        <v>63399502.130000003</v>
      </c>
      <c r="E21" s="154">
        <f>E11-E17</f>
        <v>65103243.710000001</v>
      </c>
      <c r="F21" s="79"/>
      <c r="G21" s="69"/>
    </row>
    <row r="22" spans="2:7">
      <c r="B22" s="3"/>
      <c r="C22" s="7"/>
      <c r="D22" s="8"/>
      <c r="E22" s="8"/>
    </row>
    <row r="23" spans="2:7" ht="13.5">
      <c r="B23" s="313" t="s">
        <v>185</v>
      </c>
      <c r="C23" s="321"/>
      <c r="D23" s="321"/>
      <c r="E23" s="321"/>
    </row>
    <row r="24" spans="2:7" ht="17.25" customHeight="1" thickBot="1">
      <c r="B24" s="312" t="s">
        <v>186</v>
      </c>
      <c r="C24" s="322"/>
      <c r="D24" s="322"/>
      <c r="E24" s="322"/>
    </row>
    <row r="25" spans="2:7" ht="13.5" thickBot="1">
      <c r="B25" s="91"/>
      <c r="C25" s="5" t="s">
        <v>2</v>
      </c>
      <c r="D25" s="72" t="s">
        <v>233</v>
      </c>
      <c r="E25" s="30" t="s">
        <v>232</v>
      </c>
    </row>
    <row r="26" spans="2:7">
      <c r="B26" s="101" t="s">
        <v>15</v>
      </c>
      <c r="C26" s="102" t="s">
        <v>16</v>
      </c>
      <c r="D26" s="206">
        <v>47350347.530000001</v>
      </c>
      <c r="E26" s="274">
        <f>D21</f>
        <v>63399502.130000003</v>
      </c>
    </row>
    <row r="27" spans="2:7">
      <c r="B27" s="10" t="s">
        <v>17</v>
      </c>
      <c r="C27" s="11" t="s">
        <v>192</v>
      </c>
      <c r="D27" s="207">
        <v>8366628.5299999993</v>
      </c>
      <c r="E27" s="243">
        <f>E28-E32</f>
        <v>1872814.7199999988</v>
      </c>
      <c r="F27" s="73"/>
    </row>
    <row r="28" spans="2:7">
      <c r="B28" s="10" t="s">
        <v>18</v>
      </c>
      <c r="C28" s="11" t="s">
        <v>19</v>
      </c>
      <c r="D28" s="207">
        <v>14373196.359999999</v>
      </c>
      <c r="E28" s="244">
        <f>SUM(E29:E31)</f>
        <v>10396958.539999999</v>
      </c>
      <c r="F28" s="73"/>
    </row>
    <row r="29" spans="2:7">
      <c r="B29" s="110" t="s">
        <v>4</v>
      </c>
      <c r="C29" s="6" t="s">
        <v>20</v>
      </c>
      <c r="D29" s="208">
        <v>10775205.99</v>
      </c>
      <c r="E29" s="246">
        <v>9175341</v>
      </c>
      <c r="F29" s="73"/>
    </row>
    <row r="30" spans="2:7">
      <c r="B30" s="110" t="s">
        <v>6</v>
      </c>
      <c r="C30" s="6" t="s">
        <v>21</v>
      </c>
      <c r="D30" s="208"/>
      <c r="E30" s="246"/>
      <c r="F30" s="73"/>
    </row>
    <row r="31" spans="2:7">
      <c r="B31" s="110" t="s">
        <v>8</v>
      </c>
      <c r="C31" s="6" t="s">
        <v>22</v>
      </c>
      <c r="D31" s="208">
        <v>3597990.37</v>
      </c>
      <c r="E31" s="246">
        <v>1221617.54</v>
      </c>
      <c r="F31" s="73"/>
    </row>
    <row r="32" spans="2:7">
      <c r="B32" s="97" t="s">
        <v>23</v>
      </c>
      <c r="C32" s="12" t="s">
        <v>24</v>
      </c>
      <c r="D32" s="207">
        <v>6006567.8300000001</v>
      </c>
      <c r="E32" s="244">
        <f>SUM(E33:E39)</f>
        <v>8524143.8200000003</v>
      </c>
      <c r="F32" s="73"/>
    </row>
    <row r="33" spans="2:6">
      <c r="B33" s="110" t="s">
        <v>4</v>
      </c>
      <c r="C33" s="6" t="s">
        <v>25</v>
      </c>
      <c r="D33" s="208">
        <v>4099169.1500000004</v>
      </c>
      <c r="E33" s="246">
        <f>4194772.31+2302965.49</f>
        <v>6497737.7999999998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573850.24</v>
      </c>
      <c r="E35" s="246">
        <v>654656.16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1333548.44</v>
      </c>
      <c r="E39" s="248">
        <v>1371749.86</v>
      </c>
      <c r="F39" s="73"/>
    </row>
    <row r="40" spans="2:6" ht="13.5" thickBot="1">
      <c r="B40" s="103" t="s">
        <v>35</v>
      </c>
      <c r="C40" s="104" t="s">
        <v>36</v>
      </c>
      <c r="D40" s="210">
        <v>726065.32</v>
      </c>
      <c r="E40" s="275">
        <v>-169073.14</v>
      </c>
    </row>
    <row r="41" spans="2:6" ht="13.5" thickBot="1">
      <c r="B41" s="105" t="s">
        <v>37</v>
      </c>
      <c r="C41" s="106" t="s">
        <v>38</v>
      </c>
      <c r="D41" s="211">
        <v>56443041.380000003</v>
      </c>
      <c r="E41" s="154">
        <f>E26+E27+E40</f>
        <v>65103243.710000001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7.2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4327373.3824351626</v>
      </c>
      <c r="E47" s="75">
        <v>5647151.1624999996</v>
      </c>
    </row>
    <row r="48" spans="2:6">
      <c r="B48" s="129" t="s">
        <v>6</v>
      </c>
      <c r="C48" s="23" t="s">
        <v>41</v>
      </c>
      <c r="D48" s="213">
        <v>5086634.6696066782</v>
      </c>
      <c r="E48" s="75">
        <v>5813074.9473599996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10.9420526830884</v>
      </c>
      <c r="E50" s="75">
        <v>11.2268115914646</v>
      </c>
    </row>
    <row r="51" spans="2:5">
      <c r="B51" s="108" t="s">
        <v>6</v>
      </c>
      <c r="C51" s="16" t="s">
        <v>195</v>
      </c>
      <c r="D51" s="280">
        <v>10.9329</v>
      </c>
      <c r="E51" s="302">
        <v>11.187200000000001</v>
      </c>
    </row>
    <row r="52" spans="2:5" ht="12.75" customHeight="1">
      <c r="B52" s="108" t="s">
        <v>8</v>
      </c>
      <c r="C52" s="16" t="s">
        <v>196</v>
      </c>
      <c r="D52" s="280">
        <v>11.096399999999999</v>
      </c>
      <c r="E52" s="302">
        <v>11.2768</v>
      </c>
    </row>
    <row r="53" spans="2:5" ht="13.5" thickBot="1">
      <c r="B53" s="109" t="s">
        <v>9</v>
      </c>
      <c r="C53" s="18" t="s">
        <v>41</v>
      </c>
      <c r="D53" s="216">
        <v>11.096342679621699</v>
      </c>
      <c r="E53" s="303">
        <v>11.1994502564465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65016457.190000005</v>
      </c>
      <c r="E58" s="33">
        <f>D58/E21</f>
        <v>0.99866694015452462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67250253.98-2811201.57</f>
        <v>64439052.410000004</v>
      </c>
      <c r="E64" s="83">
        <f>D64/E21</f>
        <v>0.9897978770004362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577396.87+7.91</f>
        <v>577404.78</v>
      </c>
      <c r="E69" s="81">
        <f>D69/E21</f>
        <v>8.8690631540884243E-3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14.41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122924.36</v>
      </c>
      <c r="E72" s="125">
        <f>D72/E21</f>
        <v>1.8881449371027047E-3</v>
      </c>
    </row>
    <row r="73" spans="2:5">
      <c r="B73" s="24" t="s">
        <v>62</v>
      </c>
      <c r="C73" s="25" t="s">
        <v>65</v>
      </c>
      <c r="D73" s="26">
        <f>E17</f>
        <v>36152.25</v>
      </c>
      <c r="E73" s="27">
        <f>D73/E21</f>
        <v>5.5530643236516547E-4</v>
      </c>
    </row>
    <row r="74" spans="2:5">
      <c r="B74" s="126" t="s">
        <v>64</v>
      </c>
      <c r="C74" s="127" t="s">
        <v>66</v>
      </c>
      <c r="D74" s="128">
        <f>D58+D71+D72-D73</f>
        <v>65103243.710000001</v>
      </c>
      <c r="E74" s="68">
        <f>E58+E72-E73</f>
        <v>0.99999977865926226</v>
      </c>
    </row>
    <row r="75" spans="2:5">
      <c r="B75" s="15" t="s">
        <v>4</v>
      </c>
      <c r="C75" s="16" t="s">
        <v>67</v>
      </c>
      <c r="D75" s="80">
        <f>D74</f>
        <v>65103243.710000001</v>
      </c>
      <c r="E75" s="81">
        <f>E74</f>
        <v>0.99999977865926226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4"/>
      <c r="C4" s="144"/>
      <c r="D4" s="144"/>
      <c r="E4" s="144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227</v>
      </c>
      <c r="C6" s="311"/>
      <c r="D6" s="311"/>
      <c r="E6" s="311"/>
    </row>
    <row r="7" spans="2:7" ht="14.25">
      <c r="B7" s="142"/>
      <c r="C7" s="142"/>
      <c r="D7" s="142"/>
      <c r="E7" s="142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199320.57</v>
      </c>
      <c r="E11" s="9">
        <f>E12</f>
        <v>122941.64</v>
      </c>
    </row>
    <row r="12" spans="2:7">
      <c r="B12" s="180" t="s">
        <v>4</v>
      </c>
      <c r="C12" s="181" t="s">
        <v>5</v>
      </c>
      <c r="D12" s="235">
        <v>199320.57</v>
      </c>
      <c r="E12" s="87">
        <f>123279.3-337.66</f>
        <v>122941.64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199320.57</v>
      </c>
      <c r="E21" s="154">
        <f>E11</f>
        <v>122941.64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221682.71</v>
      </c>
      <c r="E26" s="274">
        <f>D21</f>
        <v>199320.57</v>
      </c>
    </row>
    <row r="27" spans="2:6">
      <c r="B27" s="10" t="s">
        <v>17</v>
      </c>
      <c r="C27" s="11" t="s">
        <v>192</v>
      </c>
      <c r="D27" s="207">
        <v>-37865.270000000004</v>
      </c>
      <c r="E27" s="243">
        <f>E28-E32</f>
        <v>-64625.25</v>
      </c>
      <c r="F27" s="73"/>
    </row>
    <row r="28" spans="2:6">
      <c r="B28" s="10" t="s">
        <v>18</v>
      </c>
      <c r="C28" s="11" t="s">
        <v>19</v>
      </c>
      <c r="D28" s="207">
        <v>3952.81</v>
      </c>
      <c r="E28" s="244">
        <f>SUM(E29:E31)</f>
        <v>3754.55</v>
      </c>
      <c r="F28" s="73"/>
    </row>
    <row r="29" spans="2:6">
      <c r="B29" s="188" t="s">
        <v>4</v>
      </c>
      <c r="C29" s="181" t="s">
        <v>20</v>
      </c>
      <c r="D29" s="208">
        <v>3952.81</v>
      </c>
      <c r="E29" s="246">
        <v>3754.55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41818.080000000002</v>
      </c>
      <c r="E32" s="244">
        <f>SUM(E33:E39)</f>
        <v>68379.8</v>
      </c>
      <c r="F32" s="73"/>
    </row>
    <row r="33" spans="2:6">
      <c r="B33" s="188" t="s">
        <v>4</v>
      </c>
      <c r="C33" s="181" t="s">
        <v>25</v>
      </c>
      <c r="D33" s="208">
        <v>17443.7</v>
      </c>
      <c r="E33" s="246">
        <f>66201.33+337.66</f>
        <v>66538.990000000005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299.57</v>
      </c>
      <c r="E35" s="246">
        <v>282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1856.35</v>
      </c>
      <c r="E37" s="246">
        <v>1558.81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22218.46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8424.7999999999993</v>
      </c>
      <c r="E40" s="275">
        <v>-11753.68</v>
      </c>
    </row>
    <row r="41" spans="2:6" ht="13.5" thickBot="1">
      <c r="B41" s="105" t="s">
        <v>37</v>
      </c>
      <c r="C41" s="106" t="s">
        <v>38</v>
      </c>
      <c r="D41" s="211">
        <v>192242.24</v>
      </c>
      <c r="E41" s="154">
        <f>E26+E27+E40</f>
        <v>122941.64000000001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1049.038</v>
      </c>
      <c r="E47" s="155">
        <v>884.88599999999997</v>
      </c>
    </row>
    <row r="48" spans="2:6">
      <c r="B48" s="193" t="s">
        <v>6</v>
      </c>
      <c r="C48" s="194" t="s">
        <v>41</v>
      </c>
      <c r="D48" s="213">
        <v>876.25800000000004</v>
      </c>
      <c r="E48" s="155">
        <v>585.10203999999999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211.32</v>
      </c>
      <c r="E50" s="155">
        <v>225.25</v>
      </c>
    </row>
    <row r="51" spans="2:5">
      <c r="B51" s="191" t="s">
        <v>6</v>
      </c>
      <c r="C51" s="192" t="s">
        <v>195</v>
      </c>
      <c r="D51" s="215">
        <v>211.32</v>
      </c>
      <c r="E51" s="77">
        <v>207.5</v>
      </c>
    </row>
    <row r="52" spans="2:5">
      <c r="B52" s="191" t="s">
        <v>8</v>
      </c>
      <c r="C52" s="192" t="s">
        <v>196</v>
      </c>
      <c r="D52" s="215">
        <v>222.47</v>
      </c>
      <c r="E52" s="77">
        <v>234.42</v>
      </c>
    </row>
    <row r="53" spans="2:5" ht="13.5" thickBot="1">
      <c r="B53" s="195" t="s">
        <v>9</v>
      </c>
      <c r="C53" s="196" t="s">
        <v>41</v>
      </c>
      <c r="D53" s="216">
        <v>219.39</v>
      </c>
      <c r="E53" s="281">
        <v>210.12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122941.64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24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122941.64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122941.64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122941.64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77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30808873.649999999</v>
      </c>
      <c r="E11" s="9">
        <f>E12</f>
        <v>27329662.77</v>
      </c>
    </row>
    <row r="12" spans="2:5">
      <c r="B12" s="180" t="s">
        <v>4</v>
      </c>
      <c r="C12" s="181" t="s">
        <v>5</v>
      </c>
      <c r="D12" s="235">
        <v>30808873.649999999</v>
      </c>
      <c r="E12" s="265">
        <v>27329662.77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30808873.649999999</v>
      </c>
      <c r="E21" s="154">
        <f>E11</f>
        <v>27329662.77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178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29956217.23</v>
      </c>
      <c r="E26" s="274">
        <f>D21</f>
        <v>30808873.649999999</v>
      </c>
    </row>
    <row r="27" spans="2:6">
      <c r="B27" s="10" t="s">
        <v>17</v>
      </c>
      <c r="C27" s="11" t="s">
        <v>192</v>
      </c>
      <c r="D27" s="207">
        <v>-3392871.47</v>
      </c>
      <c r="E27" s="243">
        <f>E28-E32</f>
        <v>-732707.77</v>
      </c>
      <c r="F27" s="73"/>
    </row>
    <row r="28" spans="2:6">
      <c r="B28" s="10" t="s">
        <v>18</v>
      </c>
      <c r="C28" s="11" t="s">
        <v>19</v>
      </c>
      <c r="D28" s="207">
        <v>1594073.65</v>
      </c>
      <c r="E28" s="244">
        <f>SUM(E29:E31)</f>
        <v>1352701.93</v>
      </c>
      <c r="F28" s="73"/>
    </row>
    <row r="29" spans="2:6">
      <c r="B29" s="188" t="s">
        <v>4</v>
      </c>
      <c r="C29" s="181" t="s">
        <v>20</v>
      </c>
      <c r="D29" s="208">
        <v>1594073.65</v>
      </c>
      <c r="E29" s="246">
        <v>1352701.93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4986945.12</v>
      </c>
      <c r="E32" s="244">
        <f>SUM(E33:E39)</f>
        <v>2085409.7</v>
      </c>
      <c r="F32" s="73"/>
    </row>
    <row r="33" spans="2:6">
      <c r="B33" s="188" t="s">
        <v>4</v>
      </c>
      <c r="C33" s="181" t="s">
        <v>25</v>
      </c>
      <c r="D33" s="208">
        <v>4986945.12</v>
      </c>
      <c r="E33" s="246">
        <v>2085409.7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2158190.08</v>
      </c>
      <c r="E40" s="275">
        <v>-2746503.11</v>
      </c>
    </row>
    <row r="41" spans="2:6" ht="13.5" thickBot="1">
      <c r="B41" s="105" t="s">
        <v>37</v>
      </c>
      <c r="C41" s="106" t="s">
        <v>38</v>
      </c>
      <c r="D41" s="211">
        <v>28721535.840000004</v>
      </c>
      <c r="E41" s="154">
        <f>E26+E27+E40</f>
        <v>27329662.77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1707714.6018000001</v>
      </c>
      <c r="E47" s="155">
        <v>1503025.8537999999</v>
      </c>
    </row>
    <row r="48" spans="2:6">
      <c r="B48" s="129" t="s">
        <v>6</v>
      </c>
      <c r="C48" s="23" t="s">
        <v>41</v>
      </c>
      <c r="D48" s="213">
        <v>1518380.6131349816</v>
      </c>
      <c r="E48" s="155">
        <v>1467033.6232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17.541699999999999</v>
      </c>
      <c r="E50" s="155">
        <v>20.497900000000001</v>
      </c>
    </row>
    <row r="51" spans="2:5">
      <c r="B51" s="108" t="s">
        <v>6</v>
      </c>
      <c r="C51" s="16" t="s">
        <v>195</v>
      </c>
      <c r="D51" s="215">
        <v>16.956099999999999</v>
      </c>
      <c r="E51" s="77">
        <v>18.566199999999998</v>
      </c>
    </row>
    <row r="52" spans="2:5">
      <c r="B52" s="108" t="s">
        <v>8</v>
      </c>
      <c r="C52" s="16" t="s">
        <v>196</v>
      </c>
      <c r="D52" s="215">
        <v>20.0794</v>
      </c>
      <c r="E52" s="77">
        <v>21.9465</v>
      </c>
    </row>
    <row r="53" spans="2:5" ht="13.5" customHeight="1" thickBot="1">
      <c r="B53" s="109" t="s">
        <v>9</v>
      </c>
      <c r="C53" s="18" t="s">
        <v>41</v>
      </c>
      <c r="D53" s="216">
        <v>18.915900000000001</v>
      </c>
      <c r="E53" s="281">
        <v>18.629200000000001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27329662.77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27329662.77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27329662.77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27329662.77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78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43851822.480000004</v>
      </c>
      <c r="E11" s="9">
        <f>E12</f>
        <v>40082146.700000003</v>
      </c>
    </row>
    <row r="12" spans="2:5">
      <c r="B12" s="180" t="s">
        <v>4</v>
      </c>
      <c r="C12" s="181" t="s">
        <v>5</v>
      </c>
      <c r="D12" s="235">
        <v>43851822.480000004</v>
      </c>
      <c r="E12" s="87">
        <v>40082146.700000003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43851822.480000004</v>
      </c>
      <c r="E21" s="154">
        <f>E11-E17</f>
        <v>40082146.700000003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43513565.350000001</v>
      </c>
      <c r="E26" s="274">
        <f>D21</f>
        <v>43851822.480000004</v>
      </c>
    </row>
    <row r="27" spans="2:6">
      <c r="B27" s="10" t="s">
        <v>17</v>
      </c>
      <c r="C27" s="11" t="s">
        <v>192</v>
      </c>
      <c r="D27" s="207">
        <v>-4264465.8900000006</v>
      </c>
      <c r="E27" s="243">
        <f>E28-E32</f>
        <v>-1553178.5400000003</v>
      </c>
      <c r="F27" s="73"/>
    </row>
    <row r="28" spans="2:6">
      <c r="B28" s="10" t="s">
        <v>18</v>
      </c>
      <c r="C28" s="11" t="s">
        <v>19</v>
      </c>
      <c r="D28" s="207">
        <v>2166452.04</v>
      </c>
      <c r="E28" s="244">
        <f>SUM(E29:E31)</f>
        <v>1886191.51</v>
      </c>
      <c r="F28" s="73"/>
    </row>
    <row r="29" spans="2:6">
      <c r="B29" s="188" t="s">
        <v>4</v>
      </c>
      <c r="C29" s="181" t="s">
        <v>20</v>
      </c>
      <c r="D29" s="208">
        <v>2166452.04</v>
      </c>
      <c r="E29" s="246">
        <v>1886191.51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6430917.9300000006</v>
      </c>
      <c r="E32" s="244">
        <f>SUM(E33:E39)</f>
        <v>3439370.0500000003</v>
      </c>
      <c r="F32" s="73"/>
    </row>
    <row r="33" spans="2:6">
      <c r="B33" s="188" t="s">
        <v>4</v>
      </c>
      <c r="C33" s="181" t="s">
        <v>25</v>
      </c>
      <c r="D33" s="208">
        <v>6430917.9300000006</v>
      </c>
      <c r="E33" s="246">
        <f>3488923.22-49553.19+0.02</f>
        <v>3439370.0500000003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2157217.2400000002</v>
      </c>
      <c r="E40" s="275">
        <v>-2216497.2400000002</v>
      </c>
    </row>
    <row r="41" spans="2:6" ht="13.5" thickBot="1">
      <c r="B41" s="105" t="s">
        <v>37</v>
      </c>
      <c r="C41" s="106" t="s">
        <v>38</v>
      </c>
      <c r="D41" s="211">
        <v>41406316.700000003</v>
      </c>
      <c r="E41" s="154">
        <f>E26+E27+E40</f>
        <v>40082146.700000003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937434.75760000001</v>
      </c>
      <c r="E47" s="155">
        <v>856683.36618600006</v>
      </c>
    </row>
    <row r="48" spans="2:6">
      <c r="B48" s="129" t="s">
        <v>6</v>
      </c>
      <c r="C48" s="23" t="s">
        <v>41</v>
      </c>
      <c r="D48" s="213">
        <v>847241.80357219605</v>
      </c>
      <c r="E48" s="155">
        <v>825860.46640000003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46.417700000000004</v>
      </c>
      <c r="E50" s="155">
        <v>51.187899999999999</v>
      </c>
    </row>
    <row r="51" spans="2:5">
      <c r="B51" s="108" t="s">
        <v>6</v>
      </c>
      <c r="C51" s="16" t="s">
        <v>195</v>
      </c>
      <c r="D51" s="215">
        <v>45.835799999999999</v>
      </c>
      <c r="E51" s="77">
        <v>48.512799999999999</v>
      </c>
    </row>
    <row r="52" spans="2:5">
      <c r="B52" s="108" t="s">
        <v>8</v>
      </c>
      <c r="C52" s="16" t="s">
        <v>196</v>
      </c>
      <c r="D52" s="215">
        <v>50.745699999999999</v>
      </c>
      <c r="E52" s="77">
        <v>54.7348</v>
      </c>
    </row>
    <row r="53" spans="2:5" ht="12.75" customHeight="1" thickBot="1">
      <c r="B53" s="109" t="s">
        <v>9</v>
      </c>
      <c r="C53" s="18" t="s">
        <v>41</v>
      </c>
      <c r="D53" s="216">
        <v>48.871899999999997</v>
      </c>
      <c r="E53" s="281">
        <v>48.533799999999999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40082146.700000003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40082146.700000003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40082146.700000003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40082146.700000003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79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37772087.049999997</v>
      </c>
      <c r="E11" s="9">
        <f>E12</f>
        <v>33860975.780000001</v>
      </c>
    </row>
    <row r="12" spans="2:5">
      <c r="B12" s="180" t="s">
        <v>4</v>
      </c>
      <c r="C12" s="181" t="s">
        <v>5</v>
      </c>
      <c r="D12" s="235">
        <v>37772087.049999997</v>
      </c>
      <c r="E12" s="87">
        <f>33932009.74-71033.96</f>
        <v>33860975.780000001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37772087.049999997</v>
      </c>
      <c r="E21" s="154">
        <f>E11-E17</f>
        <v>33860975.780000001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178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39215985.340000004</v>
      </c>
      <c r="E26" s="274">
        <f>D21</f>
        <v>37772087.049999997</v>
      </c>
    </row>
    <row r="27" spans="2:6">
      <c r="B27" s="10" t="s">
        <v>17</v>
      </c>
      <c r="C27" s="11" t="s">
        <v>192</v>
      </c>
      <c r="D27" s="207">
        <v>-4605883.0399999991</v>
      </c>
      <c r="E27" s="243">
        <f>E28-E32</f>
        <v>-2034270.96</v>
      </c>
      <c r="F27" s="73"/>
    </row>
    <row r="28" spans="2:6">
      <c r="B28" s="10" t="s">
        <v>18</v>
      </c>
      <c r="C28" s="11" t="s">
        <v>19</v>
      </c>
      <c r="D28" s="207">
        <v>1914540.4</v>
      </c>
      <c r="E28" s="244">
        <f>SUM(E29:E31)</f>
        <v>1560099.98</v>
      </c>
      <c r="F28" s="73"/>
    </row>
    <row r="29" spans="2:6">
      <c r="B29" s="188" t="s">
        <v>4</v>
      </c>
      <c r="C29" s="181" t="s">
        <v>20</v>
      </c>
      <c r="D29" s="208">
        <v>1914540.4</v>
      </c>
      <c r="E29" s="246">
        <v>1560099.98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6520423.4399999995</v>
      </c>
      <c r="E32" s="244">
        <f>SUM(E33:E39)</f>
        <v>3594370.94</v>
      </c>
      <c r="F32" s="73"/>
    </row>
    <row r="33" spans="2:6">
      <c r="B33" s="188" t="s">
        <v>4</v>
      </c>
      <c r="C33" s="181" t="s">
        <v>25</v>
      </c>
      <c r="D33" s="208">
        <v>6520423.4399999995</v>
      </c>
      <c r="E33" s="246">
        <v>3594370.94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2072101.71</v>
      </c>
      <c r="E40" s="275">
        <v>-1876840.31</v>
      </c>
    </row>
    <row r="41" spans="2:6" ht="13.5" thickBot="1">
      <c r="B41" s="105" t="s">
        <v>37</v>
      </c>
      <c r="C41" s="106" t="s">
        <v>38</v>
      </c>
      <c r="D41" s="211">
        <v>36682204.010000005</v>
      </c>
      <c r="E41" s="154">
        <f>E26+E27+E40</f>
        <v>33860975.779999994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813398.71070000005</v>
      </c>
      <c r="E47" s="155">
        <v>706206.44039999996</v>
      </c>
    </row>
    <row r="48" spans="2:6">
      <c r="B48" s="193" t="s">
        <v>6</v>
      </c>
      <c r="C48" s="194" t="s">
        <v>41</v>
      </c>
      <c r="D48" s="213">
        <v>720936.84730000002</v>
      </c>
      <c r="E48" s="155">
        <v>667362.57042999996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48.212499999999999</v>
      </c>
      <c r="E50" s="155">
        <v>53.485900000000001</v>
      </c>
    </row>
    <row r="51" spans="2:5">
      <c r="B51" s="191" t="s">
        <v>6</v>
      </c>
      <c r="C51" s="192" t="s">
        <v>195</v>
      </c>
      <c r="D51" s="215">
        <v>47.586300000000001</v>
      </c>
      <c r="E51" s="77">
        <v>50.714599999999997</v>
      </c>
    </row>
    <row r="52" spans="2:5">
      <c r="B52" s="191" t="s">
        <v>8</v>
      </c>
      <c r="C52" s="192" t="s">
        <v>196</v>
      </c>
      <c r="D52" s="215">
        <v>53.0321</v>
      </c>
      <c r="E52" s="77">
        <v>57.652299999999997</v>
      </c>
    </row>
    <row r="53" spans="2:5" ht="13.5" customHeight="1" thickBot="1">
      <c r="B53" s="195" t="s">
        <v>9</v>
      </c>
      <c r="C53" s="196" t="s">
        <v>41</v>
      </c>
      <c r="D53" s="216">
        <v>50.881300000000003</v>
      </c>
      <c r="E53" s="281">
        <v>50.738500000000002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33860975.780000001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33860975.780000001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33860975.780000001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33860975.780000001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4"/>
      <c r="C4" s="144"/>
      <c r="D4" s="144"/>
      <c r="E4" s="144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80</v>
      </c>
      <c r="C6" s="311"/>
      <c r="D6" s="311"/>
      <c r="E6" s="311"/>
    </row>
    <row r="7" spans="2:7" ht="14.25">
      <c r="B7" s="142"/>
      <c r="C7" s="142"/>
      <c r="D7" s="142"/>
      <c r="E7" s="142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34368672.130000003</v>
      </c>
      <c r="E11" s="9">
        <f>E12</f>
        <v>32027134.080000002</v>
      </c>
    </row>
    <row r="12" spans="2:7">
      <c r="B12" s="112" t="s">
        <v>4</v>
      </c>
      <c r="C12" s="6" t="s">
        <v>5</v>
      </c>
      <c r="D12" s="235">
        <v>34368672.130000003</v>
      </c>
      <c r="E12" s="87">
        <f>32067410.42-40276.34</f>
        <v>32027134.080000002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34368672.130000003</v>
      </c>
      <c r="E21" s="154">
        <f>E11-E17</f>
        <v>32027134.080000002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4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34008985.719999999</v>
      </c>
      <c r="E26" s="274">
        <f>D21</f>
        <v>34368672.130000003</v>
      </c>
    </row>
    <row r="27" spans="2:6">
      <c r="B27" s="10" t="s">
        <v>17</v>
      </c>
      <c r="C27" s="11" t="s">
        <v>192</v>
      </c>
      <c r="D27" s="207">
        <v>-3442896.74</v>
      </c>
      <c r="E27" s="243">
        <f>E28-E32</f>
        <v>-563944.09000000008</v>
      </c>
      <c r="F27" s="73"/>
    </row>
    <row r="28" spans="2:6">
      <c r="B28" s="10" t="s">
        <v>18</v>
      </c>
      <c r="C28" s="11" t="s">
        <v>19</v>
      </c>
      <c r="D28" s="207">
        <v>1705728.07</v>
      </c>
      <c r="E28" s="244">
        <f>SUM(E29:E31)</f>
        <v>1472687.98</v>
      </c>
      <c r="F28" s="73"/>
    </row>
    <row r="29" spans="2:6">
      <c r="B29" s="110" t="s">
        <v>4</v>
      </c>
      <c r="C29" s="6" t="s">
        <v>20</v>
      </c>
      <c r="D29" s="208">
        <v>1705728.07</v>
      </c>
      <c r="E29" s="246">
        <v>1472687.98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5148624.8100000005</v>
      </c>
      <c r="E32" s="244">
        <f>SUM(E33:E39)</f>
        <v>2036632.07</v>
      </c>
      <c r="F32" s="73"/>
    </row>
    <row r="33" spans="2:6">
      <c r="B33" s="110" t="s">
        <v>4</v>
      </c>
      <c r="C33" s="6" t="s">
        <v>25</v>
      </c>
      <c r="D33" s="208">
        <v>5148624.8100000005</v>
      </c>
      <c r="E33" s="246">
        <v>2036632.07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/>
      <c r="E35" s="246"/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1841323.97</v>
      </c>
      <c r="E40" s="275">
        <v>-1777593.96</v>
      </c>
    </row>
    <row r="41" spans="2:6" ht="13.5" thickBot="1">
      <c r="B41" s="105" t="s">
        <v>37</v>
      </c>
      <c r="C41" s="106" t="s">
        <v>38</v>
      </c>
      <c r="D41" s="211">
        <v>32407412.949999996</v>
      </c>
      <c r="E41" s="154">
        <f>E26+E27+E40</f>
        <v>32027134.079999998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704661.04854999995</v>
      </c>
      <c r="E47" s="155">
        <v>641234.08522999997</v>
      </c>
    </row>
    <row r="48" spans="2:6">
      <c r="B48" s="129" t="s">
        <v>6</v>
      </c>
      <c r="C48" s="23" t="s">
        <v>41</v>
      </c>
      <c r="D48" s="213">
        <v>636081.78749999998</v>
      </c>
      <c r="E48" s="155">
        <v>630144.04457999999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48.262900000000002</v>
      </c>
      <c r="E50" s="155">
        <v>53.597700000000003</v>
      </c>
    </row>
    <row r="51" spans="2:5">
      <c r="B51" s="108" t="s">
        <v>6</v>
      </c>
      <c r="C51" s="16" t="s">
        <v>195</v>
      </c>
      <c r="D51" s="215">
        <v>47.616399999999999</v>
      </c>
      <c r="E51" s="155">
        <v>50.800699999999999</v>
      </c>
    </row>
    <row r="52" spans="2:5">
      <c r="B52" s="108" t="s">
        <v>8</v>
      </c>
      <c r="C52" s="16" t="s">
        <v>196</v>
      </c>
      <c r="D52" s="215">
        <v>53.1282</v>
      </c>
      <c r="E52" s="77">
        <v>57.401200000000003</v>
      </c>
    </row>
    <row r="53" spans="2:5" ht="13.5" customHeight="1" thickBot="1">
      <c r="B53" s="109" t="s">
        <v>9</v>
      </c>
      <c r="C53" s="18" t="s">
        <v>41</v>
      </c>
      <c r="D53" s="216">
        <v>50.948500000000003</v>
      </c>
      <c r="E53" s="281">
        <v>50.825099999999999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32027134.080000002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32027134.080000002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32027134.080000002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32027134.080000002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81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28695907.140000001</v>
      </c>
      <c r="E11" s="9">
        <f>E12</f>
        <v>24427746.66</v>
      </c>
    </row>
    <row r="12" spans="2:5">
      <c r="B12" s="180" t="s">
        <v>4</v>
      </c>
      <c r="C12" s="181" t="s">
        <v>5</v>
      </c>
      <c r="D12" s="235">
        <v>28695907.140000001</v>
      </c>
      <c r="E12" s="87">
        <f>24583732.01-155985.35</f>
        <v>24427746.66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28695907.140000001</v>
      </c>
      <c r="E21" s="154">
        <f>E11-E17</f>
        <v>24427746.66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178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26704290.920000002</v>
      </c>
      <c r="E26" s="274">
        <f>D21</f>
        <v>28695907.140000001</v>
      </c>
    </row>
    <row r="27" spans="2:6">
      <c r="B27" s="10" t="s">
        <v>17</v>
      </c>
      <c r="C27" s="11" t="s">
        <v>192</v>
      </c>
      <c r="D27" s="207">
        <v>-2422863.0599999996</v>
      </c>
      <c r="E27" s="243">
        <f>E28-E32</f>
        <v>-1264685.3799999999</v>
      </c>
      <c r="F27" s="73"/>
    </row>
    <row r="28" spans="2:6">
      <c r="B28" s="10" t="s">
        <v>18</v>
      </c>
      <c r="C28" s="11" t="s">
        <v>19</v>
      </c>
      <c r="D28" s="207">
        <v>1488041.57</v>
      </c>
      <c r="E28" s="244">
        <f>SUM(E29:E31)</f>
        <v>1242192.3999999999</v>
      </c>
      <c r="F28" s="73"/>
    </row>
    <row r="29" spans="2:6">
      <c r="B29" s="188" t="s">
        <v>4</v>
      </c>
      <c r="C29" s="181" t="s">
        <v>20</v>
      </c>
      <c r="D29" s="208">
        <v>1488041.57</v>
      </c>
      <c r="E29" s="246">
        <v>1242192.3999999999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3910904.63</v>
      </c>
      <c r="E32" s="244">
        <f>SUM(E33:E39)</f>
        <v>2506877.7799999998</v>
      </c>
      <c r="F32" s="73"/>
    </row>
    <row r="33" spans="2:6">
      <c r="B33" s="188" t="s">
        <v>4</v>
      </c>
      <c r="C33" s="181" t="s">
        <v>25</v>
      </c>
      <c r="D33" s="208">
        <v>3910904.63</v>
      </c>
      <c r="E33" s="246">
        <v>2506877.7799999998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2272461.1800000002</v>
      </c>
      <c r="E40" s="275">
        <v>-3003475.1</v>
      </c>
    </row>
    <row r="41" spans="2:6" ht="13.5" thickBot="1">
      <c r="B41" s="105" t="s">
        <v>37</v>
      </c>
      <c r="C41" s="106" t="s">
        <v>38</v>
      </c>
      <c r="D41" s="211">
        <v>26553889.040000003</v>
      </c>
      <c r="E41" s="154">
        <f>E26+E27+E40</f>
        <v>24427746.66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1370680.9146</v>
      </c>
      <c r="E47" s="155">
        <v>1243231.9602000001</v>
      </c>
    </row>
    <row r="48" spans="2:6">
      <c r="B48" s="129" t="s">
        <v>6</v>
      </c>
      <c r="C48" s="23" t="s">
        <v>41</v>
      </c>
      <c r="D48" s="213">
        <v>1255224.0892094902</v>
      </c>
      <c r="E48" s="155">
        <v>1183824.57911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19.482500000000002</v>
      </c>
      <c r="E50" s="155">
        <v>23.081700000000001</v>
      </c>
    </row>
    <row r="51" spans="2:5">
      <c r="B51" s="108" t="s">
        <v>6</v>
      </c>
      <c r="C51" s="16" t="s">
        <v>195</v>
      </c>
      <c r="D51" s="215">
        <v>18.802</v>
      </c>
      <c r="E51" s="155">
        <v>20.634599999999999</v>
      </c>
    </row>
    <row r="52" spans="2:5">
      <c r="B52" s="108" t="s">
        <v>8</v>
      </c>
      <c r="C52" s="16" t="s">
        <v>196</v>
      </c>
      <c r="D52" s="215">
        <v>22.5258</v>
      </c>
      <c r="E52" s="77">
        <v>24.869499999999999</v>
      </c>
    </row>
    <row r="53" spans="2:5" ht="12.75" customHeight="1" thickBot="1">
      <c r="B53" s="109" t="s">
        <v>9</v>
      </c>
      <c r="C53" s="18" t="s">
        <v>41</v>
      </c>
      <c r="D53" s="216">
        <v>21.154699999999998</v>
      </c>
      <c r="E53" s="281">
        <v>20.634599999999999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24427746.66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24427746.66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24427746.66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24427746.66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4"/>
      <c r="C4" s="144"/>
      <c r="D4" s="144"/>
      <c r="E4" s="144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82</v>
      </c>
      <c r="C6" s="311"/>
      <c r="D6" s="311"/>
      <c r="E6" s="311"/>
    </row>
    <row r="7" spans="2:7" ht="14.25">
      <c r="B7" s="142"/>
      <c r="C7" s="142"/>
      <c r="D7" s="142"/>
      <c r="E7" s="142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21615083.59</v>
      </c>
      <c r="E11" s="9">
        <f>E12</f>
        <v>19057391.099999998</v>
      </c>
    </row>
    <row r="12" spans="2:7">
      <c r="B12" s="112" t="s">
        <v>4</v>
      </c>
      <c r="C12" s="6" t="s">
        <v>5</v>
      </c>
      <c r="D12" s="235">
        <v>21615083.59</v>
      </c>
      <c r="E12" s="87">
        <f>19118756.77-61365.67</f>
        <v>19057391.099999998</v>
      </c>
    </row>
    <row r="13" spans="2:7">
      <c r="B13" s="112" t="s">
        <v>6</v>
      </c>
      <c r="C13" s="70" t="s">
        <v>7</v>
      </c>
      <c r="D13" s="235"/>
      <c r="E13" s="87"/>
    </row>
    <row r="14" spans="2:7">
      <c r="B14" s="112" t="s">
        <v>8</v>
      </c>
      <c r="C14" s="70" t="s">
        <v>10</v>
      </c>
      <c r="D14" s="235"/>
      <c r="E14" s="87"/>
    </row>
    <row r="15" spans="2:7">
      <c r="B15" s="112" t="s">
        <v>187</v>
      </c>
      <c r="C15" s="70" t="s">
        <v>11</v>
      </c>
      <c r="D15" s="235"/>
      <c r="E15" s="87"/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12" t="s">
        <v>4</v>
      </c>
      <c r="C18" s="6" t="s">
        <v>11</v>
      </c>
      <c r="D18" s="235"/>
      <c r="E18" s="88"/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21615083.59</v>
      </c>
      <c r="E21" s="154">
        <f>E11-E17</f>
        <v>19057391.099999998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143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19603568.07</v>
      </c>
      <c r="E26" s="274">
        <f>D21</f>
        <v>21615083.59</v>
      </c>
    </row>
    <row r="27" spans="2:6">
      <c r="B27" s="10" t="s">
        <v>17</v>
      </c>
      <c r="C27" s="11" t="s">
        <v>192</v>
      </c>
      <c r="D27" s="207">
        <v>-1223200.17</v>
      </c>
      <c r="E27" s="243">
        <f>E28-E32</f>
        <v>-354054.64</v>
      </c>
      <c r="F27" s="73"/>
    </row>
    <row r="28" spans="2:6">
      <c r="B28" s="10" t="s">
        <v>18</v>
      </c>
      <c r="C28" s="11" t="s">
        <v>19</v>
      </c>
      <c r="D28" s="207">
        <v>1127181.1200000001</v>
      </c>
      <c r="E28" s="244">
        <f>SUM(E29:E31)</f>
        <v>963233.67</v>
      </c>
      <c r="F28" s="73"/>
    </row>
    <row r="29" spans="2:6">
      <c r="B29" s="110" t="s">
        <v>4</v>
      </c>
      <c r="C29" s="6" t="s">
        <v>20</v>
      </c>
      <c r="D29" s="208">
        <v>1127181.1200000001</v>
      </c>
      <c r="E29" s="246">
        <v>963233.67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2350381.29</v>
      </c>
      <c r="E32" s="244">
        <f>SUM(E33:E39)</f>
        <v>1317288.31</v>
      </c>
      <c r="F32" s="73"/>
    </row>
    <row r="33" spans="2:6">
      <c r="B33" s="110" t="s">
        <v>4</v>
      </c>
      <c r="C33" s="6" t="s">
        <v>25</v>
      </c>
      <c r="D33" s="208">
        <v>2350381.29</v>
      </c>
      <c r="E33" s="246">
        <v>1317288.31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/>
      <c r="E35" s="246"/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1726194.35</v>
      </c>
      <c r="E40" s="275">
        <v>-2203637.85</v>
      </c>
    </row>
    <row r="41" spans="2:6" ht="13.5" thickBot="1">
      <c r="B41" s="105" t="s">
        <v>37</v>
      </c>
      <c r="C41" s="106" t="s">
        <v>38</v>
      </c>
      <c r="D41" s="211">
        <v>20106562.25</v>
      </c>
      <c r="E41" s="154">
        <f>E26+E27+E40</f>
        <v>19057391.099999998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8" customHeight="1" thickBot="1">
      <c r="B44" s="312" t="s">
        <v>210</v>
      </c>
      <c r="C44" s="316"/>
      <c r="D44" s="316"/>
      <c r="E44" s="316"/>
    </row>
    <row r="45" spans="2:6" ht="13.5" thickBot="1">
      <c r="B45" s="143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1082633.4169099999</v>
      </c>
      <c r="E47" s="155">
        <v>1006106.1348999999</v>
      </c>
    </row>
    <row r="48" spans="2:6">
      <c r="B48" s="129" t="s">
        <v>6</v>
      </c>
      <c r="C48" s="23" t="s">
        <v>41</v>
      </c>
      <c r="D48" s="213">
        <v>1021176.7759</v>
      </c>
      <c r="E48" s="155">
        <v>987920.99179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08" t="s">
        <v>4</v>
      </c>
      <c r="C50" s="16" t="s">
        <v>40</v>
      </c>
      <c r="D50" s="212">
        <v>18.107299999999999</v>
      </c>
      <c r="E50" s="155">
        <v>21.483899999999998</v>
      </c>
    </row>
    <row r="51" spans="2:5">
      <c r="B51" s="108" t="s">
        <v>6</v>
      </c>
      <c r="C51" s="16" t="s">
        <v>195</v>
      </c>
      <c r="D51" s="215">
        <v>17.462800000000001</v>
      </c>
      <c r="E51" s="155">
        <v>19.176200000000001</v>
      </c>
    </row>
    <row r="52" spans="2:5">
      <c r="B52" s="108" t="s">
        <v>8</v>
      </c>
      <c r="C52" s="16" t="s">
        <v>196</v>
      </c>
      <c r="D52" s="215">
        <v>20.9742</v>
      </c>
      <c r="E52" s="77">
        <v>23.139600000000002</v>
      </c>
    </row>
    <row r="53" spans="2:5" ht="13.5" customHeight="1" thickBot="1">
      <c r="B53" s="109" t="s">
        <v>9</v>
      </c>
      <c r="C53" s="18" t="s">
        <v>41</v>
      </c>
      <c r="D53" s="216">
        <v>19.689599999999999</v>
      </c>
      <c r="E53" s="281">
        <v>19.290400000000002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4.25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19057391.099999998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19057391.099999998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19057391.099999998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19057391.099999998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4"/>
      <c r="C4" s="144"/>
      <c r="D4" s="144"/>
      <c r="E4" s="144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83</v>
      </c>
      <c r="C6" s="311"/>
      <c r="D6" s="311"/>
      <c r="E6" s="311"/>
    </row>
    <row r="7" spans="2:7" ht="14.25">
      <c r="B7" s="142"/>
      <c r="C7" s="142"/>
      <c r="D7" s="142"/>
      <c r="E7" s="142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25471190.969999999</v>
      </c>
      <c r="E11" s="9">
        <f>E12</f>
        <v>23454580.780000001</v>
      </c>
    </row>
    <row r="12" spans="2:7">
      <c r="B12" s="180" t="s">
        <v>4</v>
      </c>
      <c r="C12" s="181" t="s">
        <v>5</v>
      </c>
      <c r="D12" s="235">
        <v>25471190.969999999</v>
      </c>
      <c r="E12" s="87">
        <f>23466777.6-12196.82</f>
        <v>23454580.780000001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25471190.969999999</v>
      </c>
      <c r="E21" s="154">
        <f>E11</f>
        <v>23454580.780000001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23806378.309999999</v>
      </c>
      <c r="E26" s="274">
        <f>D21</f>
        <v>25471190.969999999</v>
      </c>
    </row>
    <row r="27" spans="2:6">
      <c r="B27" s="10" t="s">
        <v>17</v>
      </c>
      <c r="C27" s="11" t="s">
        <v>192</v>
      </c>
      <c r="D27" s="207">
        <v>-165957.36999999988</v>
      </c>
      <c r="E27" s="243">
        <f>E28-E32</f>
        <v>-174045.02000000002</v>
      </c>
      <c r="F27" s="73"/>
    </row>
    <row r="28" spans="2:6">
      <c r="B28" s="10" t="s">
        <v>18</v>
      </c>
      <c r="C28" s="11" t="s">
        <v>19</v>
      </c>
      <c r="D28" s="207">
        <v>1390148.35</v>
      </c>
      <c r="E28" s="244">
        <f>SUM(E29:E31)</f>
        <v>1178684.27</v>
      </c>
      <c r="F28" s="73"/>
    </row>
    <row r="29" spans="2:6">
      <c r="B29" s="188" t="s">
        <v>4</v>
      </c>
      <c r="C29" s="181" t="s">
        <v>20</v>
      </c>
      <c r="D29" s="208">
        <v>1390148.35</v>
      </c>
      <c r="E29" s="246">
        <v>1178684.27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1556105.72</v>
      </c>
      <c r="E32" s="244">
        <f>SUM(E33:E39)</f>
        <v>1352729.29</v>
      </c>
      <c r="F32" s="73"/>
    </row>
    <row r="33" spans="2:6">
      <c r="B33" s="188" t="s">
        <v>4</v>
      </c>
      <c r="C33" s="181" t="s">
        <v>25</v>
      </c>
      <c r="D33" s="208">
        <v>1556105.72</v>
      </c>
      <c r="E33" s="246">
        <v>1352729.29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/>
      <c r="E35" s="246"/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/>
      <c r="E37" s="246"/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2077001.51</v>
      </c>
      <c r="E40" s="275">
        <v>-1842565.17</v>
      </c>
    </row>
    <row r="41" spans="2:6" ht="13.5" thickBot="1">
      <c r="B41" s="105" t="s">
        <v>37</v>
      </c>
      <c r="C41" s="106" t="s">
        <v>38</v>
      </c>
      <c r="D41" s="211">
        <v>25717422.449999999</v>
      </c>
      <c r="E41" s="154">
        <f>E26+E27+E40</f>
        <v>23454580.780000001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87">
        <v>1249265.5083000001</v>
      </c>
      <c r="E47" s="155">
        <v>1172107.7614</v>
      </c>
    </row>
    <row r="48" spans="2:6">
      <c r="B48" s="193" t="s">
        <v>6</v>
      </c>
      <c r="C48" s="194" t="s">
        <v>41</v>
      </c>
      <c r="D48" s="288">
        <v>1240368.2143999999</v>
      </c>
      <c r="E48" s="155">
        <v>1163444.7498999999</v>
      </c>
    </row>
    <row r="49" spans="2:5">
      <c r="B49" s="126" t="s">
        <v>23</v>
      </c>
      <c r="C49" s="130" t="s">
        <v>194</v>
      </c>
      <c r="D49" s="289"/>
      <c r="E49" s="155"/>
    </row>
    <row r="50" spans="2:5">
      <c r="B50" s="191" t="s">
        <v>4</v>
      </c>
      <c r="C50" s="192" t="s">
        <v>40</v>
      </c>
      <c r="D50" s="288">
        <v>19.0563</v>
      </c>
      <c r="E50" s="155">
        <v>21.731100000000001</v>
      </c>
    </row>
    <row r="51" spans="2:5">
      <c r="B51" s="191" t="s">
        <v>6</v>
      </c>
      <c r="C51" s="192" t="s">
        <v>195</v>
      </c>
      <c r="D51" s="288">
        <v>18.3705</v>
      </c>
      <c r="E51" s="77">
        <v>20.159600000000001</v>
      </c>
    </row>
    <row r="52" spans="2:5">
      <c r="B52" s="191" t="s">
        <v>8</v>
      </c>
      <c r="C52" s="192" t="s">
        <v>196</v>
      </c>
      <c r="D52" s="288">
        <v>22.0974</v>
      </c>
      <c r="E52" s="77">
        <v>23.476800000000001</v>
      </c>
    </row>
    <row r="53" spans="2:5" ht="13.5" customHeight="1" thickBot="1">
      <c r="B53" s="195" t="s">
        <v>9</v>
      </c>
      <c r="C53" s="196" t="s">
        <v>41</v>
      </c>
      <c r="D53" s="290">
        <v>20.733699999999999</v>
      </c>
      <c r="E53" s="281">
        <v>20.159600000000001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23454580.780000001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23454580.780000001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23454580.780000001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v>0</v>
      </c>
      <c r="E75" s="81">
        <v>0</v>
      </c>
    </row>
    <row r="76" spans="2:5">
      <c r="B76" s="108" t="s">
        <v>6</v>
      </c>
      <c r="C76" s="16" t="s">
        <v>200</v>
      </c>
      <c r="D76" s="80">
        <f>D74</f>
        <v>23454580.780000001</v>
      </c>
      <c r="E76" s="81">
        <f>E74</f>
        <v>1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173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4431798.95</v>
      </c>
      <c r="E11" s="9">
        <f>E12</f>
        <v>3486714.4600000004</v>
      </c>
    </row>
    <row r="12" spans="2:5">
      <c r="B12" s="180" t="s">
        <v>4</v>
      </c>
      <c r="C12" s="181" t="s">
        <v>5</v>
      </c>
      <c r="D12" s="235">
        <v>4431798.95</v>
      </c>
      <c r="E12" s="87">
        <f>3486882.99-168.53</f>
        <v>3486714.4600000004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4431798.95</v>
      </c>
      <c r="E21" s="154">
        <f>E11</f>
        <v>3486714.4600000004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1772445.02</v>
      </c>
      <c r="E26" s="274">
        <f>D21</f>
        <v>4431798.95</v>
      </c>
    </row>
    <row r="27" spans="2:6">
      <c r="B27" s="10" t="s">
        <v>17</v>
      </c>
      <c r="C27" s="11" t="s">
        <v>192</v>
      </c>
      <c r="D27" s="207">
        <v>1691748.9799999997</v>
      </c>
      <c r="E27" s="243">
        <f>E28-E32</f>
        <v>-325149.65999999997</v>
      </c>
      <c r="F27" s="73"/>
    </row>
    <row r="28" spans="2:6">
      <c r="B28" s="10" t="s">
        <v>18</v>
      </c>
      <c r="C28" s="11" t="s">
        <v>19</v>
      </c>
      <c r="D28" s="207">
        <v>2782367.3499999996</v>
      </c>
      <c r="E28" s="244">
        <f>SUM(E29:E31)</f>
        <v>11323.64</v>
      </c>
      <c r="F28" s="73"/>
    </row>
    <row r="29" spans="2:6">
      <c r="B29" s="188" t="s">
        <v>4</v>
      </c>
      <c r="C29" s="181" t="s">
        <v>20</v>
      </c>
      <c r="D29" s="208">
        <v>9093.5499999999993</v>
      </c>
      <c r="E29" s="246">
        <v>11323.64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2773273.8</v>
      </c>
      <c r="E31" s="246"/>
      <c r="F31" s="73"/>
    </row>
    <row r="32" spans="2:6">
      <c r="B32" s="97" t="s">
        <v>23</v>
      </c>
      <c r="C32" s="12" t="s">
        <v>24</v>
      </c>
      <c r="D32" s="207">
        <v>1090618.3699999999</v>
      </c>
      <c r="E32" s="244">
        <f>SUM(E33:E39)</f>
        <v>336473.3</v>
      </c>
      <c r="F32" s="73"/>
    </row>
    <row r="33" spans="2:6">
      <c r="B33" s="188" t="s">
        <v>4</v>
      </c>
      <c r="C33" s="181" t="s">
        <v>25</v>
      </c>
      <c r="D33" s="208">
        <v>1028105.37</v>
      </c>
      <c r="E33" s="246">
        <f>143543.97+168.53</f>
        <v>143712.5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3123.21</v>
      </c>
      <c r="E35" s="246">
        <v>4356.3100000000004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20267.849999999999</v>
      </c>
      <c r="E37" s="246">
        <v>31851.18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39121.94</v>
      </c>
      <c r="E39" s="248">
        <v>156553.31</v>
      </c>
      <c r="F39" s="73"/>
    </row>
    <row r="40" spans="2:6" ht="13.5" thickBot="1">
      <c r="B40" s="103" t="s">
        <v>35</v>
      </c>
      <c r="C40" s="104" t="s">
        <v>36</v>
      </c>
      <c r="D40" s="210">
        <v>294412.03999999998</v>
      </c>
      <c r="E40" s="275">
        <v>-619934.82999999996</v>
      </c>
    </row>
    <row r="41" spans="2:6" ht="13.5" thickBot="1">
      <c r="B41" s="105" t="s">
        <v>37</v>
      </c>
      <c r="C41" s="106" t="s">
        <v>38</v>
      </c>
      <c r="D41" s="211">
        <v>3758606.04</v>
      </c>
      <c r="E41" s="154">
        <f>E26+E27+E40</f>
        <v>3486714.46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6025.0357700000004</v>
      </c>
      <c r="E47" s="155">
        <v>12651.438630000001</v>
      </c>
    </row>
    <row r="48" spans="2:6">
      <c r="B48" s="193" t="s">
        <v>6</v>
      </c>
      <c r="C48" s="194" t="s">
        <v>41</v>
      </c>
      <c r="D48" s="213">
        <v>11112.57439</v>
      </c>
      <c r="E48" s="155">
        <v>11668.66725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294.18</v>
      </c>
      <c r="E50" s="155">
        <v>350.3</v>
      </c>
    </row>
    <row r="51" spans="2:5">
      <c r="B51" s="191" t="s">
        <v>6</v>
      </c>
      <c r="C51" s="192" t="s">
        <v>195</v>
      </c>
      <c r="D51" s="215">
        <v>294.18</v>
      </c>
      <c r="E51" s="77">
        <v>293.99</v>
      </c>
    </row>
    <row r="52" spans="2:5">
      <c r="B52" s="191" t="s">
        <v>8</v>
      </c>
      <c r="C52" s="192" t="s">
        <v>196</v>
      </c>
      <c r="D52" s="215">
        <v>348.8</v>
      </c>
      <c r="E52" s="77">
        <v>371.03</v>
      </c>
    </row>
    <row r="53" spans="2:5" ht="13.5" customHeight="1" thickBot="1">
      <c r="B53" s="195" t="s">
        <v>9</v>
      </c>
      <c r="C53" s="196" t="s">
        <v>41</v>
      </c>
      <c r="D53" s="216">
        <v>338.23</v>
      </c>
      <c r="E53" s="281">
        <v>298.81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3486714.4600000004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3486714.4600000004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3486714.4600000004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3486714.4600000004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4"/>
      <c r="C4" s="144"/>
      <c r="D4" s="144"/>
      <c r="E4" s="144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174</v>
      </c>
      <c r="C6" s="311"/>
      <c r="D6" s="311"/>
      <c r="E6" s="311"/>
    </row>
    <row r="7" spans="2:7" ht="14.25">
      <c r="B7" s="142"/>
      <c r="C7" s="142"/>
      <c r="D7" s="142"/>
      <c r="E7" s="142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881620.21</v>
      </c>
      <c r="E11" s="9">
        <f>E12</f>
        <v>1092834.31</v>
      </c>
    </row>
    <row r="12" spans="2:7">
      <c r="B12" s="180" t="s">
        <v>4</v>
      </c>
      <c r="C12" s="181" t="s">
        <v>5</v>
      </c>
      <c r="D12" s="235">
        <v>881620.21</v>
      </c>
      <c r="E12" s="87">
        <v>1092834.31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881620.21</v>
      </c>
      <c r="E21" s="154">
        <f>E11</f>
        <v>1092834.31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1551458.15</v>
      </c>
      <c r="E26" s="274">
        <f>D21</f>
        <v>881620.21</v>
      </c>
    </row>
    <row r="27" spans="2:6">
      <c r="B27" s="10" t="s">
        <v>17</v>
      </c>
      <c r="C27" s="11" t="s">
        <v>192</v>
      </c>
      <c r="D27" s="207">
        <v>-510021.85</v>
      </c>
      <c r="E27" s="243">
        <f>E28-E32</f>
        <v>197279.44000000003</v>
      </c>
      <c r="F27" s="73"/>
    </row>
    <row r="28" spans="2:6">
      <c r="B28" s="10" t="s">
        <v>18</v>
      </c>
      <c r="C28" s="11" t="s">
        <v>19</v>
      </c>
      <c r="D28" s="207">
        <v>11876.14</v>
      </c>
      <c r="E28" s="244">
        <f>SUM(E29:E31)</f>
        <v>337980.71</v>
      </c>
      <c r="F28" s="73"/>
    </row>
    <row r="29" spans="2:6">
      <c r="B29" s="188" t="s">
        <v>4</v>
      </c>
      <c r="C29" s="181" t="s">
        <v>20</v>
      </c>
      <c r="D29" s="208">
        <v>5400.56</v>
      </c>
      <c r="E29" s="246">
        <v>6511.46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6475.58</v>
      </c>
      <c r="E31" s="246">
        <v>331469.25</v>
      </c>
      <c r="F31" s="73"/>
    </row>
    <row r="32" spans="2:6">
      <c r="B32" s="97" t="s">
        <v>23</v>
      </c>
      <c r="C32" s="12" t="s">
        <v>24</v>
      </c>
      <c r="D32" s="207">
        <v>521897.99</v>
      </c>
      <c r="E32" s="244">
        <f>SUM(E33:E39)</f>
        <v>140701.26999999999</v>
      </c>
      <c r="F32" s="73"/>
    </row>
    <row r="33" spans="2:6">
      <c r="B33" s="188" t="s">
        <v>4</v>
      </c>
      <c r="C33" s="181" t="s">
        <v>25</v>
      </c>
      <c r="D33" s="208">
        <v>137625.70000000001</v>
      </c>
      <c r="E33" s="246">
        <v>50650.51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1466.45</v>
      </c>
      <c r="E35" s="246">
        <v>2028.07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10190.33</v>
      </c>
      <c r="E37" s="246">
        <v>7415.99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372615.51</v>
      </c>
      <c r="E39" s="248">
        <v>80606.7</v>
      </c>
      <c r="F39" s="73"/>
    </row>
    <row r="40" spans="2:6" ht="13.5" thickBot="1">
      <c r="B40" s="103" t="s">
        <v>35</v>
      </c>
      <c r="C40" s="104" t="s">
        <v>36</v>
      </c>
      <c r="D40" s="210">
        <v>42633.33</v>
      </c>
      <c r="E40" s="275">
        <v>13934.66</v>
      </c>
    </row>
    <row r="41" spans="2:6" ht="13.5" thickBot="1">
      <c r="B41" s="105" t="s">
        <v>37</v>
      </c>
      <c r="C41" s="106" t="s">
        <v>38</v>
      </c>
      <c r="D41" s="211">
        <v>1084069.6299999999</v>
      </c>
      <c r="E41" s="154">
        <f>E26+E27+E40</f>
        <v>1092834.3099999998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5400.1328000000003</v>
      </c>
      <c r="E47" s="155">
        <v>2932.2830199999999</v>
      </c>
    </row>
    <row r="48" spans="2:6">
      <c r="B48" s="193" t="s">
        <v>6</v>
      </c>
      <c r="C48" s="194" t="s">
        <v>41</v>
      </c>
      <c r="D48" s="213">
        <v>3641.8504600000001</v>
      </c>
      <c r="E48" s="155">
        <v>3576.9648900000002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287.3</v>
      </c>
      <c r="E50" s="155">
        <v>300.66000000000003</v>
      </c>
    </row>
    <row r="51" spans="2:5">
      <c r="B51" s="191" t="s">
        <v>6</v>
      </c>
      <c r="C51" s="192" t="s">
        <v>195</v>
      </c>
      <c r="D51" s="215">
        <v>285.70999999999998</v>
      </c>
      <c r="E51" s="77">
        <v>300.51</v>
      </c>
    </row>
    <row r="52" spans="2:5">
      <c r="B52" s="191" t="s">
        <v>8</v>
      </c>
      <c r="C52" s="192" t="s">
        <v>196</v>
      </c>
      <c r="D52" s="215">
        <v>298.99</v>
      </c>
      <c r="E52" s="77">
        <v>305.87</v>
      </c>
    </row>
    <row r="53" spans="2:5" ht="12.75" customHeight="1" thickBot="1">
      <c r="B53" s="195" t="s">
        <v>9</v>
      </c>
      <c r="C53" s="196" t="s">
        <v>41</v>
      </c>
      <c r="D53" s="216">
        <v>297.67</v>
      </c>
      <c r="E53" s="281">
        <v>305.52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1092834.31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1092834.31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1092834.31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1092834.31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90"/>
      <c r="C4" s="90"/>
      <c r="D4" s="90"/>
      <c r="E4" s="90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91</v>
      </c>
      <c r="C6" s="311"/>
      <c r="D6" s="311"/>
      <c r="E6" s="311"/>
    </row>
    <row r="7" spans="2:7" ht="14.25">
      <c r="B7" s="94"/>
      <c r="C7" s="94"/>
      <c r="D7" s="94"/>
      <c r="E7" s="94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91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52289788.109999999</v>
      </c>
      <c r="E11" s="9">
        <f>E12+E13+E14</f>
        <v>54961877.689999998</v>
      </c>
    </row>
    <row r="12" spans="2:7">
      <c r="B12" s="112" t="s">
        <v>4</v>
      </c>
      <c r="C12" s="6" t="s">
        <v>5</v>
      </c>
      <c r="D12" s="235">
        <v>52029089.100000001</v>
      </c>
      <c r="E12" s="87">
        <f>56076464.96+529133.61+7.25-1825520.64</f>
        <v>54780085.18</v>
      </c>
    </row>
    <row r="13" spans="2:7">
      <c r="B13" s="112" t="s">
        <v>6</v>
      </c>
      <c r="C13" s="70" t="s">
        <v>7</v>
      </c>
      <c r="D13" s="235"/>
      <c r="E13" s="87">
        <v>14.03</v>
      </c>
    </row>
    <row r="14" spans="2:7">
      <c r="B14" s="112" t="s">
        <v>8</v>
      </c>
      <c r="C14" s="70" t="s">
        <v>10</v>
      </c>
      <c r="D14" s="235">
        <v>260699.01</v>
      </c>
      <c r="E14" s="87">
        <f>E15</f>
        <v>181778.48</v>
      </c>
    </row>
    <row r="15" spans="2:7">
      <c r="B15" s="112" t="s">
        <v>187</v>
      </c>
      <c r="C15" s="70" t="s">
        <v>11</v>
      </c>
      <c r="D15" s="235">
        <v>260699.01</v>
      </c>
      <c r="E15" s="87">
        <v>181778.48</v>
      </c>
    </row>
    <row r="16" spans="2:7">
      <c r="B16" s="113" t="s">
        <v>188</v>
      </c>
      <c r="C16" s="96" t="s">
        <v>12</v>
      </c>
      <c r="D16" s="236"/>
      <c r="E16" s="88"/>
    </row>
    <row r="17" spans="2:6">
      <c r="B17" s="10" t="s">
        <v>13</v>
      </c>
      <c r="C17" s="12" t="s">
        <v>65</v>
      </c>
      <c r="D17" s="264">
        <v>70961.039999999994</v>
      </c>
      <c r="E17" s="98">
        <f>SUM(E18:E19)</f>
        <v>91444.65</v>
      </c>
    </row>
    <row r="18" spans="2:6">
      <c r="B18" s="112" t="s">
        <v>4</v>
      </c>
      <c r="C18" s="6" t="s">
        <v>11</v>
      </c>
      <c r="D18" s="235">
        <v>70961.039999999994</v>
      </c>
      <c r="E18" s="88">
        <v>91444.65</v>
      </c>
    </row>
    <row r="19" spans="2:6" ht="15" customHeight="1">
      <c r="B19" s="112" t="s">
        <v>6</v>
      </c>
      <c r="C19" s="70" t="s">
        <v>189</v>
      </c>
      <c r="D19" s="235"/>
      <c r="E19" s="87"/>
    </row>
    <row r="20" spans="2:6" ht="13.5" thickBot="1">
      <c r="B20" s="114" t="s">
        <v>8</v>
      </c>
      <c r="C20" s="71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52218827.07</v>
      </c>
      <c r="E21" s="154">
        <f>E11-E17</f>
        <v>54870433.039999999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1"/>
      <c r="D23" s="321"/>
      <c r="E23" s="321"/>
    </row>
    <row r="24" spans="2:6" ht="15.75" customHeight="1" thickBot="1">
      <c r="B24" s="312" t="s">
        <v>186</v>
      </c>
      <c r="C24" s="322"/>
      <c r="D24" s="322"/>
      <c r="E24" s="322"/>
    </row>
    <row r="25" spans="2:6" ht="13.5" thickBot="1">
      <c r="B25" s="91"/>
      <c r="C25" s="5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41599814.200000003</v>
      </c>
      <c r="E26" s="274">
        <f>D21</f>
        <v>52218827.07</v>
      </c>
    </row>
    <row r="27" spans="2:6">
      <c r="B27" s="10" t="s">
        <v>17</v>
      </c>
      <c r="C27" s="11" t="s">
        <v>192</v>
      </c>
      <c r="D27" s="207">
        <v>4569951.0099999988</v>
      </c>
      <c r="E27" s="243">
        <f>E28-E32</f>
        <v>3101443.71</v>
      </c>
      <c r="F27" s="73"/>
    </row>
    <row r="28" spans="2:6">
      <c r="B28" s="10" t="s">
        <v>18</v>
      </c>
      <c r="C28" s="11" t="s">
        <v>19</v>
      </c>
      <c r="D28" s="207">
        <v>9881165.379999999</v>
      </c>
      <c r="E28" s="244">
        <f>SUM(E29:E31)</f>
        <v>8893518.3399999999</v>
      </c>
      <c r="F28" s="73"/>
    </row>
    <row r="29" spans="2:6">
      <c r="B29" s="110" t="s">
        <v>4</v>
      </c>
      <c r="C29" s="6" t="s">
        <v>20</v>
      </c>
      <c r="D29" s="208">
        <v>9435457.0899999999</v>
      </c>
      <c r="E29" s="246">
        <v>8418060.8000000007</v>
      </c>
      <c r="F29" s="73"/>
    </row>
    <row r="30" spans="2:6">
      <c r="B30" s="110" t="s">
        <v>6</v>
      </c>
      <c r="C30" s="6" t="s">
        <v>21</v>
      </c>
      <c r="D30" s="208"/>
      <c r="E30" s="246"/>
      <c r="F30" s="73"/>
    </row>
    <row r="31" spans="2:6">
      <c r="B31" s="110" t="s">
        <v>8</v>
      </c>
      <c r="C31" s="6" t="s">
        <v>22</v>
      </c>
      <c r="D31" s="208">
        <v>445708.29</v>
      </c>
      <c r="E31" s="246">
        <v>475457.54000000004</v>
      </c>
      <c r="F31" s="73"/>
    </row>
    <row r="32" spans="2:6">
      <c r="B32" s="97" t="s">
        <v>23</v>
      </c>
      <c r="C32" s="12" t="s">
        <v>24</v>
      </c>
      <c r="D32" s="207">
        <v>5311214.37</v>
      </c>
      <c r="E32" s="244">
        <f>SUM(E33:E39)</f>
        <v>5792074.6299999999</v>
      </c>
      <c r="F32" s="73"/>
    </row>
    <row r="33" spans="2:6">
      <c r="B33" s="110" t="s">
        <v>4</v>
      </c>
      <c r="C33" s="6" t="s">
        <v>25</v>
      </c>
      <c r="D33" s="208">
        <v>3560162.72</v>
      </c>
      <c r="E33" s="246">
        <f>3254120.71+1440932.07</f>
        <v>4695052.78</v>
      </c>
      <c r="F33" s="73"/>
    </row>
    <row r="34" spans="2:6">
      <c r="B34" s="110" t="s">
        <v>6</v>
      </c>
      <c r="C34" s="6" t="s">
        <v>26</v>
      </c>
      <c r="D34" s="208"/>
      <c r="E34" s="246"/>
      <c r="F34" s="73"/>
    </row>
    <row r="35" spans="2:6">
      <c r="B35" s="110" t="s">
        <v>8</v>
      </c>
      <c r="C35" s="6" t="s">
        <v>27</v>
      </c>
      <c r="D35" s="208">
        <v>637300.44999999995</v>
      </c>
      <c r="E35" s="246">
        <v>693394.03999999992</v>
      </c>
      <c r="F35" s="73"/>
    </row>
    <row r="36" spans="2:6">
      <c r="B36" s="110" t="s">
        <v>9</v>
      </c>
      <c r="C36" s="6" t="s">
        <v>28</v>
      </c>
      <c r="D36" s="208"/>
      <c r="E36" s="246"/>
      <c r="F36" s="73"/>
    </row>
    <row r="37" spans="2:6" ht="25.5">
      <c r="B37" s="110" t="s">
        <v>29</v>
      </c>
      <c r="C37" s="6" t="s">
        <v>30</v>
      </c>
      <c r="D37" s="208"/>
      <c r="E37" s="246"/>
      <c r="F37" s="73"/>
    </row>
    <row r="38" spans="2:6">
      <c r="B38" s="110" t="s">
        <v>31</v>
      </c>
      <c r="C38" s="6" t="s">
        <v>32</v>
      </c>
      <c r="D38" s="208"/>
      <c r="E38" s="246"/>
      <c r="F38" s="73"/>
    </row>
    <row r="39" spans="2:6">
      <c r="B39" s="111" t="s">
        <v>33</v>
      </c>
      <c r="C39" s="13" t="s">
        <v>34</v>
      </c>
      <c r="D39" s="209">
        <v>1113751.2</v>
      </c>
      <c r="E39" s="248">
        <v>403627.81</v>
      </c>
      <c r="F39" s="73"/>
    </row>
    <row r="40" spans="2:6" ht="13.5" thickBot="1">
      <c r="B40" s="103" t="s">
        <v>35</v>
      </c>
      <c r="C40" s="104" t="s">
        <v>36</v>
      </c>
      <c r="D40" s="210">
        <v>747840.96</v>
      </c>
      <c r="E40" s="275">
        <v>-449837.74</v>
      </c>
    </row>
    <row r="41" spans="2:6" ht="13.5" thickBot="1">
      <c r="B41" s="105" t="s">
        <v>37</v>
      </c>
      <c r="C41" s="106" t="s">
        <v>38</v>
      </c>
      <c r="D41" s="211">
        <v>46917606.170000002</v>
      </c>
      <c r="E41" s="154">
        <f>E26+E27+E40</f>
        <v>54870433.039999999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15"/>
      <c r="D43" s="315"/>
      <c r="E43" s="315"/>
    </row>
    <row r="44" spans="2:6" ht="17.25" customHeight="1" thickBot="1">
      <c r="B44" s="312" t="s">
        <v>210</v>
      </c>
      <c r="C44" s="316"/>
      <c r="D44" s="316"/>
      <c r="E44" s="316"/>
    </row>
    <row r="45" spans="2:6" ht="13.5" thickBot="1">
      <c r="B45" s="9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08" t="s">
        <v>4</v>
      </c>
      <c r="C47" s="16" t="s">
        <v>40</v>
      </c>
      <c r="D47" s="212">
        <v>3526684.0403750357</v>
      </c>
      <c r="E47" s="75">
        <v>4308518.9522000002</v>
      </c>
    </row>
    <row r="48" spans="2:6">
      <c r="B48" s="129" t="s">
        <v>6</v>
      </c>
      <c r="C48" s="23" t="s">
        <v>41</v>
      </c>
      <c r="D48" s="213">
        <v>3910353.9776325244</v>
      </c>
      <c r="E48" s="75">
        <v>4563586.3444800004</v>
      </c>
    </row>
    <row r="49" spans="2:5">
      <c r="B49" s="126" t="s">
        <v>23</v>
      </c>
      <c r="C49" s="130" t="s">
        <v>194</v>
      </c>
      <c r="D49" s="214"/>
      <c r="E49" s="131"/>
    </row>
    <row r="50" spans="2:5">
      <c r="B50" s="108" t="s">
        <v>4</v>
      </c>
      <c r="C50" s="16" t="s">
        <v>40</v>
      </c>
      <c r="D50" s="212">
        <v>11.7957304152419</v>
      </c>
      <c r="E50" s="297">
        <v>12.119901907902999</v>
      </c>
    </row>
    <row r="51" spans="2:5">
      <c r="B51" s="108" t="s">
        <v>6</v>
      </c>
      <c r="C51" s="16" t="s">
        <v>195</v>
      </c>
      <c r="D51" s="280">
        <v>11.763400000000001</v>
      </c>
      <c r="E51" s="285">
        <v>12.01</v>
      </c>
    </row>
    <row r="52" spans="2:5" ht="12" customHeight="1">
      <c r="B52" s="108" t="s">
        <v>8</v>
      </c>
      <c r="C52" s="16" t="s">
        <v>196</v>
      </c>
      <c r="D52" s="280">
        <v>12.026400000000001</v>
      </c>
      <c r="E52" s="77">
        <v>12.2064</v>
      </c>
    </row>
    <row r="53" spans="2:5" ht="13.5" thickBot="1">
      <c r="B53" s="109" t="s">
        <v>9</v>
      </c>
      <c r="C53" s="18" t="s">
        <v>41</v>
      </c>
      <c r="D53" s="216">
        <v>11.9983015446611</v>
      </c>
      <c r="E53" s="281">
        <v>12.0235334445672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SUM(D59:D70)</f>
        <v>54780085.18</v>
      </c>
      <c r="E58" s="33">
        <f>D58/E21</f>
        <v>0.9983534327142245</v>
      </c>
    </row>
    <row r="59" spans="2:5" ht="25.5">
      <c r="B59" s="22" t="s">
        <v>4</v>
      </c>
      <c r="C59" s="23" t="s">
        <v>44</v>
      </c>
      <c r="D59" s="82">
        <v>0</v>
      </c>
      <c r="E59" s="83">
        <v>0</v>
      </c>
    </row>
    <row r="60" spans="2:5" ht="24" customHeight="1">
      <c r="B60" s="15" t="s">
        <v>6</v>
      </c>
      <c r="C60" s="16" t="s">
        <v>45</v>
      </c>
      <c r="D60" s="80">
        <v>0</v>
      </c>
      <c r="E60" s="81">
        <v>0</v>
      </c>
    </row>
    <row r="61" spans="2:5">
      <c r="B61" s="15" t="s">
        <v>8</v>
      </c>
      <c r="C61" s="16" t="s">
        <v>46</v>
      </c>
      <c r="D61" s="80">
        <v>0</v>
      </c>
      <c r="E61" s="81">
        <v>0</v>
      </c>
    </row>
    <row r="62" spans="2:5">
      <c r="B62" s="15" t="s">
        <v>9</v>
      </c>
      <c r="C62" s="16" t="s">
        <v>47</v>
      </c>
      <c r="D62" s="80">
        <v>0</v>
      </c>
      <c r="E62" s="81">
        <v>0</v>
      </c>
    </row>
    <row r="63" spans="2:5">
      <c r="B63" s="15" t="s">
        <v>29</v>
      </c>
      <c r="C63" s="16" t="s">
        <v>48</v>
      </c>
      <c r="D63" s="80">
        <v>0</v>
      </c>
      <c r="E63" s="81">
        <v>0</v>
      </c>
    </row>
    <row r="64" spans="2:5">
      <c r="B64" s="22" t="s">
        <v>31</v>
      </c>
      <c r="C64" s="23" t="s">
        <v>49</v>
      </c>
      <c r="D64" s="82">
        <f>56076464.96-1825520.64</f>
        <v>54250944.32</v>
      </c>
      <c r="E64" s="83">
        <f>D64/E21</f>
        <v>0.98870997209829936</v>
      </c>
    </row>
    <row r="65" spans="2:5">
      <c r="B65" s="22" t="s">
        <v>33</v>
      </c>
      <c r="C65" s="23" t="s">
        <v>199</v>
      </c>
      <c r="D65" s="82">
        <v>0</v>
      </c>
      <c r="E65" s="83">
        <v>0</v>
      </c>
    </row>
    <row r="66" spans="2:5">
      <c r="B66" s="22" t="s">
        <v>50</v>
      </c>
      <c r="C66" s="23" t="s">
        <v>51</v>
      </c>
      <c r="D66" s="82">
        <v>0</v>
      </c>
      <c r="E66" s="83">
        <v>0</v>
      </c>
    </row>
    <row r="67" spans="2:5">
      <c r="B67" s="15" t="s">
        <v>52</v>
      </c>
      <c r="C67" s="16" t="s">
        <v>53</v>
      </c>
      <c r="D67" s="80">
        <v>0</v>
      </c>
      <c r="E67" s="81">
        <v>0</v>
      </c>
    </row>
    <row r="68" spans="2:5">
      <c r="B68" s="15" t="s">
        <v>54</v>
      </c>
      <c r="C68" s="16" t="s">
        <v>55</v>
      </c>
      <c r="D68" s="80">
        <v>0</v>
      </c>
      <c r="E68" s="81">
        <v>0</v>
      </c>
    </row>
    <row r="69" spans="2:5">
      <c r="B69" s="15" t="s">
        <v>56</v>
      </c>
      <c r="C69" s="16" t="s">
        <v>57</v>
      </c>
      <c r="D69" s="80">
        <f>529133.61+7.25</f>
        <v>529140.86</v>
      </c>
      <c r="E69" s="81">
        <f>D69/E21</f>
        <v>9.6434606159251837E-3</v>
      </c>
    </row>
    <row r="70" spans="2:5">
      <c r="B70" s="118" t="s">
        <v>58</v>
      </c>
      <c r="C70" s="119" t="s">
        <v>59</v>
      </c>
      <c r="D70" s="120">
        <v>0</v>
      </c>
      <c r="E70" s="121">
        <v>0</v>
      </c>
    </row>
    <row r="71" spans="2:5">
      <c r="B71" s="126" t="s">
        <v>23</v>
      </c>
      <c r="C71" s="127" t="s">
        <v>61</v>
      </c>
      <c r="D71" s="128">
        <f>E13</f>
        <v>14.03</v>
      </c>
      <c r="E71" s="68">
        <v>0</v>
      </c>
    </row>
    <row r="72" spans="2:5">
      <c r="B72" s="122" t="s">
        <v>60</v>
      </c>
      <c r="C72" s="123" t="s">
        <v>63</v>
      </c>
      <c r="D72" s="124">
        <f>E14</f>
        <v>181778.48</v>
      </c>
      <c r="E72" s="125">
        <f>D72/E21</f>
        <v>3.3128676033499739E-3</v>
      </c>
    </row>
    <row r="73" spans="2:5">
      <c r="B73" s="24" t="s">
        <v>62</v>
      </c>
      <c r="C73" s="25" t="s">
        <v>65</v>
      </c>
      <c r="D73" s="26">
        <f>E17</f>
        <v>91444.65</v>
      </c>
      <c r="E73" s="27">
        <f>D73/E21</f>
        <v>1.6665560108362505E-3</v>
      </c>
    </row>
    <row r="74" spans="2:5">
      <c r="B74" s="126" t="s">
        <v>64</v>
      </c>
      <c r="C74" s="127" t="s">
        <v>66</v>
      </c>
      <c r="D74" s="128">
        <f>D58+D71+D72-D73</f>
        <v>54870433.039999999</v>
      </c>
      <c r="E74" s="68">
        <f>E58+E72-E73</f>
        <v>0.99999974430673833</v>
      </c>
    </row>
    <row r="75" spans="2:5">
      <c r="B75" s="15" t="s">
        <v>4</v>
      </c>
      <c r="C75" s="16" t="s">
        <v>67</v>
      </c>
      <c r="D75" s="80">
        <f>D74</f>
        <v>54870433.039999999</v>
      </c>
      <c r="E75" s="81">
        <f>E74</f>
        <v>0.99999974430673833</v>
      </c>
    </row>
    <row r="76" spans="2:5">
      <c r="B76" s="15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7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4"/>
      <c r="C4" s="144"/>
      <c r="D4" s="144"/>
      <c r="E4" s="144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165</v>
      </c>
      <c r="C6" s="311"/>
      <c r="D6" s="311"/>
      <c r="E6" s="311"/>
    </row>
    <row r="7" spans="2:7" ht="14.25">
      <c r="B7" s="142"/>
      <c r="C7" s="142"/>
      <c r="D7" s="142"/>
      <c r="E7" s="142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150604.94</v>
      </c>
      <c r="E11" s="9">
        <f>E12</f>
        <v>114574.48</v>
      </c>
    </row>
    <row r="12" spans="2:7">
      <c r="B12" s="180" t="s">
        <v>4</v>
      </c>
      <c r="C12" s="181" t="s">
        <v>5</v>
      </c>
      <c r="D12" s="235">
        <v>150604.94</v>
      </c>
      <c r="E12" s="87">
        <f>115541.3-966.82</f>
        <v>114574.48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150604.94</v>
      </c>
      <c r="E21" s="154">
        <f>E11-E17</f>
        <v>114574.48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126910.11</v>
      </c>
      <c r="E26" s="274">
        <f>D21</f>
        <v>150604.94</v>
      </c>
    </row>
    <row r="27" spans="2:6">
      <c r="B27" s="10" t="s">
        <v>17</v>
      </c>
      <c r="C27" s="11" t="s">
        <v>192</v>
      </c>
      <c r="D27" s="207">
        <v>3341.760000000002</v>
      </c>
      <c r="E27" s="243">
        <f>E28-E32</f>
        <v>-14108.98</v>
      </c>
      <c r="F27" s="73"/>
    </row>
    <row r="28" spans="2:6">
      <c r="B28" s="10" t="s">
        <v>18</v>
      </c>
      <c r="C28" s="11" t="s">
        <v>19</v>
      </c>
      <c r="D28" s="207">
        <v>22806.769999999997</v>
      </c>
      <c r="E28" s="244">
        <f>SUM(E29:E31)</f>
        <v>2266.52</v>
      </c>
      <c r="F28" s="73"/>
    </row>
    <row r="29" spans="2:6">
      <c r="B29" s="188" t="s">
        <v>4</v>
      </c>
      <c r="C29" s="181" t="s">
        <v>20</v>
      </c>
      <c r="D29" s="208">
        <v>2529.33</v>
      </c>
      <c r="E29" s="246">
        <v>2266.52</v>
      </c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20277.439999999999</v>
      </c>
      <c r="E31" s="246"/>
      <c r="F31" s="73"/>
    </row>
    <row r="32" spans="2:6">
      <c r="B32" s="97" t="s">
        <v>23</v>
      </c>
      <c r="C32" s="12" t="s">
        <v>24</v>
      </c>
      <c r="D32" s="207">
        <v>19465.009999999995</v>
      </c>
      <c r="E32" s="244">
        <f>SUM(E33:E39)</f>
        <v>16375.5</v>
      </c>
      <c r="F32" s="73"/>
    </row>
    <row r="33" spans="2:6">
      <c r="B33" s="188" t="s">
        <v>4</v>
      </c>
      <c r="C33" s="181" t="s">
        <v>25</v>
      </c>
      <c r="D33" s="208">
        <v>18007.679999999997</v>
      </c>
      <c r="E33" s="246">
        <f>4169.92-184.21</f>
        <v>3985.71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256.14</v>
      </c>
      <c r="E35" s="246">
        <v>168.69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1201.19</v>
      </c>
      <c r="E37" s="246">
        <v>1125.54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11095.56</v>
      </c>
      <c r="F39" s="73"/>
    </row>
    <row r="40" spans="2:6" ht="13.5" thickBot="1">
      <c r="B40" s="103" t="s">
        <v>35</v>
      </c>
      <c r="C40" s="104" t="s">
        <v>36</v>
      </c>
      <c r="D40" s="210">
        <v>19148.41</v>
      </c>
      <c r="E40" s="275">
        <v>-21921.48</v>
      </c>
    </row>
    <row r="41" spans="2:6" ht="13.5" thickBot="1">
      <c r="B41" s="105" t="s">
        <v>37</v>
      </c>
      <c r="C41" s="106" t="s">
        <v>38</v>
      </c>
      <c r="D41" s="211">
        <v>149400.28</v>
      </c>
      <c r="E41" s="154">
        <f>E26+E27+E40</f>
        <v>114574.48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813.83933000000002</v>
      </c>
      <c r="E47" s="155">
        <v>830.55719999999997</v>
      </c>
    </row>
    <row r="48" spans="2:6">
      <c r="B48" s="193" t="s">
        <v>6</v>
      </c>
      <c r="C48" s="194" t="s">
        <v>41</v>
      </c>
      <c r="D48" s="213">
        <v>834.31216842575532</v>
      </c>
      <c r="E48" s="155">
        <v>752.24528999999995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155.94</v>
      </c>
      <c r="E50" s="155">
        <v>181.33</v>
      </c>
    </row>
    <row r="51" spans="2:5">
      <c r="B51" s="191" t="s">
        <v>6</v>
      </c>
      <c r="C51" s="192" t="s">
        <v>195</v>
      </c>
      <c r="D51" s="215">
        <v>152.59</v>
      </c>
      <c r="E51" s="77">
        <v>147.32</v>
      </c>
    </row>
    <row r="52" spans="2:5">
      <c r="B52" s="191" t="s">
        <v>8</v>
      </c>
      <c r="C52" s="192" t="s">
        <v>196</v>
      </c>
      <c r="D52" s="215">
        <v>181.35</v>
      </c>
      <c r="E52" s="77">
        <v>190.03</v>
      </c>
    </row>
    <row r="53" spans="2:5" ht="13.5" customHeight="1" thickBot="1">
      <c r="B53" s="195" t="s">
        <v>9</v>
      </c>
      <c r="C53" s="196" t="s">
        <v>41</v>
      </c>
      <c r="D53" s="216">
        <v>179.07</v>
      </c>
      <c r="E53" s="281">
        <v>152.31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114574.48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114574.48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114574.48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114574.48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166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59887.72</v>
      </c>
      <c r="E11" s="9">
        <f>E12</f>
        <v>52474.64</v>
      </c>
    </row>
    <row r="12" spans="2:5">
      <c r="B12" s="180" t="s">
        <v>4</v>
      </c>
      <c r="C12" s="181" t="s">
        <v>5</v>
      </c>
      <c r="D12" s="235">
        <v>59887.72</v>
      </c>
      <c r="E12" s="87">
        <v>52474.64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59887.72</v>
      </c>
      <c r="E21" s="154">
        <f>E11</f>
        <v>52474.64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56145.38</v>
      </c>
      <c r="E26" s="274">
        <f>D21</f>
        <v>59887.72</v>
      </c>
    </row>
    <row r="27" spans="2:6">
      <c r="B27" s="10" t="s">
        <v>17</v>
      </c>
      <c r="C27" s="11" t="s">
        <v>192</v>
      </c>
      <c r="D27" s="207">
        <v>-1560.92</v>
      </c>
      <c r="E27" s="243">
        <f>E28-E32</f>
        <v>-485.56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1560.92</v>
      </c>
      <c r="E32" s="244">
        <f>SUM(E33:E39)</f>
        <v>485.56</v>
      </c>
      <c r="F32" s="73"/>
    </row>
    <row r="33" spans="2:6">
      <c r="B33" s="188" t="s">
        <v>4</v>
      </c>
      <c r="C33" s="181" t="s">
        <v>25</v>
      </c>
      <c r="D33" s="208">
        <v>1174.04</v>
      </c>
      <c r="E33" s="246"/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20.63</v>
      </c>
      <c r="E35" s="246">
        <v>22.37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366.25</v>
      </c>
      <c r="E37" s="246">
        <v>463.19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6792.22</v>
      </c>
      <c r="E40" s="275">
        <v>-6927.52</v>
      </c>
    </row>
    <row r="41" spans="2:6" ht="13.5" thickBot="1">
      <c r="B41" s="105" t="s">
        <v>37</v>
      </c>
      <c r="C41" s="106" t="s">
        <v>38</v>
      </c>
      <c r="D41" s="211">
        <v>61376.68</v>
      </c>
      <c r="E41" s="154">
        <f>E26+E27+E40</f>
        <v>52474.64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275.98002000000002</v>
      </c>
      <c r="E47" s="155">
        <v>267.12929000000003</v>
      </c>
    </row>
    <row r="48" spans="2:6">
      <c r="B48" s="193" t="s">
        <v>6</v>
      </c>
      <c r="C48" s="194" t="s">
        <v>41</v>
      </c>
      <c r="D48" s="213">
        <v>269.08976000000001</v>
      </c>
      <c r="E48" s="155">
        <v>264.87630000000001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203.44</v>
      </c>
      <c r="E50" s="155">
        <v>224.19</v>
      </c>
    </row>
    <row r="51" spans="2:5">
      <c r="B51" s="191" t="s">
        <v>6</v>
      </c>
      <c r="C51" s="192" t="s">
        <v>195</v>
      </c>
      <c r="D51" s="215">
        <v>203.3</v>
      </c>
      <c r="E51" s="77">
        <v>196.08</v>
      </c>
    </row>
    <row r="52" spans="2:5">
      <c r="B52" s="191" t="s">
        <v>8</v>
      </c>
      <c r="C52" s="192" t="s">
        <v>196</v>
      </c>
      <c r="D52" s="215">
        <v>229.58</v>
      </c>
      <c r="E52" s="77">
        <v>233.45</v>
      </c>
    </row>
    <row r="53" spans="2:5" ht="14.25" customHeight="1" thickBot="1">
      <c r="B53" s="195" t="s">
        <v>9</v>
      </c>
      <c r="C53" s="196" t="s">
        <v>41</v>
      </c>
      <c r="D53" s="216">
        <v>228.09</v>
      </c>
      <c r="E53" s="281">
        <v>198.11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52474.64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52474.64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52474.64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52474.64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4"/>
      <c r="C4" s="144"/>
      <c r="D4" s="144"/>
      <c r="E4" s="144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178</v>
      </c>
      <c r="C6" s="311"/>
      <c r="D6" s="311"/>
      <c r="E6" s="311"/>
    </row>
    <row r="7" spans="2:7" ht="14.25">
      <c r="B7" s="142"/>
      <c r="C7" s="142"/>
      <c r="D7" s="142"/>
      <c r="E7" s="142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7798710.8200000003</v>
      </c>
      <c r="E11" s="9">
        <f>E12</f>
        <v>7285869.3799999999</v>
      </c>
    </row>
    <row r="12" spans="2:7">
      <c r="B12" s="180" t="s">
        <v>4</v>
      </c>
      <c r="C12" s="181" t="s">
        <v>5</v>
      </c>
      <c r="D12" s="235">
        <v>7798710.8200000003</v>
      </c>
      <c r="E12" s="87">
        <v>7285869.3799999999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7798710.8200000003</v>
      </c>
      <c r="E21" s="154">
        <f>E11</f>
        <v>7285869.3799999999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8888225.0800000001</v>
      </c>
      <c r="E26" s="274">
        <f>D21</f>
        <v>7798710.8200000003</v>
      </c>
    </row>
    <row r="27" spans="2:6">
      <c r="B27" s="10" t="s">
        <v>17</v>
      </c>
      <c r="C27" s="11" t="s">
        <v>192</v>
      </c>
      <c r="D27" s="207">
        <v>-1069780.3900000001</v>
      </c>
      <c r="E27" s="243">
        <f>E28-E32</f>
        <v>-393784.32000000001</v>
      </c>
      <c r="F27" s="73"/>
    </row>
    <row r="28" spans="2:6">
      <c r="B28" s="10" t="s">
        <v>18</v>
      </c>
      <c r="C28" s="11" t="s">
        <v>19</v>
      </c>
      <c r="D28" s="207">
        <v>184840.38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184840.38</v>
      </c>
      <c r="E31" s="246"/>
      <c r="F31" s="73"/>
    </row>
    <row r="32" spans="2:6">
      <c r="B32" s="97" t="s">
        <v>23</v>
      </c>
      <c r="C32" s="12" t="s">
        <v>24</v>
      </c>
      <c r="D32" s="207">
        <v>1254620.77</v>
      </c>
      <c r="E32" s="244">
        <f>SUM(E33:E39)</f>
        <v>393784.32000000001</v>
      </c>
      <c r="F32" s="73"/>
    </row>
    <row r="33" spans="2:6">
      <c r="B33" s="188" t="s">
        <v>4</v>
      </c>
      <c r="C33" s="181" t="s">
        <v>25</v>
      </c>
      <c r="D33" s="208">
        <v>622316</v>
      </c>
      <c r="E33" s="246">
        <v>275232.58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8899.1299999999992</v>
      </c>
      <c r="E35" s="246">
        <v>8635.58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72270.8</v>
      </c>
      <c r="E37" s="246">
        <v>60392.17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551134.84</v>
      </c>
      <c r="E39" s="248">
        <v>49523.99</v>
      </c>
      <c r="F39" s="73"/>
    </row>
    <row r="40" spans="2:6" ht="13.5" thickBot="1">
      <c r="B40" s="103" t="s">
        <v>35</v>
      </c>
      <c r="C40" s="104" t="s">
        <v>36</v>
      </c>
      <c r="D40" s="210">
        <v>516312.42</v>
      </c>
      <c r="E40" s="275">
        <v>-119057.12</v>
      </c>
    </row>
    <row r="41" spans="2:6" ht="13.5" thickBot="1">
      <c r="B41" s="105" t="s">
        <v>37</v>
      </c>
      <c r="C41" s="106" t="s">
        <v>38</v>
      </c>
      <c r="D41" s="211">
        <v>8334757.1099999994</v>
      </c>
      <c r="E41" s="154">
        <f>E26+E27+E40</f>
        <v>7285869.3799999999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56946.598409999999</v>
      </c>
      <c r="E47" s="155">
        <v>46086.223989999999</v>
      </c>
    </row>
    <row r="48" spans="2:6">
      <c r="B48" s="193" t="s">
        <v>6</v>
      </c>
      <c r="C48" s="194" t="s">
        <v>41</v>
      </c>
      <c r="D48" s="213">
        <v>50342.818979999996</v>
      </c>
      <c r="E48" s="155">
        <v>43732.709369999997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156.08000000000001</v>
      </c>
      <c r="E50" s="155">
        <v>169.22</v>
      </c>
    </row>
    <row r="51" spans="2:5">
      <c r="B51" s="191" t="s">
        <v>6</v>
      </c>
      <c r="C51" s="192" t="s">
        <v>195</v>
      </c>
      <c r="D51" s="215">
        <v>154.13999999999999</v>
      </c>
      <c r="E51" s="77">
        <v>158.06</v>
      </c>
    </row>
    <row r="52" spans="2:5">
      <c r="B52" s="191" t="s">
        <v>8</v>
      </c>
      <c r="C52" s="192" t="s">
        <v>196</v>
      </c>
      <c r="D52" s="215">
        <v>171.01</v>
      </c>
      <c r="E52" s="77">
        <v>175.39</v>
      </c>
    </row>
    <row r="53" spans="2:5" ht="12.75" customHeight="1" thickBot="1">
      <c r="B53" s="195" t="s">
        <v>9</v>
      </c>
      <c r="C53" s="196" t="s">
        <v>41</v>
      </c>
      <c r="D53" s="216">
        <v>165.56</v>
      </c>
      <c r="E53" s="281">
        <v>166.6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7285869.3799999999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7285869.3799999999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7285869.3799999999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7285869.3799999999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176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16368771.6</v>
      </c>
      <c r="E11" s="9">
        <f>E12</f>
        <v>15381082.050000001</v>
      </c>
    </row>
    <row r="12" spans="2:5">
      <c r="B12" s="180" t="s">
        <v>4</v>
      </c>
      <c r="C12" s="181" t="s">
        <v>5</v>
      </c>
      <c r="D12" s="235">
        <v>16368771.6</v>
      </c>
      <c r="E12" s="87">
        <v>15381082.050000001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16368771.6</v>
      </c>
      <c r="E21" s="154">
        <f>E11</f>
        <v>15381082.050000001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16734149.279999999</v>
      </c>
      <c r="E26" s="274">
        <f>D21</f>
        <v>16368771.6</v>
      </c>
    </row>
    <row r="27" spans="2:6">
      <c r="B27" s="10" t="s">
        <v>17</v>
      </c>
      <c r="C27" s="11" t="s">
        <v>192</v>
      </c>
      <c r="D27" s="207">
        <v>-549109.51000000013</v>
      </c>
      <c r="E27" s="243">
        <f>E28-E32</f>
        <v>-822696.55</v>
      </c>
      <c r="F27" s="73"/>
    </row>
    <row r="28" spans="2:6">
      <c r="B28" s="10" t="s">
        <v>18</v>
      </c>
      <c r="C28" s="11" t="s">
        <v>19</v>
      </c>
      <c r="D28" s="207">
        <v>582826.93000000005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582826.93000000005</v>
      </c>
      <c r="E31" s="246"/>
      <c r="F31" s="73"/>
    </row>
    <row r="32" spans="2:6">
      <c r="B32" s="97" t="s">
        <v>23</v>
      </c>
      <c r="C32" s="12" t="s">
        <v>24</v>
      </c>
      <c r="D32" s="207">
        <v>1131936.4400000002</v>
      </c>
      <c r="E32" s="244">
        <f>SUM(E33:E39)</f>
        <v>822696.55</v>
      </c>
      <c r="F32" s="73"/>
    </row>
    <row r="33" spans="2:6">
      <c r="B33" s="188" t="s">
        <v>4</v>
      </c>
      <c r="C33" s="181" t="s">
        <v>25</v>
      </c>
      <c r="D33" s="208">
        <v>767327.66</v>
      </c>
      <c r="E33" s="246">
        <v>243562.13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9495.5499999999993</v>
      </c>
      <c r="E35" s="246">
        <v>3719.03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140955.14000000001</v>
      </c>
      <c r="E37" s="246">
        <v>126730.22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214158.09</v>
      </c>
      <c r="E39" s="248">
        <v>448685.17</v>
      </c>
      <c r="F39" s="73"/>
    </row>
    <row r="40" spans="2:6" ht="13.5" thickBot="1">
      <c r="B40" s="103" t="s">
        <v>35</v>
      </c>
      <c r="C40" s="104" t="s">
        <v>36</v>
      </c>
      <c r="D40" s="210">
        <v>427721.08</v>
      </c>
      <c r="E40" s="275">
        <v>-164993</v>
      </c>
    </row>
    <row r="41" spans="2:6" ht="13.5" thickBot="1">
      <c r="B41" s="105" t="s">
        <v>37</v>
      </c>
      <c r="C41" s="106" t="s">
        <v>38</v>
      </c>
      <c r="D41" s="211">
        <v>16612760.85</v>
      </c>
      <c r="E41" s="154">
        <f>E26+E27+E40</f>
        <v>15381082.049999999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98021.024380000003</v>
      </c>
      <c r="E47" s="155">
        <v>91892.278649999993</v>
      </c>
    </row>
    <row r="48" spans="2:6">
      <c r="B48" s="193" t="s">
        <v>6</v>
      </c>
      <c r="C48" s="194" t="s">
        <v>41</v>
      </c>
      <c r="D48" s="213">
        <v>94897.525680000006</v>
      </c>
      <c r="E48" s="155">
        <v>87273.502340000006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170.72</v>
      </c>
      <c r="E50" s="155">
        <v>178.13</v>
      </c>
    </row>
    <row r="51" spans="2:5">
      <c r="B51" s="191" t="s">
        <v>6</v>
      </c>
      <c r="C51" s="192" t="s">
        <v>195</v>
      </c>
      <c r="D51" s="215">
        <v>170.72</v>
      </c>
      <c r="E51" s="155">
        <v>175.37</v>
      </c>
    </row>
    <row r="52" spans="2:5">
      <c r="B52" s="191" t="s">
        <v>8</v>
      </c>
      <c r="C52" s="192" t="s">
        <v>196</v>
      </c>
      <c r="D52" s="215">
        <v>175.9</v>
      </c>
      <c r="E52" s="77">
        <v>179.64</v>
      </c>
    </row>
    <row r="53" spans="2:5" ht="13.5" customHeight="1" thickBot="1">
      <c r="B53" s="195" t="s">
        <v>9</v>
      </c>
      <c r="C53" s="196" t="s">
        <v>41</v>
      </c>
      <c r="D53" s="216">
        <v>175.06</v>
      </c>
      <c r="E53" s="281">
        <v>176.24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15381082.050000001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15381082.050000001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15381082.050000001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15381082.050000001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177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10413724.82</v>
      </c>
      <c r="E11" s="9">
        <f>E12</f>
        <v>7488930.6099999994</v>
      </c>
    </row>
    <row r="12" spans="2:5">
      <c r="B12" s="180" t="s">
        <v>4</v>
      </c>
      <c r="C12" s="181" t="s">
        <v>5</v>
      </c>
      <c r="D12" s="235">
        <v>10413724.82</v>
      </c>
      <c r="E12" s="87">
        <f>7488943.6-12.99</f>
        <v>7488930.6099999994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10413724.82</v>
      </c>
      <c r="E21" s="154">
        <f>E11-E17</f>
        <v>7488930.6099999994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18273576.52</v>
      </c>
      <c r="E26" s="274">
        <f>D21</f>
        <v>10413724.82</v>
      </c>
    </row>
    <row r="27" spans="2:6">
      <c r="B27" s="10" t="s">
        <v>17</v>
      </c>
      <c r="C27" s="11" t="s">
        <v>192</v>
      </c>
      <c r="D27" s="207">
        <v>-2619425.29</v>
      </c>
      <c r="E27" s="243">
        <f>E28-E32</f>
        <v>-2833207.56</v>
      </c>
      <c r="F27" s="73"/>
    </row>
    <row r="28" spans="2:6">
      <c r="B28" s="10" t="s">
        <v>18</v>
      </c>
      <c r="C28" s="11" t="s">
        <v>19</v>
      </c>
      <c r="D28" s="207">
        <v>773588.23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>
        <v>7254</v>
      </c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766334.23</v>
      </c>
      <c r="E31" s="246"/>
      <c r="F31" s="73"/>
    </row>
    <row r="32" spans="2:6">
      <c r="B32" s="97" t="s">
        <v>23</v>
      </c>
      <c r="C32" s="12" t="s">
        <v>24</v>
      </c>
      <c r="D32" s="207">
        <v>3393013.52</v>
      </c>
      <c r="E32" s="244">
        <f>SUM(E33:E39)</f>
        <v>2833207.56</v>
      </c>
      <c r="F32" s="73"/>
    </row>
    <row r="33" spans="2:6">
      <c r="B33" s="188" t="s">
        <v>4</v>
      </c>
      <c r="C33" s="181" t="s">
        <v>25</v>
      </c>
      <c r="D33" s="208">
        <v>1366582.14</v>
      </c>
      <c r="E33" s="246">
        <f>1807093.77-0.17</f>
        <v>1807093.6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8207.77</v>
      </c>
      <c r="E35" s="246">
        <v>11757.74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137732.74</v>
      </c>
      <c r="E37" s="246">
        <v>66505.59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1880490.87</v>
      </c>
      <c r="E39" s="248">
        <v>947850.63</v>
      </c>
      <c r="F39" s="73"/>
    </row>
    <row r="40" spans="2:6" ht="13.5" thickBot="1">
      <c r="B40" s="103" t="s">
        <v>35</v>
      </c>
      <c r="C40" s="104" t="s">
        <v>36</v>
      </c>
      <c r="D40" s="210">
        <v>-51991</v>
      </c>
      <c r="E40" s="275">
        <v>-91586.65</v>
      </c>
    </row>
    <row r="41" spans="2:6" ht="13.5" thickBot="1">
      <c r="B41" s="105" t="s">
        <v>37</v>
      </c>
      <c r="C41" s="106" t="s">
        <v>38</v>
      </c>
      <c r="D41" s="211">
        <v>15602160.23</v>
      </c>
      <c r="E41" s="154">
        <f>E26+E27+E40</f>
        <v>7488930.6099999994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82986.269400000005</v>
      </c>
      <c r="E47" s="155">
        <v>46425.593240000002</v>
      </c>
    </row>
    <row r="48" spans="2:6">
      <c r="B48" s="193" t="s">
        <v>6</v>
      </c>
      <c r="C48" s="194" t="s">
        <v>41</v>
      </c>
      <c r="D48" s="213">
        <v>71356.781294305969</v>
      </c>
      <c r="E48" s="155">
        <v>33816.177230000001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220.2</v>
      </c>
      <c r="E50" s="155">
        <v>224.31</v>
      </c>
    </row>
    <row r="51" spans="2:5">
      <c r="B51" s="191" t="s">
        <v>6</v>
      </c>
      <c r="C51" s="192" t="s">
        <v>195</v>
      </c>
      <c r="D51" s="215">
        <v>218.45</v>
      </c>
      <c r="E51" s="77">
        <v>207.44</v>
      </c>
    </row>
    <row r="52" spans="2:5">
      <c r="B52" s="191" t="s">
        <v>8</v>
      </c>
      <c r="C52" s="192" t="s">
        <v>196</v>
      </c>
      <c r="D52" s="215">
        <v>231.1</v>
      </c>
      <c r="E52" s="77">
        <v>230.95</v>
      </c>
    </row>
    <row r="53" spans="2:5" ht="13.5" customHeight="1" thickBot="1">
      <c r="B53" s="195" t="s">
        <v>9</v>
      </c>
      <c r="C53" s="196" t="s">
        <v>41</v>
      </c>
      <c r="D53" s="216">
        <v>218.65</v>
      </c>
      <c r="E53" s="281">
        <v>221.46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7488930.6099999994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3.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E12</f>
        <v>7488930.6099999994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f>E17</f>
        <v>0</v>
      </c>
      <c r="E73" s="27">
        <f>D73/E21</f>
        <v>0</v>
      </c>
    </row>
    <row r="74" spans="2:5">
      <c r="B74" s="136" t="s">
        <v>64</v>
      </c>
      <c r="C74" s="127" t="s">
        <v>66</v>
      </c>
      <c r="D74" s="128">
        <f>D58-D73</f>
        <v>7488930.6099999994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7488930.6099999994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179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4987681.6399999997</v>
      </c>
      <c r="E11" s="9">
        <f>E12</f>
        <v>4613479.8100000005</v>
      </c>
    </row>
    <row r="12" spans="2:5">
      <c r="B12" s="180" t="s">
        <v>4</v>
      </c>
      <c r="C12" s="181" t="s">
        <v>5</v>
      </c>
      <c r="D12" s="235">
        <v>4987681.6399999997</v>
      </c>
      <c r="E12" s="87">
        <f>4613487.66-7.85</f>
        <v>4613479.8100000005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4987681.6399999997</v>
      </c>
      <c r="E21" s="154">
        <f>E11</f>
        <v>4613479.8100000005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6086818.46</v>
      </c>
      <c r="E26" s="274">
        <f>D21</f>
        <v>4987681.6399999997</v>
      </c>
    </row>
    <row r="27" spans="2:6">
      <c r="B27" s="10" t="s">
        <v>17</v>
      </c>
      <c r="C27" s="11" t="s">
        <v>192</v>
      </c>
      <c r="D27" s="207">
        <v>-314468.63999999996</v>
      </c>
      <c r="E27" s="243">
        <f>E28-E32</f>
        <v>-57494.130000000005</v>
      </c>
      <c r="F27" s="73"/>
    </row>
    <row r="28" spans="2:6">
      <c r="B28" s="10" t="s">
        <v>18</v>
      </c>
      <c r="C28" s="11" t="s">
        <v>19</v>
      </c>
      <c r="D28" s="207">
        <v>243323.57</v>
      </c>
      <c r="E28" s="244">
        <f>SUM(E29:E31)</f>
        <v>521722.03</v>
      </c>
      <c r="F28" s="73"/>
    </row>
    <row r="29" spans="2:6">
      <c r="B29" s="188" t="s">
        <v>4</v>
      </c>
      <c r="C29" s="181" t="s">
        <v>20</v>
      </c>
      <c r="D29" s="208">
        <v>5967</v>
      </c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237356.57</v>
      </c>
      <c r="E31" s="246">
        <v>521722.03</v>
      </c>
      <c r="F31" s="73"/>
    </row>
    <row r="32" spans="2:6">
      <c r="B32" s="97" t="s">
        <v>23</v>
      </c>
      <c r="C32" s="12" t="s">
        <v>24</v>
      </c>
      <c r="D32" s="207">
        <v>557792.21</v>
      </c>
      <c r="E32" s="244">
        <f>SUM(E33:E39)</f>
        <v>579216.16</v>
      </c>
      <c r="F32" s="73"/>
    </row>
    <row r="33" spans="2:6">
      <c r="B33" s="188" t="s">
        <v>4</v>
      </c>
      <c r="C33" s="181" t="s">
        <v>25</v>
      </c>
      <c r="D33" s="208">
        <v>371550.95999999996</v>
      </c>
      <c r="E33" s="246">
        <f>436833.16-0.48</f>
        <v>436832.68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2326.63</v>
      </c>
      <c r="E35" s="246">
        <v>2877.62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50720.21</v>
      </c>
      <c r="E37" s="246">
        <v>37988.22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133194.41</v>
      </c>
      <c r="E39" s="248">
        <v>101517.64</v>
      </c>
      <c r="F39" s="73"/>
    </row>
    <row r="40" spans="2:6" ht="13.5" thickBot="1">
      <c r="B40" s="103" t="s">
        <v>35</v>
      </c>
      <c r="C40" s="104" t="s">
        <v>36</v>
      </c>
      <c r="D40" s="210">
        <v>335442.23</v>
      </c>
      <c r="E40" s="275">
        <v>-316707.7</v>
      </c>
    </row>
    <row r="41" spans="2:6" ht="13.5" thickBot="1">
      <c r="B41" s="105" t="s">
        <v>37</v>
      </c>
      <c r="C41" s="106" t="s">
        <v>38</v>
      </c>
      <c r="D41" s="211">
        <v>6107792.0500000007</v>
      </c>
      <c r="E41" s="154">
        <f>E26+E27+E40</f>
        <v>4613479.8099999996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34178.328130000002</v>
      </c>
      <c r="E47" s="155">
        <v>22984.74639</v>
      </c>
    </row>
    <row r="48" spans="2:6">
      <c r="B48" s="193" t="s">
        <v>6</v>
      </c>
      <c r="C48" s="194" t="s">
        <v>41</v>
      </c>
      <c r="D48" s="213">
        <v>32502.086260110686</v>
      </c>
      <c r="E48" s="155">
        <v>22584.099300000002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178.09</v>
      </c>
      <c r="E50" s="155">
        <v>217</v>
      </c>
    </row>
    <row r="51" spans="2:5">
      <c r="B51" s="191" t="s">
        <v>6</v>
      </c>
      <c r="C51" s="192" t="s">
        <v>195</v>
      </c>
      <c r="D51" s="215">
        <v>172.81</v>
      </c>
      <c r="E51" s="77">
        <v>195.92</v>
      </c>
    </row>
    <row r="52" spans="2:5">
      <c r="B52" s="191" t="s">
        <v>8</v>
      </c>
      <c r="C52" s="192" t="s">
        <v>196</v>
      </c>
      <c r="D52" s="215">
        <v>189.01</v>
      </c>
      <c r="E52" s="77">
        <v>228.07</v>
      </c>
    </row>
    <row r="53" spans="2:5" ht="12.75" customHeight="1" thickBot="1">
      <c r="B53" s="195" t="s">
        <v>9</v>
      </c>
      <c r="C53" s="196" t="s">
        <v>41</v>
      </c>
      <c r="D53" s="216">
        <v>187.92</v>
      </c>
      <c r="E53" s="281">
        <v>204.28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7.2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4613479.8100000005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 ht="12.75" customHeight="1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4613479.8100000005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4613479.8100000005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4613479.8100000005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7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G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09" t="s">
        <v>0</v>
      </c>
      <c r="C2" s="309"/>
      <c r="D2" s="309"/>
      <c r="E2" s="309"/>
      <c r="G2" s="73"/>
    </row>
    <row r="3" spans="2:7" ht="15.75">
      <c r="B3" s="309" t="s">
        <v>276</v>
      </c>
      <c r="C3" s="309"/>
      <c r="D3" s="309"/>
      <c r="E3" s="309"/>
    </row>
    <row r="4" spans="2:7" ht="15">
      <c r="B4" s="144"/>
      <c r="C4" s="144"/>
      <c r="D4" s="144"/>
      <c r="E4" s="144"/>
    </row>
    <row r="5" spans="2:7" ht="21" customHeight="1">
      <c r="B5" s="310" t="s">
        <v>1</v>
      </c>
      <c r="C5" s="310"/>
      <c r="D5" s="310"/>
      <c r="E5" s="310"/>
    </row>
    <row r="6" spans="2:7" ht="14.25">
      <c r="B6" s="311" t="s">
        <v>181</v>
      </c>
      <c r="C6" s="311"/>
      <c r="D6" s="311"/>
      <c r="E6" s="311"/>
    </row>
    <row r="7" spans="2:7" ht="14.25">
      <c r="B7" s="142"/>
      <c r="C7" s="142"/>
      <c r="D7" s="142"/>
      <c r="E7" s="142"/>
    </row>
    <row r="8" spans="2:7" ht="13.5">
      <c r="B8" s="313" t="s">
        <v>18</v>
      </c>
      <c r="C8" s="315"/>
      <c r="D8" s="315"/>
      <c r="E8" s="315"/>
    </row>
    <row r="9" spans="2:7" ht="16.5" thickBot="1">
      <c r="B9" s="312" t="s">
        <v>184</v>
      </c>
      <c r="C9" s="312"/>
      <c r="D9" s="312"/>
      <c r="E9" s="312"/>
    </row>
    <row r="10" spans="2:7" ht="13.5" thickBot="1">
      <c r="B10" s="143"/>
      <c r="C10" s="78" t="s">
        <v>2</v>
      </c>
      <c r="D10" s="72" t="s">
        <v>229</v>
      </c>
      <c r="E10" s="30" t="s">
        <v>232</v>
      </c>
    </row>
    <row r="11" spans="2:7">
      <c r="B11" s="95" t="s">
        <v>3</v>
      </c>
      <c r="C11" s="134" t="s">
        <v>190</v>
      </c>
      <c r="D11" s="232">
        <v>1206746.97</v>
      </c>
      <c r="E11" s="9">
        <f>E12</f>
        <v>321643.92</v>
      </c>
    </row>
    <row r="12" spans="2:7">
      <c r="B12" s="180" t="s">
        <v>4</v>
      </c>
      <c r="C12" s="181" t="s">
        <v>5</v>
      </c>
      <c r="D12" s="235">
        <v>1206746.97</v>
      </c>
      <c r="E12" s="87">
        <v>321643.92</v>
      </c>
    </row>
    <row r="13" spans="2:7">
      <c r="B13" s="180" t="s">
        <v>6</v>
      </c>
      <c r="C13" s="182" t="s">
        <v>7</v>
      </c>
      <c r="D13" s="235"/>
      <c r="E13" s="87"/>
    </row>
    <row r="14" spans="2:7">
      <c r="B14" s="180" t="s">
        <v>8</v>
      </c>
      <c r="C14" s="182" t="s">
        <v>10</v>
      </c>
      <c r="D14" s="235"/>
      <c r="E14" s="87"/>
    </row>
    <row r="15" spans="2:7">
      <c r="B15" s="180" t="s">
        <v>187</v>
      </c>
      <c r="C15" s="182" t="s">
        <v>11</v>
      </c>
      <c r="D15" s="235"/>
      <c r="E15" s="87"/>
    </row>
    <row r="16" spans="2:7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1206746.97</v>
      </c>
      <c r="E21" s="154">
        <f>E11</f>
        <v>321643.92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1347168.74</v>
      </c>
      <c r="E26" s="274">
        <f>D21</f>
        <v>1206746.97</v>
      </c>
    </row>
    <row r="27" spans="2:6">
      <c r="B27" s="10" t="s">
        <v>17</v>
      </c>
      <c r="C27" s="11" t="s">
        <v>192</v>
      </c>
      <c r="D27" s="207">
        <v>-13343.59</v>
      </c>
      <c r="E27" s="243">
        <f>E28-E32</f>
        <v>-850631.52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13343.59</v>
      </c>
      <c r="E32" s="244">
        <f>SUM(E33:E39)</f>
        <v>850631.52</v>
      </c>
      <c r="F32" s="73"/>
    </row>
    <row r="33" spans="2:6">
      <c r="B33" s="188" t="s">
        <v>4</v>
      </c>
      <c r="C33" s="181" t="s">
        <v>25</v>
      </c>
      <c r="D33" s="208"/>
      <c r="E33" s="246">
        <v>83138.509999999995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1450.25</v>
      </c>
      <c r="E35" s="246">
        <v>875.21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11893.34</v>
      </c>
      <c r="E37" s="246">
        <v>8429.65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>
        <v>758188.15</v>
      </c>
      <c r="F39" s="73"/>
    </row>
    <row r="40" spans="2:6" ht="13.5" thickBot="1">
      <c r="B40" s="103" t="s">
        <v>35</v>
      </c>
      <c r="C40" s="104" t="s">
        <v>36</v>
      </c>
      <c r="D40" s="210">
        <v>240499.36</v>
      </c>
      <c r="E40" s="275">
        <v>-34471.53</v>
      </c>
    </row>
    <row r="41" spans="2:6" ht="13.5" thickBot="1">
      <c r="B41" s="105" t="s">
        <v>37</v>
      </c>
      <c r="C41" s="106" t="s">
        <v>38</v>
      </c>
      <c r="D41" s="211">
        <v>1574324.5099999998</v>
      </c>
      <c r="E41" s="154">
        <f>E26+E27+E40</f>
        <v>321643.91999999993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12668.504209999999</v>
      </c>
      <c r="E47" s="155">
        <v>8875.0972600000005</v>
      </c>
    </row>
    <row r="48" spans="2:6">
      <c r="B48" s="193" t="s">
        <v>6</v>
      </c>
      <c r="C48" s="194" t="s">
        <v>41</v>
      </c>
      <c r="D48" s="213">
        <v>12555.42318</v>
      </c>
      <c r="E48" s="155">
        <v>2525.0739600000002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106.34</v>
      </c>
      <c r="E50" s="155">
        <v>135.97</v>
      </c>
    </row>
    <row r="51" spans="2:5">
      <c r="B51" s="191" t="s">
        <v>6</v>
      </c>
      <c r="C51" s="192" t="s">
        <v>195</v>
      </c>
      <c r="D51" s="215">
        <v>106.32</v>
      </c>
      <c r="E51" s="77">
        <v>125.63</v>
      </c>
    </row>
    <row r="52" spans="2:5">
      <c r="B52" s="191" t="s">
        <v>8</v>
      </c>
      <c r="C52" s="192" t="s">
        <v>196</v>
      </c>
      <c r="D52" s="215">
        <v>126.12</v>
      </c>
      <c r="E52" s="77">
        <v>141.52000000000001</v>
      </c>
    </row>
    <row r="53" spans="2:5" ht="13.5" customHeight="1" thickBot="1">
      <c r="B53" s="195" t="s">
        <v>9</v>
      </c>
      <c r="C53" s="196" t="s">
        <v>41</v>
      </c>
      <c r="D53" s="216">
        <v>125.39</v>
      </c>
      <c r="E53" s="281">
        <v>127.38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5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321643.92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321643.92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321643.92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321643.92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180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3448197.9</v>
      </c>
      <c r="E11" s="9">
        <f>E12</f>
        <v>3737137.98</v>
      </c>
    </row>
    <row r="12" spans="2:5">
      <c r="B12" s="180" t="s">
        <v>4</v>
      </c>
      <c r="C12" s="181" t="s">
        <v>5</v>
      </c>
      <c r="D12" s="235">
        <v>3448197.9</v>
      </c>
      <c r="E12" s="87">
        <v>3737137.98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3448197.9</v>
      </c>
      <c r="E21" s="154">
        <f>E11</f>
        <v>3737137.98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1524141.43</v>
      </c>
      <c r="E26" s="274">
        <f>D21</f>
        <v>3448197.9</v>
      </c>
    </row>
    <row r="27" spans="2:6">
      <c r="B27" s="10" t="s">
        <v>17</v>
      </c>
      <c r="C27" s="11" t="s">
        <v>192</v>
      </c>
      <c r="D27" s="207">
        <v>1426722.17</v>
      </c>
      <c r="E27" s="243">
        <f>E28-E32</f>
        <v>650179.48</v>
      </c>
      <c r="F27" s="73"/>
    </row>
    <row r="28" spans="2:6">
      <c r="B28" s="10" t="s">
        <v>18</v>
      </c>
      <c r="C28" s="11" t="s">
        <v>19</v>
      </c>
      <c r="D28" s="207">
        <v>1844022.89</v>
      </c>
      <c r="E28" s="244">
        <f>SUM(E29:E31)</f>
        <v>763719.46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1844022.89</v>
      </c>
      <c r="E31" s="246">
        <v>763719.46</v>
      </c>
      <c r="F31" s="73"/>
    </row>
    <row r="32" spans="2:6">
      <c r="B32" s="97" t="s">
        <v>23</v>
      </c>
      <c r="C32" s="12" t="s">
        <v>24</v>
      </c>
      <c r="D32" s="207">
        <v>417300.72000000003</v>
      </c>
      <c r="E32" s="244">
        <f>SUM(E33:E39)</f>
        <v>113539.98</v>
      </c>
      <c r="F32" s="73"/>
    </row>
    <row r="33" spans="2:6">
      <c r="B33" s="188" t="s">
        <v>4</v>
      </c>
      <c r="C33" s="181" t="s">
        <v>25</v>
      </c>
      <c r="D33" s="208">
        <v>118491.56</v>
      </c>
      <c r="E33" s="246">
        <v>83177.350000000006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285.92</v>
      </c>
      <c r="E35" s="246">
        <v>1519.93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17479.71</v>
      </c>
      <c r="E37" s="246">
        <v>28842.7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>
        <v>281043.53000000003</v>
      </c>
      <c r="E39" s="248"/>
      <c r="F39" s="73"/>
    </row>
    <row r="40" spans="2:6" ht="13.5" thickBot="1">
      <c r="B40" s="103" t="s">
        <v>35</v>
      </c>
      <c r="C40" s="104" t="s">
        <v>36</v>
      </c>
      <c r="D40" s="210">
        <v>188012.6</v>
      </c>
      <c r="E40" s="275">
        <v>-361239.4</v>
      </c>
    </row>
    <row r="41" spans="2:6" ht="13.5" thickBot="1">
      <c r="B41" s="105" t="s">
        <v>37</v>
      </c>
      <c r="C41" s="106" t="s">
        <v>38</v>
      </c>
      <c r="D41" s="211">
        <v>3138876.1999999997</v>
      </c>
      <c r="E41" s="154">
        <f>E26+E27+E40</f>
        <v>3737137.98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17819.962960000001</v>
      </c>
      <c r="E47" s="155">
        <v>35754.851690000003</v>
      </c>
    </row>
    <row r="48" spans="2:6">
      <c r="B48" s="193" t="s">
        <v>6</v>
      </c>
      <c r="C48" s="194" t="s">
        <v>41</v>
      </c>
      <c r="D48" s="213">
        <v>33513.519130000001</v>
      </c>
      <c r="E48" s="155">
        <v>42308.819020000003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85.53</v>
      </c>
      <c r="E50" s="155">
        <v>96.44</v>
      </c>
    </row>
    <row r="51" spans="2:5">
      <c r="B51" s="191" t="s">
        <v>6</v>
      </c>
      <c r="C51" s="192" t="s">
        <v>195</v>
      </c>
      <c r="D51" s="215">
        <v>84.59</v>
      </c>
      <c r="E51" s="155">
        <v>87.68</v>
      </c>
    </row>
    <row r="52" spans="2:5">
      <c r="B52" s="191" t="s">
        <v>8</v>
      </c>
      <c r="C52" s="192" t="s">
        <v>196</v>
      </c>
      <c r="D52" s="215">
        <v>94.79</v>
      </c>
      <c r="E52" s="77">
        <v>101.41</v>
      </c>
    </row>
    <row r="53" spans="2:5" ht="12.75" customHeight="1" thickBot="1">
      <c r="B53" s="195" t="s">
        <v>9</v>
      </c>
      <c r="C53" s="196" t="s">
        <v>41</v>
      </c>
      <c r="D53" s="216">
        <v>93.66</v>
      </c>
      <c r="E53" s="281">
        <v>88.33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3737137.98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3737137.98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3737137.98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3737137.98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175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1563677.38</v>
      </c>
      <c r="E11" s="9">
        <f>E12</f>
        <v>1426878.05</v>
      </c>
    </row>
    <row r="12" spans="2:5">
      <c r="B12" s="180" t="s">
        <v>4</v>
      </c>
      <c r="C12" s="181" t="s">
        <v>5</v>
      </c>
      <c r="D12" s="235">
        <v>1563677.38</v>
      </c>
      <c r="E12" s="87">
        <v>1426878.05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1563677.38</v>
      </c>
      <c r="E21" s="154">
        <f>E11</f>
        <v>1426878.05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1325230.56</v>
      </c>
      <c r="E26" s="274">
        <f>D21</f>
        <v>1563677.38</v>
      </c>
    </row>
    <row r="27" spans="2:6">
      <c r="B27" s="10" t="s">
        <v>17</v>
      </c>
      <c r="C27" s="11" t="s">
        <v>192</v>
      </c>
      <c r="D27" s="207">
        <v>5068.1700000000128</v>
      </c>
      <c r="E27" s="243">
        <f>E28-E32</f>
        <v>-126382.69</v>
      </c>
      <c r="F27" s="73"/>
    </row>
    <row r="28" spans="2:6">
      <c r="B28" s="10" t="s">
        <v>18</v>
      </c>
      <c r="C28" s="11" t="s">
        <v>19</v>
      </c>
      <c r="D28" s="207">
        <v>101133.85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>
        <v>101133.85</v>
      </c>
      <c r="E31" s="246"/>
      <c r="F31" s="73"/>
    </row>
    <row r="32" spans="2:6">
      <c r="B32" s="97" t="s">
        <v>23</v>
      </c>
      <c r="C32" s="12" t="s">
        <v>24</v>
      </c>
      <c r="D32" s="207">
        <v>96065.68</v>
      </c>
      <c r="E32" s="244">
        <f>SUM(E33:E39)</f>
        <v>126382.69</v>
      </c>
      <c r="F32" s="73"/>
    </row>
    <row r="33" spans="2:6">
      <c r="B33" s="188" t="s">
        <v>4</v>
      </c>
      <c r="C33" s="181" t="s">
        <v>25</v>
      </c>
      <c r="D33" s="208">
        <v>82061.98</v>
      </c>
      <c r="E33" s="246">
        <v>113803.66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473.31</v>
      </c>
      <c r="E35" s="246">
        <v>377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13530.39</v>
      </c>
      <c r="E37" s="246">
        <v>12202.03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26463.200000000001</v>
      </c>
      <c r="E40" s="275">
        <v>-10416.64</v>
      </c>
    </row>
    <row r="41" spans="2:6" ht="13.5" thickBot="1">
      <c r="B41" s="105" t="s">
        <v>37</v>
      </c>
      <c r="C41" s="106" t="s">
        <v>38</v>
      </c>
      <c r="D41" s="211">
        <v>1356761.93</v>
      </c>
      <c r="E41" s="154">
        <f>E26+E27+E40</f>
        <v>1426878.05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7131.4134299999996</v>
      </c>
      <c r="E47" s="155">
        <v>7552.9023999999999</v>
      </c>
    </row>
    <row r="48" spans="2:6">
      <c r="B48" s="193" t="s">
        <v>6</v>
      </c>
      <c r="C48" s="194" t="s">
        <v>41</v>
      </c>
      <c r="D48" s="213">
        <v>7151.3911500000004</v>
      </c>
      <c r="E48" s="155">
        <v>6934.6716999999999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185.83</v>
      </c>
      <c r="E50" s="155">
        <v>207.03</v>
      </c>
    </row>
    <row r="51" spans="2:5">
      <c r="B51" s="191" t="s">
        <v>6</v>
      </c>
      <c r="C51" s="192" t="s">
        <v>195</v>
      </c>
      <c r="D51" s="215">
        <v>185.29</v>
      </c>
      <c r="E51" s="77">
        <v>196.97</v>
      </c>
    </row>
    <row r="52" spans="2:5">
      <c r="B52" s="191" t="s">
        <v>8</v>
      </c>
      <c r="C52" s="192" t="s">
        <v>196</v>
      </c>
      <c r="D52" s="215">
        <v>194.06</v>
      </c>
      <c r="E52" s="77">
        <v>218.44</v>
      </c>
    </row>
    <row r="53" spans="2:5" ht="12.75" customHeight="1" thickBot="1">
      <c r="B53" s="195" t="s">
        <v>9</v>
      </c>
      <c r="C53" s="196" t="s">
        <v>41</v>
      </c>
      <c r="D53" s="216">
        <v>189.72</v>
      </c>
      <c r="E53" s="281">
        <v>205.76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6.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1426878.05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1426878.05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1426878.05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1426878.05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F81"/>
  <sheetViews>
    <sheetView zoomScale="80" zoomScaleNormal="80" workbookViewId="0">
      <selection activeCell="B4" sqref="B4"/>
    </sheetView>
  </sheetViews>
  <sheetFormatPr defaultRowHeight="12.75"/>
  <cols>
    <col min="1" max="1" width="9.140625" style="28"/>
    <col min="2" max="2" width="5.28515625" style="28" bestFit="1" customWidth="1"/>
    <col min="3" max="3" width="75.42578125" style="28" customWidth="1"/>
    <col min="4" max="5" width="17.85546875" style="86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09" t="s">
        <v>0</v>
      </c>
      <c r="C2" s="309"/>
      <c r="D2" s="309"/>
      <c r="E2" s="309"/>
    </row>
    <row r="3" spans="2:5" ht="15.75">
      <c r="B3" s="309" t="s">
        <v>276</v>
      </c>
      <c r="C3" s="309"/>
      <c r="D3" s="309"/>
      <c r="E3" s="309"/>
    </row>
    <row r="4" spans="2:5" ht="15">
      <c r="B4" s="144"/>
      <c r="C4" s="144"/>
      <c r="D4" s="144"/>
      <c r="E4" s="144"/>
    </row>
    <row r="5" spans="2:5" ht="21" customHeight="1">
      <c r="B5" s="310" t="s">
        <v>1</v>
      </c>
      <c r="C5" s="310"/>
      <c r="D5" s="310"/>
      <c r="E5" s="310"/>
    </row>
    <row r="6" spans="2:5" ht="14.25">
      <c r="B6" s="311" t="s">
        <v>221</v>
      </c>
      <c r="C6" s="311"/>
      <c r="D6" s="311"/>
      <c r="E6" s="311"/>
    </row>
    <row r="7" spans="2:5" ht="14.25">
      <c r="B7" s="142"/>
      <c r="C7" s="142"/>
      <c r="D7" s="142"/>
      <c r="E7" s="142"/>
    </row>
    <row r="8" spans="2:5" ht="13.5">
      <c r="B8" s="313" t="s">
        <v>18</v>
      </c>
      <c r="C8" s="315"/>
      <c r="D8" s="315"/>
      <c r="E8" s="315"/>
    </row>
    <row r="9" spans="2:5" ht="16.5" thickBot="1">
      <c r="B9" s="312" t="s">
        <v>184</v>
      </c>
      <c r="C9" s="312"/>
      <c r="D9" s="312"/>
      <c r="E9" s="312"/>
    </row>
    <row r="10" spans="2:5" ht="13.5" thickBot="1">
      <c r="B10" s="143"/>
      <c r="C10" s="78" t="s">
        <v>2</v>
      </c>
      <c r="D10" s="72" t="s">
        <v>229</v>
      </c>
      <c r="E10" s="30" t="s">
        <v>232</v>
      </c>
    </row>
    <row r="11" spans="2:5">
      <c r="B11" s="95" t="s">
        <v>3</v>
      </c>
      <c r="C11" s="134" t="s">
        <v>190</v>
      </c>
      <c r="D11" s="232">
        <v>85953.39</v>
      </c>
      <c r="E11" s="9">
        <f>E12</f>
        <v>60583.82</v>
      </c>
    </row>
    <row r="12" spans="2:5">
      <c r="B12" s="180" t="s">
        <v>4</v>
      </c>
      <c r="C12" s="181" t="s">
        <v>5</v>
      </c>
      <c r="D12" s="235">
        <v>85953.39</v>
      </c>
      <c r="E12" s="87">
        <v>60583.82</v>
      </c>
    </row>
    <row r="13" spans="2:5">
      <c r="B13" s="180" t="s">
        <v>6</v>
      </c>
      <c r="C13" s="182" t="s">
        <v>7</v>
      </c>
      <c r="D13" s="235"/>
      <c r="E13" s="87"/>
    </row>
    <row r="14" spans="2:5">
      <c r="B14" s="180" t="s">
        <v>8</v>
      </c>
      <c r="C14" s="182" t="s">
        <v>10</v>
      </c>
      <c r="D14" s="235"/>
      <c r="E14" s="87"/>
    </row>
    <row r="15" spans="2:5">
      <c r="B15" s="180" t="s">
        <v>187</v>
      </c>
      <c r="C15" s="182" t="s">
        <v>11</v>
      </c>
      <c r="D15" s="235"/>
      <c r="E15" s="87"/>
    </row>
    <row r="16" spans="2:5">
      <c r="B16" s="183" t="s">
        <v>188</v>
      </c>
      <c r="C16" s="184" t="s">
        <v>12</v>
      </c>
      <c r="D16" s="236"/>
      <c r="E16" s="88"/>
    </row>
    <row r="17" spans="2:6">
      <c r="B17" s="10" t="s">
        <v>13</v>
      </c>
      <c r="C17" s="12" t="s">
        <v>65</v>
      </c>
      <c r="D17" s="264"/>
      <c r="E17" s="98"/>
    </row>
    <row r="18" spans="2:6">
      <c r="B18" s="180" t="s">
        <v>4</v>
      </c>
      <c r="C18" s="181" t="s">
        <v>11</v>
      </c>
      <c r="D18" s="235"/>
      <c r="E18" s="88"/>
    </row>
    <row r="19" spans="2:6" ht="15" customHeight="1">
      <c r="B19" s="180" t="s">
        <v>6</v>
      </c>
      <c r="C19" s="182" t="s">
        <v>189</v>
      </c>
      <c r="D19" s="235"/>
      <c r="E19" s="87"/>
    </row>
    <row r="20" spans="2:6" ht="13.5" thickBot="1">
      <c r="B20" s="185" t="s">
        <v>8</v>
      </c>
      <c r="C20" s="186" t="s">
        <v>14</v>
      </c>
      <c r="D20" s="238"/>
      <c r="E20" s="89"/>
    </row>
    <row r="21" spans="2:6" ht="13.5" thickBot="1">
      <c r="B21" s="319" t="s">
        <v>191</v>
      </c>
      <c r="C21" s="320"/>
      <c r="D21" s="239">
        <v>85953.39</v>
      </c>
      <c r="E21" s="154">
        <f>E11</f>
        <v>60583.82</v>
      </c>
      <c r="F21" s="79"/>
    </row>
    <row r="22" spans="2:6">
      <c r="B22" s="3"/>
      <c r="C22" s="7"/>
      <c r="D22" s="8"/>
      <c r="E22" s="8"/>
    </row>
    <row r="23" spans="2:6" ht="13.5">
      <c r="B23" s="313" t="s">
        <v>185</v>
      </c>
      <c r="C23" s="325"/>
      <c r="D23" s="325"/>
      <c r="E23" s="325"/>
    </row>
    <row r="24" spans="2:6" ht="15.75" customHeight="1" thickBot="1">
      <c r="B24" s="312" t="s">
        <v>186</v>
      </c>
      <c r="C24" s="326"/>
      <c r="D24" s="326"/>
      <c r="E24" s="326"/>
    </row>
    <row r="25" spans="2:6" ht="13.5" thickBot="1">
      <c r="B25" s="221"/>
      <c r="C25" s="187" t="s">
        <v>2</v>
      </c>
      <c r="D25" s="72" t="s">
        <v>233</v>
      </c>
      <c r="E25" s="30" t="s">
        <v>232</v>
      </c>
    </row>
    <row r="26" spans="2:6">
      <c r="B26" s="101" t="s">
        <v>15</v>
      </c>
      <c r="C26" s="102" t="s">
        <v>16</v>
      </c>
      <c r="D26" s="206">
        <v>100624.35</v>
      </c>
      <c r="E26" s="274">
        <f>D21</f>
        <v>85953.39</v>
      </c>
    </row>
    <row r="27" spans="2:6">
      <c r="B27" s="10" t="s">
        <v>17</v>
      </c>
      <c r="C27" s="11" t="s">
        <v>192</v>
      </c>
      <c r="D27" s="207">
        <v>-2938.09</v>
      </c>
      <c r="E27" s="243">
        <f>E28-E32</f>
        <v>-24611.360000000001</v>
      </c>
      <c r="F27" s="73"/>
    </row>
    <row r="28" spans="2:6">
      <c r="B28" s="10" t="s">
        <v>18</v>
      </c>
      <c r="C28" s="11" t="s">
        <v>19</v>
      </c>
      <c r="D28" s="207">
        <v>0</v>
      </c>
      <c r="E28" s="244">
        <f>SUM(E29:E31)</f>
        <v>0</v>
      </c>
      <c r="F28" s="73"/>
    </row>
    <row r="29" spans="2:6">
      <c r="B29" s="188" t="s">
        <v>4</v>
      </c>
      <c r="C29" s="181" t="s">
        <v>20</v>
      </c>
      <c r="D29" s="208"/>
      <c r="E29" s="246"/>
      <c r="F29" s="73"/>
    </row>
    <row r="30" spans="2:6">
      <c r="B30" s="188" t="s">
        <v>6</v>
      </c>
      <c r="C30" s="181" t="s">
        <v>21</v>
      </c>
      <c r="D30" s="208"/>
      <c r="E30" s="246"/>
      <c r="F30" s="73"/>
    </row>
    <row r="31" spans="2:6">
      <c r="B31" s="188" t="s">
        <v>8</v>
      </c>
      <c r="C31" s="181" t="s">
        <v>22</v>
      </c>
      <c r="D31" s="208"/>
      <c r="E31" s="246"/>
      <c r="F31" s="73"/>
    </row>
    <row r="32" spans="2:6">
      <c r="B32" s="97" t="s">
        <v>23</v>
      </c>
      <c r="C32" s="12" t="s">
        <v>24</v>
      </c>
      <c r="D32" s="207">
        <v>2938.09</v>
      </c>
      <c r="E32" s="244">
        <f>SUM(E33:E39)</f>
        <v>24611.360000000001</v>
      </c>
      <c r="F32" s="73"/>
    </row>
    <row r="33" spans="2:6">
      <c r="B33" s="188" t="s">
        <v>4</v>
      </c>
      <c r="C33" s="181" t="s">
        <v>25</v>
      </c>
      <c r="D33" s="208">
        <v>1953.75</v>
      </c>
      <c r="E33" s="246">
        <v>23841.08</v>
      </c>
      <c r="F33" s="73"/>
    </row>
    <row r="34" spans="2:6">
      <c r="B34" s="188" t="s">
        <v>6</v>
      </c>
      <c r="C34" s="181" t="s">
        <v>26</v>
      </c>
      <c r="D34" s="208"/>
      <c r="E34" s="246"/>
      <c r="F34" s="73"/>
    </row>
    <row r="35" spans="2:6">
      <c r="B35" s="188" t="s">
        <v>8</v>
      </c>
      <c r="C35" s="181" t="s">
        <v>27</v>
      </c>
      <c r="D35" s="208">
        <v>280.54000000000002</v>
      </c>
      <c r="E35" s="246">
        <v>221.68</v>
      </c>
      <c r="F35" s="73"/>
    </row>
    <row r="36" spans="2:6">
      <c r="B36" s="188" t="s">
        <v>9</v>
      </c>
      <c r="C36" s="181" t="s">
        <v>28</v>
      </c>
      <c r="D36" s="208"/>
      <c r="E36" s="246"/>
      <c r="F36" s="73"/>
    </row>
    <row r="37" spans="2:6" ht="25.5">
      <c r="B37" s="188" t="s">
        <v>29</v>
      </c>
      <c r="C37" s="181" t="s">
        <v>30</v>
      </c>
      <c r="D37" s="208">
        <v>703.8</v>
      </c>
      <c r="E37" s="246">
        <v>548.6</v>
      </c>
      <c r="F37" s="73"/>
    </row>
    <row r="38" spans="2:6">
      <c r="B38" s="188" t="s">
        <v>31</v>
      </c>
      <c r="C38" s="181" t="s">
        <v>32</v>
      </c>
      <c r="D38" s="208"/>
      <c r="E38" s="246"/>
      <c r="F38" s="73"/>
    </row>
    <row r="39" spans="2:6">
      <c r="B39" s="189" t="s">
        <v>33</v>
      </c>
      <c r="C39" s="190" t="s">
        <v>34</v>
      </c>
      <c r="D39" s="209"/>
      <c r="E39" s="248"/>
      <c r="F39" s="73"/>
    </row>
    <row r="40" spans="2:6" ht="13.5" thickBot="1">
      <c r="B40" s="103" t="s">
        <v>35</v>
      </c>
      <c r="C40" s="104" t="s">
        <v>36</v>
      </c>
      <c r="D40" s="210">
        <v>507.38</v>
      </c>
      <c r="E40" s="275">
        <v>-758.21</v>
      </c>
    </row>
    <row r="41" spans="2:6" ht="13.5" thickBot="1">
      <c r="B41" s="105" t="s">
        <v>37</v>
      </c>
      <c r="C41" s="106" t="s">
        <v>38</v>
      </c>
      <c r="D41" s="211">
        <v>98193.640000000014</v>
      </c>
      <c r="E41" s="154">
        <f>E26+E27+E40</f>
        <v>60583.82</v>
      </c>
      <c r="F41" s="79"/>
    </row>
    <row r="42" spans="2:6">
      <c r="B42" s="99"/>
      <c r="C42" s="99"/>
      <c r="D42" s="100"/>
      <c r="E42" s="100"/>
      <c r="F42" s="79"/>
    </row>
    <row r="43" spans="2:6" ht="13.5">
      <c r="B43" s="314" t="s">
        <v>60</v>
      </c>
      <c r="C43" s="324"/>
      <c r="D43" s="324"/>
      <c r="E43" s="324"/>
    </row>
    <row r="44" spans="2:6" ht="18" customHeight="1" thickBot="1">
      <c r="B44" s="312" t="s">
        <v>210</v>
      </c>
      <c r="C44" s="323"/>
      <c r="D44" s="323"/>
      <c r="E44" s="323"/>
    </row>
    <row r="45" spans="2:6" ht="13.5" thickBot="1">
      <c r="B45" s="221"/>
      <c r="C45" s="31" t="s">
        <v>39</v>
      </c>
      <c r="D45" s="72" t="s">
        <v>233</v>
      </c>
      <c r="E45" s="30" t="s">
        <v>232</v>
      </c>
    </row>
    <row r="46" spans="2:6">
      <c r="B46" s="14" t="s">
        <v>18</v>
      </c>
      <c r="C46" s="32" t="s">
        <v>193</v>
      </c>
      <c r="D46" s="107"/>
      <c r="E46" s="29"/>
    </row>
    <row r="47" spans="2:6">
      <c r="B47" s="191" t="s">
        <v>4</v>
      </c>
      <c r="C47" s="192" t="s">
        <v>40</v>
      </c>
      <c r="D47" s="212">
        <v>852.17100000000005</v>
      </c>
      <c r="E47" s="155">
        <v>711.24027999999998</v>
      </c>
    </row>
    <row r="48" spans="2:6">
      <c r="B48" s="193" t="s">
        <v>6</v>
      </c>
      <c r="C48" s="194" t="s">
        <v>41</v>
      </c>
      <c r="D48" s="213">
        <v>827.59073999999998</v>
      </c>
      <c r="E48" s="155">
        <v>505.75027</v>
      </c>
    </row>
    <row r="49" spans="2:5">
      <c r="B49" s="126" t="s">
        <v>23</v>
      </c>
      <c r="C49" s="130" t="s">
        <v>194</v>
      </c>
      <c r="D49" s="214"/>
      <c r="E49" s="155"/>
    </row>
    <row r="50" spans="2:5">
      <c r="B50" s="191" t="s">
        <v>4</v>
      </c>
      <c r="C50" s="192" t="s">
        <v>40</v>
      </c>
      <c r="D50" s="212">
        <v>118.08</v>
      </c>
      <c r="E50" s="155">
        <v>120.85</v>
      </c>
    </row>
    <row r="51" spans="2:5">
      <c r="B51" s="191" t="s">
        <v>6</v>
      </c>
      <c r="C51" s="192" t="s">
        <v>195</v>
      </c>
      <c r="D51" s="215">
        <v>117.55</v>
      </c>
      <c r="E51" s="155">
        <v>118.05</v>
      </c>
    </row>
    <row r="52" spans="2:5">
      <c r="B52" s="191" t="s">
        <v>8</v>
      </c>
      <c r="C52" s="192" t="s">
        <v>196</v>
      </c>
      <c r="D52" s="215">
        <v>120.17</v>
      </c>
      <c r="E52" s="77">
        <v>122.31</v>
      </c>
    </row>
    <row r="53" spans="2:5" ht="13.5" customHeight="1" thickBot="1">
      <c r="B53" s="195" t="s">
        <v>9</v>
      </c>
      <c r="C53" s="196" t="s">
        <v>41</v>
      </c>
      <c r="D53" s="216">
        <v>118.65</v>
      </c>
      <c r="E53" s="281">
        <v>119.79</v>
      </c>
    </row>
    <row r="54" spans="2:5">
      <c r="B54" s="115"/>
      <c r="C54" s="116"/>
      <c r="D54" s="117"/>
      <c r="E54" s="117"/>
    </row>
    <row r="55" spans="2:5" ht="13.5">
      <c r="B55" s="314" t="s">
        <v>62</v>
      </c>
      <c r="C55" s="315"/>
      <c r="D55" s="315"/>
      <c r="E55" s="315"/>
    </row>
    <row r="56" spans="2:5" ht="18.75" customHeight="1" thickBot="1">
      <c r="B56" s="312" t="s">
        <v>197</v>
      </c>
      <c r="C56" s="316"/>
      <c r="D56" s="316"/>
      <c r="E56" s="316"/>
    </row>
    <row r="57" spans="2:5" ht="23.25" thickBot="1">
      <c r="B57" s="307" t="s">
        <v>42</v>
      </c>
      <c r="C57" s="308"/>
      <c r="D57" s="19" t="s">
        <v>211</v>
      </c>
      <c r="E57" s="20" t="s">
        <v>198</v>
      </c>
    </row>
    <row r="58" spans="2:5">
      <c r="B58" s="21" t="s">
        <v>18</v>
      </c>
      <c r="C58" s="132" t="s">
        <v>43</v>
      </c>
      <c r="D58" s="133">
        <f>D64</f>
        <v>60583.82</v>
      </c>
      <c r="E58" s="33">
        <f>D58/E21</f>
        <v>1</v>
      </c>
    </row>
    <row r="59" spans="2:5" ht="25.5">
      <c r="B59" s="129" t="s">
        <v>4</v>
      </c>
      <c r="C59" s="23" t="s">
        <v>44</v>
      </c>
      <c r="D59" s="82">
        <v>0</v>
      </c>
      <c r="E59" s="83">
        <v>0</v>
      </c>
    </row>
    <row r="60" spans="2:5" ht="25.5">
      <c r="B60" s="108" t="s">
        <v>6</v>
      </c>
      <c r="C60" s="16" t="s">
        <v>45</v>
      </c>
      <c r="D60" s="80">
        <v>0</v>
      </c>
      <c r="E60" s="81">
        <v>0</v>
      </c>
    </row>
    <row r="61" spans="2:5">
      <c r="B61" s="108" t="s">
        <v>8</v>
      </c>
      <c r="C61" s="16" t="s">
        <v>46</v>
      </c>
      <c r="D61" s="80">
        <v>0</v>
      </c>
      <c r="E61" s="81">
        <v>0</v>
      </c>
    </row>
    <row r="62" spans="2:5">
      <c r="B62" s="108" t="s">
        <v>9</v>
      </c>
      <c r="C62" s="16" t="s">
        <v>47</v>
      </c>
      <c r="D62" s="80">
        <v>0</v>
      </c>
      <c r="E62" s="81">
        <v>0</v>
      </c>
    </row>
    <row r="63" spans="2:5">
      <c r="B63" s="108" t="s">
        <v>29</v>
      </c>
      <c r="C63" s="16" t="s">
        <v>48</v>
      </c>
      <c r="D63" s="80">
        <v>0</v>
      </c>
      <c r="E63" s="81">
        <v>0</v>
      </c>
    </row>
    <row r="64" spans="2:5">
      <c r="B64" s="129" t="s">
        <v>31</v>
      </c>
      <c r="C64" s="23" t="s">
        <v>49</v>
      </c>
      <c r="D64" s="82">
        <f>E21</f>
        <v>60583.82</v>
      </c>
      <c r="E64" s="83">
        <f>E58</f>
        <v>1</v>
      </c>
    </row>
    <row r="65" spans="2:5">
      <c r="B65" s="129" t="s">
        <v>33</v>
      </c>
      <c r="C65" s="23" t="s">
        <v>199</v>
      </c>
      <c r="D65" s="82">
        <v>0</v>
      </c>
      <c r="E65" s="83">
        <v>0</v>
      </c>
    </row>
    <row r="66" spans="2:5">
      <c r="B66" s="129" t="s">
        <v>50</v>
      </c>
      <c r="C66" s="23" t="s">
        <v>51</v>
      </c>
      <c r="D66" s="82">
        <v>0</v>
      </c>
      <c r="E66" s="83">
        <v>0</v>
      </c>
    </row>
    <row r="67" spans="2:5">
      <c r="B67" s="108" t="s">
        <v>52</v>
      </c>
      <c r="C67" s="16" t="s">
        <v>53</v>
      </c>
      <c r="D67" s="80">
        <v>0</v>
      </c>
      <c r="E67" s="81">
        <v>0</v>
      </c>
    </row>
    <row r="68" spans="2:5">
      <c r="B68" s="108" t="s">
        <v>54</v>
      </c>
      <c r="C68" s="16" t="s">
        <v>55</v>
      </c>
      <c r="D68" s="80">
        <v>0</v>
      </c>
      <c r="E68" s="81">
        <v>0</v>
      </c>
    </row>
    <row r="69" spans="2:5">
      <c r="B69" s="108" t="s">
        <v>56</v>
      </c>
      <c r="C69" s="16" t="s">
        <v>57</v>
      </c>
      <c r="D69" s="80">
        <v>0</v>
      </c>
      <c r="E69" s="81">
        <v>0</v>
      </c>
    </row>
    <row r="70" spans="2:5">
      <c r="B70" s="135" t="s">
        <v>58</v>
      </c>
      <c r="C70" s="119" t="s">
        <v>59</v>
      </c>
      <c r="D70" s="120">
        <v>0</v>
      </c>
      <c r="E70" s="121">
        <v>0</v>
      </c>
    </row>
    <row r="71" spans="2:5">
      <c r="B71" s="136" t="s">
        <v>23</v>
      </c>
      <c r="C71" s="127" t="s">
        <v>61</v>
      </c>
      <c r="D71" s="128">
        <v>0</v>
      </c>
      <c r="E71" s="68">
        <v>0</v>
      </c>
    </row>
    <row r="72" spans="2:5">
      <c r="B72" s="137" t="s">
        <v>60</v>
      </c>
      <c r="C72" s="123" t="s">
        <v>63</v>
      </c>
      <c r="D72" s="124">
        <f>E14</f>
        <v>0</v>
      </c>
      <c r="E72" s="125">
        <v>0</v>
      </c>
    </row>
    <row r="73" spans="2:5">
      <c r="B73" s="138" t="s">
        <v>62</v>
      </c>
      <c r="C73" s="25" t="s">
        <v>65</v>
      </c>
      <c r="D73" s="26">
        <v>0</v>
      </c>
      <c r="E73" s="27">
        <v>0</v>
      </c>
    </row>
    <row r="74" spans="2:5">
      <c r="B74" s="136" t="s">
        <v>64</v>
      </c>
      <c r="C74" s="127" t="s">
        <v>66</v>
      </c>
      <c r="D74" s="128">
        <f>D58</f>
        <v>60583.82</v>
      </c>
      <c r="E74" s="68">
        <f>E58+E72-E73</f>
        <v>1</v>
      </c>
    </row>
    <row r="75" spans="2:5">
      <c r="B75" s="108" t="s">
        <v>4</v>
      </c>
      <c r="C75" s="16" t="s">
        <v>67</v>
      </c>
      <c r="D75" s="80">
        <f>D74</f>
        <v>60583.82</v>
      </c>
      <c r="E75" s="81">
        <f>E74</f>
        <v>1</v>
      </c>
    </row>
    <row r="76" spans="2:5">
      <c r="B76" s="108" t="s">
        <v>6</v>
      </c>
      <c r="C76" s="16" t="s">
        <v>200</v>
      </c>
      <c r="D76" s="80">
        <v>0</v>
      </c>
      <c r="E76" s="81">
        <v>0</v>
      </c>
    </row>
    <row r="77" spans="2:5" ht="13.5" thickBot="1">
      <c r="B77" s="109" t="s">
        <v>8</v>
      </c>
      <c r="C77" s="18" t="s">
        <v>201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177</vt:i4>
      </vt:variant>
      <vt:variant>
        <vt:lpstr>Zakresy nazwane</vt:lpstr>
      </vt:variant>
      <vt:variant>
        <vt:i4>66</vt:i4>
      </vt:variant>
    </vt:vector>
  </HeadingPairs>
  <TitlesOfParts>
    <vt:vector size="243" baseType="lpstr">
      <vt:lpstr>Fundusz Gwarantowany</vt:lpstr>
      <vt:lpstr>Fundusz Stabilnego Wzrostu</vt:lpstr>
      <vt:lpstr>Fundusz Dynamiczny</vt:lpstr>
      <vt:lpstr>Fundusz Obligacji Plus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Akcji</vt:lpstr>
      <vt:lpstr>Allianz Stabilnego Wzrostu</vt:lpstr>
      <vt:lpstr>Allianz Obligacji Plus</vt:lpstr>
      <vt:lpstr>Allianz Aktywnej Alokacji</vt:lpstr>
      <vt:lpstr>Allianz Akcji Małych i ŚS</vt:lpstr>
      <vt:lpstr>Allianz Pieniężny</vt:lpstr>
      <vt:lpstr>Allianz Polskich Obl.Skarb.</vt:lpstr>
      <vt:lpstr>Allianz Selektywny</vt:lpstr>
      <vt:lpstr>Allianz Akcji Glob.</vt:lpstr>
      <vt:lpstr>Allianz Surowców i Energii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Allianz SAOG</vt:lpstr>
      <vt:lpstr>Altus ASZD</vt:lpstr>
      <vt:lpstr>Altus ASZRP</vt:lpstr>
      <vt:lpstr>Aviva Dł.Pap.Korp.</vt:lpstr>
      <vt:lpstr>Aviva MS</vt:lpstr>
      <vt:lpstr>Franklin EDF</vt:lpstr>
      <vt:lpstr>Franklin GFS</vt:lpstr>
      <vt:lpstr>Franklin NR</vt:lpstr>
      <vt:lpstr>Franklin USO</vt:lpstr>
      <vt:lpstr>GS EMDP</vt:lpstr>
      <vt:lpstr>GS GSMBP</vt:lpstr>
      <vt:lpstr>Inwestor Akcji</vt:lpstr>
      <vt:lpstr>Investor Akcji Sp.Dyw.</vt:lpstr>
      <vt:lpstr>Investor TOP 25 MS</vt:lpstr>
      <vt:lpstr>Investor Zrównoważony</vt:lpstr>
      <vt:lpstr>Investor Ameryka Łacińska</vt:lpstr>
      <vt:lpstr>Investor BRIC</vt:lpstr>
      <vt:lpstr>Investor Gold</vt:lpstr>
      <vt:lpstr>Investor Got.</vt:lpstr>
      <vt:lpstr>Investor Indie i Chiny</vt:lpstr>
      <vt:lpstr>Investor Turcja</vt:lpstr>
      <vt:lpstr>Investor OK</vt:lpstr>
      <vt:lpstr>Investor PL</vt:lpstr>
      <vt:lpstr>Investor ZE</vt:lpstr>
      <vt:lpstr>Investor ASW</vt:lpstr>
      <vt:lpstr>Ipopema A</vt:lpstr>
      <vt:lpstr>JPM EMO</vt:lpstr>
      <vt:lpstr>JPM GH</vt:lpstr>
      <vt:lpstr>JPM GSB</vt:lpstr>
      <vt:lpstr>JPM GMO</vt:lpstr>
      <vt:lpstr>Esaliens Akcji</vt:lpstr>
      <vt:lpstr>Esaliens Obligacji</vt:lpstr>
      <vt:lpstr>Esaliens Pieniężny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AŚ</vt:lpstr>
      <vt:lpstr>NN ŚMS</vt:lpstr>
      <vt:lpstr>NN Eur.SD</vt:lpstr>
      <vt:lpstr>NN Glob. Długu Korp.</vt:lpstr>
      <vt:lpstr>NN Glob.SD</vt:lpstr>
      <vt:lpstr>NN J</vt:lpstr>
      <vt:lpstr>NN NA</vt:lpstr>
      <vt:lpstr>NN ORW</vt:lpstr>
      <vt:lpstr>NN Sp.Dyw.USA</vt:lpstr>
      <vt:lpstr>NN SGA</vt:lpstr>
      <vt:lpstr>NN SDRW</vt:lpstr>
      <vt:lpstr>NN D</vt:lpstr>
      <vt:lpstr>Noble AMiŚS</vt:lpstr>
      <vt:lpstr>Noble A</vt:lpstr>
      <vt:lpstr>Noble GR</vt:lpstr>
      <vt:lpstr>Pekao ARW</vt:lpstr>
      <vt:lpstr>Pekao AGD</vt:lpstr>
      <vt:lpstr>Pekao OS</vt:lpstr>
      <vt:lpstr>Pekao G</vt:lpstr>
      <vt:lpstr>Pekao WDRE</vt:lpstr>
      <vt:lpstr>Pekao Surowców i Energii</vt:lpstr>
      <vt:lpstr>Pekao AP</vt:lpstr>
      <vt:lpstr>Pekao DS</vt:lpstr>
      <vt:lpstr>Pekao OP</vt:lpstr>
      <vt:lpstr>Pekao P</vt:lpstr>
      <vt:lpstr>Pekao P+</vt:lpstr>
      <vt:lpstr>Pekao Stab.Inwest.</vt:lpstr>
      <vt:lpstr>Pekao DA2</vt:lpstr>
      <vt:lpstr>Pekao AS</vt:lpstr>
      <vt:lpstr>Pekao AA</vt:lpstr>
      <vt:lpstr>Pekao AE</vt:lpstr>
      <vt:lpstr>Pekao SG</vt:lpstr>
      <vt:lpstr>Pekao AMIŚSRR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EME</vt:lpstr>
      <vt:lpstr>PZU Zrówn.</vt:lpstr>
      <vt:lpstr>PZU ARR</vt:lpstr>
      <vt:lpstr>PZU PDP</vt:lpstr>
      <vt:lpstr>PZU S+</vt:lpstr>
      <vt:lpstr>Quercus A</vt:lpstr>
      <vt:lpstr>Quercus LEV</vt:lpstr>
      <vt:lpstr>Quercus OK</vt:lpstr>
      <vt:lpstr>Quercus R</vt:lpstr>
      <vt:lpstr>Quercus SEL</vt:lpstr>
      <vt:lpstr>Quercus Short</vt:lpstr>
      <vt:lpstr>Quercus Stab.</vt:lpstr>
      <vt:lpstr>Quercus T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GHIB</vt:lpstr>
      <vt:lpstr>Skarbiec K</vt:lpstr>
      <vt:lpstr>Skarbiec L</vt:lpstr>
      <vt:lpstr>Skarbiec MIŚS</vt:lpstr>
      <vt:lpstr>Skarbiec GMIŚS</vt:lpstr>
      <vt:lpstr>Skarbiec SW</vt:lpstr>
      <vt:lpstr>Skarbiec MN</vt:lpstr>
      <vt:lpstr>Skarbiec A</vt:lpstr>
      <vt:lpstr>Skarbiec Brands</vt:lpstr>
      <vt:lpstr>Templeton AG</vt:lpstr>
      <vt:lpstr>Templeton GB</vt:lpstr>
      <vt:lpstr>Templeton GTR</vt:lpstr>
      <vt:lpstr>Templeton LA</vt:lpstr>
      <vt:lpstr>UniAkcje Dyw.</vt:lpstr>
      <vt:lpstr>Uni Akcje MIŚS</vt:lpstr>
      <vt:lpstr>UniAkcje Nowa Europa</vt:lpstr>
      <vt:lpstr>UniAkcje Wzrostu</vt:lpstr>
      <vt:lpstr>UniKorona Akcje</vt:lpstr>
      <vt:lpstr>UniKorona Obligacje</vt:lpstr>
      <vt:lpstr>UniKorona Pieniężny</vt:lpstr>
      <vt:lpstr>UniKorona Zrównoważony</vt:lpstr>
      <vt:lpstr>UniLokata</vt:lpstr>
      <vt:lpstr>UniObligacje Nowa Europa</vt:lpstr>
      <vt:lpstr>UniStabilny Wzrost</vt:lpstr>
      <vt:lpstr>UniObligacje Zamienne</vt:lpstr>
      <vt:lpstr>UniObligacje Aktywny</vt:lpstr>
      <vt:lpstr>UniAkcje Daleki Wschod</vt:lpstr>
      <vt:lpstr>dodatkowedane</vt:lpstr>
      <vt:lpstr>'Aktywny - Surowce i Nowe Gosp.'!Obszar_wydruku</vt:lpstr>
      <vt:lpstr>'Allianz Akcji'!Obszar_wydruku</vt:lpstr>
      <vt:lpstr>'Allianz Obligacji Plus'!Obszar_wydruku</vt:lpstr>
      <vt:lpstr>'Aviva Dł.Pap.Korp.'!Obszar_wydruku</vt:lpstr>
      <vt:lpstr>'Aviva MS'!Obszar_wydruku</vt:lpstr>
      <vt:lpstr>'Franklin EDF'!Obszar_wydruku</vt:lpstr>
      <vt:lpstr>'Franklin NR'!Obszar_wydruku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 Glob.'!Obszar_wydruku</vt:lpstr>
      <vt:lpstr>'Fundusz Obligacji Plus'!Obszar_wydruku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'Investor Akcji Sp.Dyw.'!Obszar_wydruku</vt:lpstr>
      <vt:lpstr>'Investor Ameryka Łacińska'!Obszar_wydruku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A'!Obszar_wydruku</vt:lpstr>
      <vt:lpstr>'Noble GR'!Obszar_wydruku</vt:lpstr>
      <vt:lpstr>'Pekao AGD'!Obszar_wydruku</vt:lpstr>
      <vt:lpstr>'Pekao DA2'!Obszar_wydruku</vt:lpstr>
      <vt:lpstr>'Pekao DS'!Obszar_wydruku</vt:lpstr>
      <vt:lpstr>'Pekao G'!Obszar_wydruku</vt:lpstr>
      <vt:lpstr>'Pekao OP'!Obszar_wydruku</vt:lpstr>
      <vt:lpstr>'Pekao P'!Obszar_wydruku</vt:lpstr>
      <vt:lpstr>'Pekao P+'!Obszar_wydruku</vt:lpstr>
      <vt:lpstr>'Pekao Stab.Inwest.'!Obszar_wydruku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EME'!Obszar_wydruku</vt:lpstr>
      <vt:lpstr>'PZU Zrówn.'!Obszar_wydruku</vt:lpstr>
      <vt:lpstr>'Quercus A'!Obszar_wydruku</vt:lpstr>
      <vt:lpstr>'Quercus LEV'!Obszar_wydruku</vt:lpstr>
      <vt:lpstr>'Quercus R'!Obszar_wydruku</vt:lpstr>
      <vt:lpstr>'Quercus Stab.'!Obszar_wydruku</vt:lpstr>
      <vt:lpstr>'Quercus T'!Obszar_wydruku</vt:lpstr>
      <vt:lpstr>'Schroder ISF FME'!Obszar_wydruku</vt:lpstr>
      <vt:lpstr>'Schroder ISF GDG'!Obszar_wydruku</vt:lpstr>
      <vt:lpstr>'Schroder ISF GHIB'!Obszar_wydruku</vt:lpstr>
      <vt:lpstr>'Skarbiec K'!Obszar_wydruku</vt:lpstr>
      <vt:lpstr>'Skarbiec L'!Obszar_wydruku</vt:lpstr>
      <vt:lpstr>'Templeton GTR'!Obszar_wydruku</vt:lpstr>
      <vt:lpstr>'Templeton LA'!Obszar_wydruku</vt:lpstr>
      <vt:lpstr>'UniKorona Obligacje'!Obszar_wydruku</vt:lpstr>
      <vt:lpstr>'UniObligacje Nowa Europa'!Obszar_wydruku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ikrasnodebska</cp:lastModifiedBy>
  <cp:lastPrinted>2015-02-02T16:54:01Z</cp:lastPrinted>
  <dcterms:created xsi:type="dcterms:W3CDTF">2012-07-31T14:09:53Z</dcterms:created>
  <dcterms:modified xsi:type="dcterms:W3CDTF">2018-08-08T08:18:58Z</dcterms:modified>
</cp:coreProperties>
</file>