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20" yWindow="915" windowWidth="20700" windowHeight="10500" tabRatio="848" firstSheet="5" activeTab="12"/>
  </bookViews>
  <sheets>
    <sheet name="Fundusz Gwarantowany" sheetId="1" r:id="rId1"/>
    <sheet name="Fundusz Stabilnego Wzrostu" sheetId="194" r:id="rId2"/>
    <sheet name="Fundusz Dynamiczny" sheetId="4" r:id="rId3"/>
    <sheet name="Fundusz Obligacji" sheetId="5" r:id="rId4"/>
    <sheet name="Fundusz Aktywnej Alokacji" sheetId="10" r:id="rId5"/>
    <sheet name="Fundusz Akcji Plus" sheetId="11" r:id="rId6"/>
    <sheet name="Fundusz Akcji Małych i ŚS" sheetId="16" r:id="rId7"/>
    <sheet name="Fundusz Pieniężny" sheetId="17" r:id="rId8"/>
    <sheet name="Fundusz Polskich Obl. Skarb." sheetId="81" r:id="rId9"/>
    <sheet name="Fundusz Selektywny" sheetId="78" r:id="rId10"/>
    <sheet name="Fundusz Akcji Glob." sheetId="79" r:id="rId11"/>
    <sheet name="Fundusz Obligacji Glob." sheetId="122" r:id="rId12"/>
    <sheet name="Fundusz Energetyczny" sheetId="121" r:id="rId13"/>
    <sheet name="Portfel Aktywnej Alokacji" sheetId="120" r:id="rId14"/>
    <sheet name="Portfel Dynamiczny" sheetId="69" r:id="rId15"/>
    <sheet name="Portfel Stabilnego Wzrostu" sheetId="67" r:id="rId16"/>
    <sheet name="Portfel ARR" sheetId="53" r:id="rId17"/>
    <sheet name="Portfel ARW" sheetId="94" r:id="rId18"/>
    <sheet name="Portfel OZ" sheetId="93" r:id="rId19"/>
    <sheet name="Portfel OR" sheetId="199" r:id="rId20"/>
    <sheet name="Portfel SA" sheetId="217" r:id="rId21"/>
    <sheet name="Fundusz Konserwatywny" sheetId="95" r:id="rId22"/>
    <sheet name="Fundusz Zrównoważony" sheetId="6" r:id="rId23"/>
    <sheet name="Fundusz Aktywny" sheetId="7" r:id="rId24"/>
    <sheet name="Fundusz Międzynarodowy" sheetId="8" r:id="rId25"/>
    <sheet name="Fundusz Azjatycki" sheetId="9" r:id="rId26"/>
    <sheet name="Aktywny - Surowce i Nowe Gosp." sheetId="13" r:id="rId27"/>
    <sheet name="Zabezpieczony - Dalekiego Wsch." sheetId="58" r:id="rId28"/>
    <sheet name="Zaabezpieczony - Europy Wsch." sheetId="61" r:id="rId29"/>
    <sheet name="Strategii Multiobligacyjnych" sheetId="60" r:id="rId30"/>
    <sheet name="Zabezpieczony - Rynku Polskiego" sheetId="84" r:id="rId31"/>
    <sheet name="Allianz Akcji" sheetId="14" r:id="rId32"/>
    <sheet name="Allianz Stabilnego Wzrostu" sheetId="28" r:id="rId33"/>
    <sheet name="Allianz Obligacji Plus" sheetId="22" r:id="rId34"/>
    <sheet name="Allianz Aktywnej Alokacji" sheetId="49" r:id="rId35"/>
    <sheet name="Allianz Akcji Małych i ŚS" sheetId="29" r:id="rId36"/>
    <sheet name="Allianz Konserw." sheetId="30" r:id="rId37"/>
    <sheet name="Allianz Polskich Obl.Skarb." sheetId="48" r:id="rId38"/>
    <sheet name="Allianz Selektywny" sheetId="83" r:id="rId39"/>
    <sheet name="Allianz Akcji Glob." sheetId="42" r:id="rId40"/>
    <sheet name="Allianz Surowców i Energii" sheetId="188" r:id="rId41"/>
    <sheet name="Allianz Akcji Rynkow Wsch" sheetId="195" r:id="rId42"/>
    <sheet name="Allianz Dyn.Multistrategia" sheetId="196" r:id="rId43"/>
    <sheet name="Allianz Def.Multistrategia" sheetId="209" r:id="rId44"/>
    <sheet name="Allianz Zbal.Multistrategia" sheetId="210" r:id="rId45"/>
    <sheet name="Allianz GSD" sheetId="197" r:id="rId46"/>
    <sheet name="Allianz Obligacji Glob." sheetId="229" r:id="rId47"/>
    <sheet name="Altus ASZD" sheetId="156" r:id="rId48"/>
    <sheet name="Altus ASZRP" sheetId="230" r:id="rId49"/>
    <sheet name="Aviva Dł.Pap.Korp." sheetId="112" r:id="rId50"/>
    <sheet name="Franklin EDF" sheetId="96" r:id="rId51"/>
    <sheet name="Franklin GFS" sheetId="151" r:id="rId52"/>
    <sheet name="Franklin NR" sheetId="107" r:id="rId53"/>
    <sheet name="Franklin USO" sheetId="152" r:id="rId54"/>
    <sheet name="GS EMDP" sheetId="211" r:id="rId55"/>
    <sheet name="GS GSMBP" sheetId="218" r:id="rId56"/>
    <sheet name="Inwestor Akcji" sheetId="106" r:id="rId57"/>
    <sheet name="Investor Akcji Sp.Dyw." sheetId="123" r:id="rId58"/>
    <sheet name="Investor TOP 25 MS" sheetId="33" r:id="rId59"/>
    <sheet name="Investor Zrównoważony" sheetId="34" r:id="rId60"/>
    <sheet name="Investor Ameryka Łacińska" sheetId="124" r:id="rId61"/>
    <sheet name="Investor BRIC" sheetId="57" r:id="rId62"/>
    <sheet name="Investor Gold" sheetId="55" r:id="rId63"/>
    <sheet name="Investor Doch." sheetId="43" r:id="rId64"/>
    <sheet name="Investor Indie i Chiny" sheetId="189" r:id="rId65"/>
    <sheet name="Investor Turcja" sheetId="56" r:id="rId66"/>
    <sheet name="Investor OK" sheetId="212" r:id="rId67"/>
    <sheet name="Investor Oszcz." sheetId="202" r:id="rId68"/>
    <sheet name="Investor ZE" sheetId="201" r:id="rId69"/>
    <sheet name="Investor ASW" sheetId="223" r:id="rId70"/>
    <sheet name="Ipopema A" sheetId="206" r:id="rId71"/>
    <sheet name="JPM EMO" sheetId="24" r:id="rId72"/>
    <sheet name="JPM GH" sheetId="149" r:id="rId73"/>
    <sheet name="JPM GSB" sheetId="148" r:id="rId74"/>
    <sheet name="JPM GMO" sheetId="224" r:id="rId75"/>
    <sheet name="Esaliens Akcji" sheetId="186" r:id="rId76"/>
    <sheet name="Esaliens Obligacji" sheetId="35" r:id="rId77"/>
    <sheet name="Esaliens Oszcz." sheetId="153" r:id="rId78"/>
    <sheet name="Esaliens Strateg" sheetId="47" r:id="rId79"/>
    <sheet name="Millenium Master I" sheetId="27" r:id="rId80"/>
    <sheet name="Millenium Master II" sheetId="70" r:id="rId81"/>
    <sheet name="Millenium Master III" sheetId="71" r:id="rId82"/>
    <sheet name="Millenium Master IV" sheetId="72" r:id="rId83"/>
    <sheet name="Millenium Master V" sheetId="73" r:id="rId84"/>
    <sheet name="Millenium Master VI" sheetId="74" r:id="rId85"/>
    <sheet name="Millenium Master VII" sheetId="75" r:id="rId86"/>
    <sheet name="NN Akcji" sheetId="77" r:id="rId87"/>
    <sheet name="NN Obligacji" sheetId="36" r:id="rId88"/>
    <sheet name="NN POI" sheetId="37" r:id="rId89"/>
    <sheet name="NN ŚMS" sheetId="161" r:id="rId90"/>
    <sheet name="NN Eur.SD" sheetId="115" r:id="rId91"/>
    <sheet name="NN Glob. Długu Korp." sheetId="92" r:id="rId92"/>
    <sheet name="NN Glob.SD" sheetId="90" r:id="rId93"/>
    <sheet name="NN J" sheetId="76" r:id="rId94"/>
    <sheet name="NN NA" sheetId="138" r:id="rId95"/>
    <sheet name="NN ORW" sheetId="136" r:id="rId96"/>
    <sheet name="NN Sp.Dyw.USA" sheetId="137" r:id="rId97"/>
    <sheet name="NN SGA" sheetId="163" r:id="rId98"/>
    <sheet name="NN SDRW" sheetId="213" r:id="rId99"/>
    <sheet name="NN D" sheetId="219" r:id="rId100"/>
    <sheet name="Noble AMiŚS" sheetId="164" r:id="rId101"/>
    <sheet name="Noble A" sheetId="114" r:id="rId102"/>
    <sheet name="Noble GR" sheetId="226" r:id="rId103"/>
    <sheet name="Pekao ARW" sheetId="193" r:id="rId104"/>
    <sheet name="Pekao AGD" sheetId="88" r:id="rId105"/>
    <sheet name="Pekao OS" sheetId="167" r:id="rId106"/>
    <sheet name="Pekao SI" sheetId="129" r:id="rId107"/>
    <sheet name="Pekao WDRE" sheetId="168" r:id="rId108"/>
    <sheet name="Pekao Surowców i Energii" sheetId="169" r:id="rId109"/>
    <sheet name="Pekao AP" sheetId="46" r:id="rId110"/>
    <sheet name="Pekao DS" sheetId="89" r:id="rId111"/>
    <sheet name="Pekao OP" sheetId="128" r:id="rId112"/>
    <sheet name="Pekao Kons." sheetId="85" r:id="rId113"/>
    <sheet name="Pekao Kons.+" sheetId="103" r:id="rId114"/>
    <sheet name="Pekao Stab.Inwest." sheetId="102" r:id="rId115"/>
    <sheet name="Pekao DA2" sheetId="104" r:id="rId116"/>
    <sheet name="Pekao AS" sheetId="170" r:id="rId117"/>
    <sheet name="Pekao AA" sheetId="190" r:id="rId118"/>
    <sheet name="Pekao AE" sheetId="165" r:id="rId119"/>
    <sheet name="Pekao SG" sheetId="166" r:id="rId120"/>
    <sheet name="Pekao AMIŚSRR" sheetId="214" r:id="rId121"/>
    <sheet name="Pekao OID" sheetId="220" r:id="rId122"/>
    <sheet name="PKO Akcji Nowa Europa" sheetId="171" r:id="rId123"/>
    <sheet name="PKO Obligacji Dług." sheetId="38" r:id="rId124"/>
    <sheet name="PKO Stabilnego Wzrostu" sheetId="23" r:id="rId125"/>
    <sheet name="PKO Zrównoważony" sheetId="25" r:id="rId126"/>
    <sheet name="PZU ASD" sheetId="173" r:id="rId127"/>
    <sheet name="PZU AK" sheetId="174" r:id="rId128"/>
    <sheet name="PZU AMiŚS" sheetId="130" r:id="rId129"/>
    <sheet name="PZU M" sheetId="39" r:id="rId130"/>
    <sheet name="PZU Zrówn." sheetId="100" r:id="rId131"/>
    <sheet name="PZU ARR" sheetId="99" r:id="rId132"/>
    <sheet name="PZU PDP" sheetId="205" r:id="rId133"/>
    <sheet name="Quercus A" sheetId="101" r:id="rId134"/>
    <sheet name="Quercus LEV" sheetId="118" r:id="rId135"/>
    <sheet name="Quercus OK" sheetId="143" r:id="rId136"/>
    <sheet name="Quercus R" sheetId="119" r:id="rId137"/>
    <sheet name="Quercus GB" sheetId="144" r:id="rId138"/>
    <sheet name="Quercus Short" sheetId="145" r:id="rId139"/>
    <sheet name="Quercus Stab." sheetId="117" r:id="rId140"/>
    <sheet name="Schroder ISF ACB" sheetId="142" r:id="rId141"/>
    <sheet name="Schroder ISF AO" sheetId="147" r:id="rId142"/>
    <sheet name="Schroder ISF EMDAR" sheetId="179" r:id="rId143"/>
    <sheet name="Schroder ISF EE" sheetId="146" r:id="rId144"/>
    <sheet name="Schroder ISF FME" sheetId="133" r:id="rId145"/>
    <sheet name="Schroder ISF GDG" sheetId="132" r:id="rId146"/>
    <sheet name="Schroder ISF GHIB" sheetId="135" r:id="rId147"/>
    <sheet name="Skarbiec Kons." sheetId="134" r:id="rId148"/>
    <sheet name="Skarbiec OWD" sheetId="113" r:id="rId149"/>
    <sheet name="Skarbiec MIŚS" sheetId="140" r:id="rId150"/>
    <sheet name="Skarbiec GMIŚS" sheetId="227" r:id="rId151"/>
    <sheet name="Skarbiec SW" sheetId="175" r:id="rId152"/>
    <sheet name="Skarbiec A" sheetId="215" r:id="rId153"/>
    <sheet name="Skarbiec Brands" sheetId="216" r:id="rId154"/>
    <sheet name="Templeton AG" sheetId="176" r:id="rId155"/>
    <sheet name="Templeton GB" sheetId="159" r:id="rId156"/>
    <sheet name="Templeton GTR" sheetId="109" r:id="rId157"/>
    <sheet name="Templeton LA" sheetId="108" r:id="rId158"/>
    <sheet name="UniAkcje Dyw." sheetId="187" r:id="rId159"/>
    <sheet name="Uni Akcje MIŚS" sheetId="177" r:id="rId160"/>
    <sheet name="UniAkcje Nowa Europa" sheetId="41" r:id="rId161"/>
    <sheet name="UniAkcje Wzrostu" sheetId="40" r:id="rId162"/>
    <sheet name="UniKorona Akcje" sheetId="64" r:id="rId163"/>
    <sheet name="UniKorona Obligacje" sheetId="110" r:id="rId164"/>
    <sheet name="UniKorona Doch." sheetId="20" r:id="rId165"/>
    <sheet name="UniKorona Zrównoważony" sheetId="62" r:id="rId166"/>
    <sheet name="UniOszcz." sheetId="26" r:id="rId167"/>
    <sheet name="UniObligacje Nowa Europa" sheetId="105" r:id="rId168"/>
    <sheet name="UniStabilny Wzrost" sheetId="63" r:id="rId169"/>
    <sheet name="UniObligacje Aktywny" sheetId="191" r:id="rId170"/>
    <sheet name="UniAkcje Daleki Wschod" sheetId="228" r:id="rId171"/>
    <sheet name="dodatkowedane" sheetId="80" r:id="rId172"/>
  </sheets>
  <definedNames>
    <definedName name="_AMO_UniqueIdentifier" hidden="1">"'4287f0fd-8dc1-4a44-8575-aa000ae0503c'"</definedName>
    <definedName name="_xlnm.Print_Area" localSheetId="26">'Aktywny - Surowce i Nowe Gosp.'!$B$2:$E$73</definedName>
    <definedName name="_xlnm.Print_Area" localSheetId="31">'Allianz Akcji'!$B$2:$E$74</definedName>
    <definedName name="_xlnm.Print_Area" localSheetId="33">'Allianz Obligacji Plus'!$B$2:$E$74</definedName>
    <definedName name="_xlnm.Print_Area" localSheetId="49">'Aviva Dł.Pap.Korp.'!$B$2:$E$74</definedName>
    <definedName name="_xlnm.Print_Area" localSheetId="50">'Franklin EDF'!$B$2:$E$74</definedName>
    <definedName name="_xlnm.Print_Area" localSheetId="52">'Franklin NR'!$B$2:$E$74</definedName>
    <definedName name="_xlnm.Print_Area" localSheetId="10">'Fundusz Akcji Glob.'!$B$2:$E$73</definedName>
    <definedName name="_xlnm.Print_Area" localSheetId="6">'Fundusz Akcji Małych i ŚS'!$B$2:$E$73</definedName>
    <definedName name="_xlnm.Print_Area" localSheetId="5">'Fundusz Akcji Plus'!$B$2:$E$73</definedName>
    <definedName name="_xlnm.Print_Area" localSheetId="4">'Fundusz Aktywnej Alokacji'!$B$2:$E$73</definedName>
    <definedName name="_xlnm.Print_Area" localSheetId="23">'Fundusz Aktywny'!$B$2:$E$73</definedName>
    <definedName name="_xlnm.Print_Area" localSheetId="25">'Fundusz Azjatycki'!$B$2:$E$73</definedName>
    <definedName name="_xlnm.Print_Area" localSheetId="2">'Fundusz Dynamiczny'!$B$2:$E$74</definedName>
    <definedName name="_xlnm.Print_Area" localSheetId="12">'Fundusz Energetyczny'!$B$2:$E$73</definedName>
    <definedName name="_xlnm.Print_Area" localSheetId="0">'Fundusz Gwarantowany'!$B$2:$E$77</definedName>
    <definedName name="_xlnm.Print_Area" localSheetId="21">'Fundusz Konserwatywny'!$B$2:$E$74</definedName>
    <definedName name="_xlnm.Print_Area" localSheetId="24">'Fundusz Międzynarodowy'!$B$2:$E$73</definedName>
    <definedName name="_xlnm.Print_Area" localSheetId="3">'Fundusz Obligacji'!$B$2:$E$74</definedName>
    <definedName name="_xlnm.Print_Area" localSheetId="11">'Fundusz Obligacji Glob.'!$B$2:$E$73</definedName>
    <definedName name="_xlnm.Print_Area" localSheetId="7">'Fundusz Pieniężny'!$B$2:$E$73</definedName>
    <definedName name="_xlnm.Print_Area" localSheetId="8">'Fundusz Polskich Obl. Skarb.'!$B$2:$E$73</definedName>
    <definedName name="_xlnm.Print_Area" localSheetId="9">'Fundusz Selektywny'!$B$2:$E$73</definedName>
    <definedName name="_xlnm.Print_Area" localSheetId="22">'Fundusz Zrównoważony'!$B$2:$E$73</definedName>
    <definedName name="_xlnm.Print_Area" localSheetId="57">'Investor Akcji Sp.Dyw.'!$B$2:$E$74</definedName>
    <definedName name="_xlnm.Print_Area" localSheetId="60">'Investor Ameryka Łacińska'!$B$2:$E$74</definedName>
    <definedName name="_xlnm.Print_Area" localSheetId="56">'Inwestor Akcji'!$B$2:$E$74</definedName>
    <definedName name="_xlnm.Print_Area" localSheetId="90">'NN Eur.SD'!$B$2:$E$74</definedName>
    <definedName name="_xlnm.Print_Area" localSheetId="91">'NN Glob. Długu Korp.'!$B$2:$E$74</definedName>
    <definedName name="_xlnm.Print_Area" localSheetId="92">'NN Glob.SD'!$B$2:$E$74</definedName>
    <definedName name="_xlnm.Print_Area" localSheetId="101">'Noble A'!$B$2:$E$74</definedName>
    <definedName name="_xlnm.Print_Area" localSheetId="102">'Noble GR'!$B$2:$E$74</definedName>
    <definedName name="_xlnm.Print_Area" localSheetId="104">'Pekao AGD'!$B$2:$E$74</definedName>
    <definedName name="_xlnm.Print_Area" localSheetId="115">'Pekao DA2'!$B$2:$E$74</definedName>
    <definedName name="_xlnm.Print_Area" localSheetId="110">'Pekao DS'!$B$2:$E$74</definedName>
    <definedName name="_xlnm.Print_Area" localSheetId="112">'Pekao Kons.'!$B$2:$E$74</definedName>
    <definedName name="_xlnm.Print_Area" localSheetId="113">'Pekao Kons.+'!$B$2:$E$74</definedName>
    <definedName name="_xlnm.Print_Area" localSheetId="111">'Pekao OP'!$B$2:$E$74</definedName>
    <definedName name="_xlnm.Print_Area" localSheetId="106">'Pekao SI'!$B$2:$E$74</definedName>
    <definedName name="_xlnm.Print_Area" localSheetId="114">'Pekao Stab.Inwest.'!$B$2:$E$74</definedName>
    <definedName name="_xlnm.Print_Area" localSheetId="13">'Portfel Aktywnej Alokacji'!$B$2:$E$73</definedName>
    <definedName name="_xlnm.Print_Area" localSheetId="16">'Portfel ARR'!$B$2:$E$73</definedName>
    <definedName name="_xlnm.Print_Area" localSheetId="17">'Portfel ARW'!$B$2:$E$74</definedName>
    <definedName name="_xlnm.Print_Area" localSheetId="14">'Portfel Dynamiczny'!$B$2:$E$73</definedName>
    <definedName name="_xlnm.Print_Area" localSheetId="18">'Portfel OZ'!$B$2:$E$74</definedName>
    <definedName name="_xlnm.Print_Area" localSheetId="15">'Portfel Stabilnego Wzrostu'!$B$2:$E$73</definedName>
    <definedName name="_xlnm.Print_Area" localSheetId="128">'PZU AMiŚS'!$B$2:$E$74</definedName>
    <definedName name="_xlnm.Print_Area" localSheetId="131">'PZU ARR'!$B$2:$E$74</definedName>
    <definedName name="_xlnm.Print_Area" localSheetId="129">'PZU M'!$B$2:$E$74</definedName>
    <definedName name="_xlnm.Print_Area" localSheetId="130">'PZU Zrówn.'!$B$2:$E$74</definedName>
    <definedName name="_xlnm.Print_Area" localSheetId="133">'Quercus A'!$B$2:$E$74</definedName>
    <definedName name="_xlnm.Print_Area" localSheetId="134">'Quercus LEV'!$B$2:$E$74</definedName>
    <definedName name="_xlnm.Print_Area" localSheetId="136">'Quercus R'!$B$2:$E$74</definedName>
    <definedName name="_xlnm.Print_Area" localSheetId="139">'Quercus Stab.'!$B$2:$E$74</definedName>
    <definedName name="_xlnm.Print_Area" localSheetId="144">'Schroder ISF FME'!$B$2:$E$74</definedName>
    <definedName name="_xlnm.Print_Area" localSheetId="145">'Schroder ISF GDG'!$B$2:$E$74</definedName>
    <definedName name="_xlnm.Print_Area" localSheetId="146">'Schroder ISF GHIB'!$B$2:$E$74</definedName>
    <definedName name="_xlnm.Print_Area" localSheetId="147">'Skarbiec Kons.'!$B$2:$E$74</definedName>
    <definedName name="_xlnm.Print_Area" localSheetId="148">'Skarbiec OWD'!$B$2:$E$74</definedName>
    <definedName name="_xlnm.Print_Area" localSheetId="156">'Templeton GTR'!$B$2:$E$74</definedName>
    <definedName name="_xlnm.Print_Area" localSheetId="157">'Templeton LA'!$B$2:$E$74</definedName>
    <definedName name="_xlnm.Print_Area" localSheetId="163">'UniKorona Obligacje'!$B$2:$E$74</definedName>
    <definedName name="_xlnm.Print_Area" localSheetId="167">'UniObligacje Nowa Europa'!$B$2:$E$74</definedName>
    <definedName name="_xlnm.Print_Area" localSheetId="28">'Zaabezpieczony - Europy Wsch.'!$B$2:$E$73</definedName>
    <definedName name="_xlnm.Print_Area" localSheetId="27">'Zabezpieczony - Dalekiego Wsch.'!$B$2:$E$73</definedName>
  </definedNames>
  <calcPr calcId="145621"/>
</workbook>
</file>

<file path=xl/calcChain.xml><?xml version="1.0" encoding="utf-8"?>
<calcChain xmlns="http://schemas.openxmlformats.org/spreadsheetml/2006/main">
  <c r="E62" i="121" l="1"/>
  <c r="E77" i="121" l="1"/>
  <c r="E75" i="121"/>
  <c r="E28" i="152" l="1"/>
  <c r="E74" i="1" l="1"/>
  <c r="E61" i="1"/>
  <c r="E39" i="1"/>
  <c r="E27" i="79"/>
  <c r="E27" i="122"/>
  <c r="E27" i="94"/>
  <c r="E27" i="93"/>
  <c r="E27" i="9"/>
  <c r="E27" i="58"/>
  <c r="E27" i="61"/>
  <c r="E27" i="28"/>
  <c r="E27" i="188"/>
  <c r="E27" i="195"/>
  <c r="E27" i="229"/>
  <c r="E27" i="96"/>
  <c r="E27" i="213"/>
  <c r="E27" i="114"/>
  <c r="E27" i="144"/>
  <c r="E27" i="134"/>
  <c r="E27" i="108"/>
  <c r="E27" i="187"/>
  <c r="E27" i="40"/>
  <c r="E27" i="26"/>
  <c r="E32" i="194"/>
  <c r="E27" i="194" s="1"/>
  <c r="E32" i="4"/>
  <c r="E27" i="4" s="1"/>
  <c r="E32" i="5"/>
  <c r="E27" i="5" s="1"/>
  <c r="E32" i="10"/>
  <c r="E27" i="10" s="1"/>
  <c r="E32" i="11"/>
  <c r="E27" i="11" s="1"/>
  <c r="E32" i="16"/>
  <c r="E27" i="16" s="1"/>
  <c r="E32" i="17"/>
  <c r="E27" i="17" s="1"/>
  <c r="E32" i="81"/>
  <c r="E27" i="81" s="1"/>
  <c r="E32" i="78"/>
  <c r="E27" i="78" s="1"/>
  <c r="E32" i="79"/>
  <c r="E32" i="122"/>
  <c r="E32" i="121"/>
  <c r="E27" i="121" s="1"/>
  <c r="E32" i="120"/>
  <c r="E27" i="120" s="1"/>
  <c r="E32" i="69"/>
  <c r="E27" i="69" s="1"/>
  <c r="E32" i="67"/>
  <c r="E27" i="67" s="1"/>
  <c r="E32" i="53"/>
  <c r="E32" i="94"/>
  <c r="E32" i="93"/>
  <c r="E32" i="199"/>
  <c r="E27" i="199" s="1"/>
  <c r="E32" i="217"/>
  <c r="E27" i="217" s="1"/>
  <c r="E32" i="95"/>
  <c r="E27" i="95" s="1"/>
  <c r="E32" i="6"/>
  <c r="E27" i="6" s="1"/>
  <c r="E32" i="7"/>
  <c r="E32" i="8"/>
  <c r="E32" i="9"/>
  <c r="E32" i="13"/>
  <c r="E27" i="13" s="1"/>
  <c r="E32" i="58"/>
  <c r="E32" i="61"/>
  <c r="E32" i="60"/>
  <c r="E32" i="84"/>
  <c r="E27" i="84" s="1"/>
  <c r="E32" i="28"/>
  <c r="E32" i="22"/>
  <c r="E27" i="22" s="1"/>
  <c r="E32" i="49"/>
  <c r="E27" i="49" s="1"/>
  <c r="E32" i="29"/>
  <c r="E32" i="30"/>
  <c r="E27" i="30" s="1"/>
  <c r="E32" i="48"/>
  <c r="E27" i="48" s="1"/>
  <c r="E32" i="83"/>
  <c r="E27" i="83" s="1"/>
  <c r="E32" i="42"/>
  <c r="E27" i="42" s="1"/>
  <c r="E32" i="188"/>
  <c r="E32" i="195"/>
  <c r="E32" i="196"/>
  <c r="E32" i="209"/>
  <c r="E27" i="209" s="1"/>
  <c r="E32" i="210"/>
  <c r="E27" i="210" s="1"/>
  <c r="E32" i="197"/>
  <c r="E27" i="197" s="1"/>
  <c r="E32" i="229"/>
  <c r="E32" i="96"/>
  <c r="E32" i="151"/>
  <c r="E27" i="151" s="1"/>
  <c r="E32" i="152"/>
  <c r="E27" i="152" s="1"/>
  <c r="E32" i="211"/>
  <c r="E32" i="218"/>
  <c r="E27" i="218" s="1"/>
  <c r="E32" i="106"/>
  <c r="E27" i="106" s="1"/>
  <c r="E32" i="123"/>
  <c r="E32" i="33"/>
  <c r="E32" i="34"/>
  <c r="E27" i="34" s="1"/>
  <c r="E32" i="124"/>
  <c r="E32" i="57"/>
  <c r="E32" i="55"/>
  <c r="E32" i="43"/>
  <c r="E32" i="189"/>
  <c r="E32" i="212"/>
  <c r="E27" i="212" s="1"/>
  <c r="E32" i="202"/>
  <c r="E27" i="202" s="1"/>
  <c r="E32" i="201"/>
  <c r="E27" i="201" s="1"/>
  <c r="E32" i="24"/>
  <c r="E32" i="149"/>
  <c r="E27" i="149" s="1"/>
  <c r="E32" i="148"/>
  <c r="E27" i="148" s="1"/>
  <c r="E32" i="224"/>
  <c r="E27" i="224" s="1"/>
  <c r="E32" i="186"/>
  <c r="E32" i="35"/>
  <c r="E32" i="153"/>
  <c r="E32" i="47"/>
  <c r="E32" i="27"/>
  <c r="E32" i="70"/>
  <c r="E32" i="71"/>
  <c r="E32" i="72"/>
  <c r="E32" i="73"/>
  <c r="E32" i="74"/>
  <c r="E32" i="75"/>
  <c r="E32" i="77"/>
  <c r="E32" i="36"/>
  <c r="E32" i="37"/>
  <c r="E32" i="161"/>
  <c r="E27" i="161" s="1"/>
  <c r="E32" i="115"/>
  <c r="E27" i="115" s="1"/>
  <c r="E32" i="92"/>
  <c r="E27" i="92" s="1"/>
  <c r="E32" i="90"/>
  <c r="E32" i="76"/>
  <c r="E27" i="76" s="1"/>
  <c r="E32" i="138"/>
  <c r="E27" i="138" s="1"/>
  <c r="E32" i="136"/>
  <c r="E32" i="137"/>
  <c r="E32" i="163"/>
  <c r="E27" i="163" s="1"/>
  <c r="E32" i="213"/>
  <c r="E32" i="164"/>
  <c r="E27" i="164" s="1"/>
  <c r="E32" i="114"/>
  <c r="E32" i="226"/>
  <c r="E27" i="226" s="1"/>
  <c r="E32" i="193"/>
  <c r="E32" i="88"/>
  <c r="E27" i="88" s="1"/>
  <c r="E32" i="167"/>
  <c r="E27" i="167" s="1"/>
  <c r="E32" i="129"/>
  <c r="E27" i="129" s="1"/>
  <c r="E32" i="168"/>
  <c r="E27" i="168" s="1"/>
  <c r="E32" i="169"/>
  <c r="E32" i="46"/>
  <c r="E32" i="89"/>
  <c r="E27" i="89" s="1"/>
  <c r="E32" i="128"/>
  <c r="E32" i="85"/>
  <c r="E27" i="85" s="1"/>
  <c r="E32" i="103"/>
  <c r="E32" i="102"/>
  <c r="E27" i="102" s="1"/>
  <c r="E32" i="104"/>
  <c r="E27" i="104" s="1"/>
  <c r="E32" i="170"/>
  <c r="E27" i="170" s="1"/>
  <c r="E32" i="165"/>
  <c r="E27" i="165" s="1"/>
  <c r="E32" i="166"/>
  <c r="E27" i="166" s="1"/>
  <c r="E32" i="214"/>
  <c r="E27" i="214" s="1"/>
  <c r="E32" i="220"/>
  <c r="E27" i="220" s="1"/>
  <c r="E32" i="171"/>
  <c r="E27" i="171" s="1"/>
  <c r="E32" i="38"/>
  <c r="E27" i="38" s="1"/>
  <c r="E32" i="23"/>
  <c r="E27" i="23" s="1"/>
  <c r="E32" i="25"/>
  <c r="E27" i="25" s="1"/>
  <c r="E32" i="173"/>
  <c r="E27" i="173" s="1"/>
  <c r="E32" i="174"/>
  <c r="E27" i="174" s="1"/>
  <c r="E32" i="130"/>
  <c r="E27" i="130" s="1"/>
  <c r="E32" i="39"/>
  <c r="E27" i="39" s="1"/>
  <c r="E32" i="100"/>
  <c r="E27" i="100" s="1"/>
  <c r="E32" i="99"/>
  <c r="E27" i="99" s="1"/>
  <c r="E32" i="205"/>
  <c r="E27" i="205" s="1"/>
  <c r="E32" i="101"/>
  <c r="E27" i="101" s="1"/>
  <c r="E32" i="143"/>
  <c r="E32" i="144"/>
  <c r="E32" i="142"/>
  <c r="E27" i="142" s="1"/>
  <c r="E32" i="147"/>
  <c r="E27" i="147" s="1"/>
  <c r="E32" i="179"/>
  <c r="E27" i="179" s="1"/>
  <c r="E32" i="146"/>
  <c r="E27" i="146" s="1"/>
  <c r="E32" i="133"/>
  <c r="E27" i="133" s="1"/>
  <c r="E32" i="132"/>
  <c r="E27" i="132" s="1"/>
  <c r="E32" i="135"/>
  <c r="E27" i="135" s="1"/>
  <c r="E32" i="134"/>
  <c r="E32" i="113"/>
  <c r="E27" i="113" s="1"/>
  <c r="E32" i="140"/>
  <c r="E32" i="227"/>
  <c r="E27" i="227" s="1"/>
  <c r="E32" i="175"/>
  <c r="E32" i="215"/>
  <c r="E27" i="215" s="1"/>
  <c r="E32" i="216"/>
  <c r="E27" i="216" s="1"/>
  <c r="E32" i="159"/>
  <c r="E27" i="159" s="1"/>
  <c r="E32" i="109"/>
  <c r="E27" i="109" s="1"/>
  <c r="E32" i="108"/>
  <c r="E32" i="187"/>
  <c r="E32" i="177"/>
  <c r="E32" i="41"/>
  <c r="E32" i="40"/>
  <c r="E32" i="64"/>
  <c r="E32" i="110"/>
  <c r="E32" i="20"/>
  <c r="E27" i="20" s="1"/>
  <c r="E32" i="62"/>
  <c r="E32" i="26"/>
  <c r="E32" i="105"/>
  <c r="E32" i="63"/>
  <c r="E32" i="191"/>
  <c r="E27" i="191" s="1"/>
  <c r="E32" i="228"/>
  <c r="E27" i="228" s="1"/>
  <c r="E32" i="1"/>
  <c r="E27" i="1" s="1"/>
  <c r="E28" i="194"/>
  <c r="E28" i="4"/>
  <c r="E28" i="5"/>
  <c r="E28" i="10"/>
  <c r="E28" i="11"/>
  <c r="E28" i="16"/>
  <c r="E28" i="17"/>
  <c r="E28" i="81"/>
  <c r="E28" i="78"/>
  <c r="E28" i="79"/>
  <c r="E28" i="122"/>
  <c r="E28" i="121"/>
  <c r="E28" i="120"/>
  <c r="E28" i="69"/>
  <c r="E28" i="67"/>
  <c r="E28" i="53"/>
  <c r="E27" i="53" s="1"/>
  <c r="E28" i="94"/>
  <c r="E28" i="93"/>
  <c r="E28" i="199"/>
  <c r="E28" i="217"/>
  <c r="E28" i="95"/>
  <c r="E28" i="6"/>
  <c r="E28" i="7"/>
  <c r="E27" i="7" s="1"/>
  <c r="E28" i="8"/>
  <c r="E27" i="8" s="1"/>
  <c r="E28" i="9"/>
  <c r="E28" i="13"/>
  <c r="E28" i="58"/>
  <c r="E28" i="61"/>
  <c r="E28" i="60"/>
  <c r="E27" i="60" s="1"/>
  <c r="E28" i="84"/>
  <c r="E28" i="28"/>
  <c r="E28" i="22"/>
  <c r="E28" i="49"/>
  <c r="E28" i="29"/>
  <c r="E27" i="29" s="1"/>
  <c r="E28" i="30"/>
  <c r="E28" i="48"/>
  <c r="E28" i="83"/>
  <c r="E28" i="42"/>
  <c r="E28" i="188"/>
  <c r="E28" i="195"/>
  <c r="E28" i="196"/>
  <c r="E27" i="196" s="1"/>
  <c r="E28" i="209"/>
  <c r="E28" i="210"/>
  <c r="E28" i="197"/>
  <c r="E28" i="229"/>
  <c r="E28" i="156"/>
  <c r="E28" i="112"/>
  <c r="E28" i="96"/>
  <c r="E28" i="151"/>
  <c r="E28" i="211"/>
  <c r="E27" i="211" s="1"/>
  <c r="E28" i="218"/>
  <c r="E28" i="106"/>
  <c r="E28" i="123"/>
  <c r="E27" i="123" s="1"/>
  <c r="E28" i="33"/>
  <c r="E27" i="33" s="1"/>
  <c r="E28" i="34"/>
  <c r="E28" i="124"/>
  <c r="E27" i="124" s="1"/>
  <c r="E28" i="57"/>
  <c r="E27" i="57" s="1"/>
  <c r="E28" i="55"/>
  <c r="E27" i="55" s="1"/>
  <c r="E28" i="43"/>
  <c r="E27" i="43" s="1"/>
  <c r="E28" i="189"/>
  <c r="E27" i="189" s="1"/>
  <c r="E28" i="212"/>
  <c r="E28" i="202"/>
  <c r="E28" i="201"/>
  <c r="E28" i="24"/>
  <c r="E27" i="24" s="1"/>
  <c r="E28" i="149"/>
  <c r="E28" i="148"/>
  <c r="E28" i="224"/>
  <c r="E28" i="186"/>
  <c r="E27" i="186" s="1"/>
  <c r="E28" i="35"/>
  <c r="E27" i="35" s="1"/>
  <c r="E28" i="153"/>
  <c r="E28" i="47"/>
  <c r="E27" i="47" s="1"/>
  <c r="E28" i="27"/>
  <c r="E27" i="27" s="1"/>
  <c r="E28" i="70"/>
  <c r="E28" i="71"/>
  <c r="E27" i="71" s="1"/>
  <c r="E28" i="72"/>
  <c r="E27" i="72" s="1"/>
  <c r="E28" i="73"/>
  <c r="E28" i="74"/>
  <c r="E27" i="74" s="1"/>
  <c r="E28" i="75"/>
  <c r="E27" i="75" s="1"/>
  <c r="E28" i="77"/>
  <c r="E27" i="77" s="1"/>
  <c r="E28" i="36"/>
  <c r="E27" i="36" s="1"/>
  <c r="E28" i="37"/>
  <c r="E27" i="37" s="1"/>
  <c r="E28" i="161"/>
  <c r="E28" i="115"/>
  <c r="E28" i="92"/>
  <c r="E28" i="90"/>
  <c r="E27" i="90" s="1"/>
  <c r="E28" i="76"/>
  <c r="E28" i="138"/>
  <c r="E28" i="136"/>
  <c r="E27" i="136" s="1"/>
  <c r="E28" i="137"/>
  <c r="E28" i="163"/>
  <c r="E28" i="213"/>
  <c r="E28" i="164"/>
  <c r="E28" i="114"/>
  <c r="E28" i="226"/>
  <c r="E28" i="193"/>
  <c r="E28" i="88"/>
  <c r="E28" i="167"/>
  <c r="E28" i="129"/>
  <c r="E28" i="168"/>
  <c r="E28" i="169"/>
  <c r="E28" i="46"/>
  <c r="E28" i="89"/>
  <c r="E28" i="128"/>
  <c r="E27" i="128" s="1"/>
  <c r="E28" i="85"/>
  <c r="E28" i="103"/>
  <c r="E28" i="102"/>
  <c r="E28" i="104"/>
  <c r="E28" i="170"/>
  <c r="E28" i="165"/>
  <c r="E28" i="166"/>
  <c r="E28" i="214"/>
  <c r="E28" i="220"/>
  <c r="E28" i="171"/>
  <c r="E28" i="38"/>
  <c r="E28" i="23"/>
  <c r="E28" i="25"/>
  <c r="E28" i="173"/>
  <c r="E28" i="174"/>
  <c r="E28" i="130"/>
  <c r="E28" i="39"/>
  <c r="E28" i="100"/>
  <c r="E28" i="99"/>
  <c r="E28" i="205"/>
  <c r="E28" i="101"/>
  <c r="E28" i="143"/>
  <c r="E27" i="143" s="1"/>
  <c r="E28" i="144"/>
  <c r="E28" i="142"/>
  <c r="E28" i="147"/>
  <c r="E28" i="179"/>
  <c r="E28" i="146"/>
  <c r="E28" i="133"/>
  <c r="E28" i="132"/>
  <c r="E28" i="135"/>
  <c r="E28" i="134"/>
  <c r="E28" i="113"/>
  <c r="E28" i="140"/>
  <c r="E28" i="227"/>
  <c r="E28" i="175"/>
  <c r="E28" i="215"/>
  <c r="E28" i="216"/>
  <c r="E28" i="159"/>
  <c r="E28" i="109"/>
  <c r="E28" i="108"/>
  <c r="E28" i="187"/>
  <c r="E28" i="177"/>
  <c r="E27" i="177" s="1"/>
  <c r="E28" i="41"/>
  <c r="E27" i="41" s="1"/>
  <c r="E28" i="40"/>
  <c r="E28" i="64"/>
  <c r="E28" i="110"/>
  <c r="E27" i="110" s="1"/>
  <c r="E28" i="20"/>
  <c r="E28" i="62"/>
  <c r="E27" i="62" s="1"/>
  <c r="E28" i="26"/>
  <c r="E28" i="105"/>
  <c r="E27" i="105" s="1"/>
  <c r="E28" i="63"/>
  <c r="E27" i="63" s="1"/>
  <c r="E28" i="191"/>
  <c r="E28" i="228"/>
  <c r="E28" i="1"/>
  <c r="E27" i="64" l="1"/>
  <c r="E27" i="175"/>
  <c r="E27" i="140"/>
  <c r="E27" i="103"/>
  <c r="E27" i="46"/>
  <c r="E27" i="169"/>
  <c r="E27" i="193"/>
  <c r="E27" i="137"/>
  <c r="E27" i="73"/>
  <c r="E27" i="70"/>
  <c r="E27" i="153"/>
  <c r="E12" i="189"/>
  <c r="E12" i="191"/>
  <c r="E12" i="62"/>
  <c r="E12" i="20"/>
  <c r="E12" i="110"/>
  <c r="E12" i="41"/>
  <c r="E12" i="177"/>
  <c r="E12" i="109"/>
  <c r="E12" i="133"/>
  <c r="E12" i="143"/>
  <c r="E12" i="101"/>
  <c r="E12" i="25"/>
  <c r="E12" i="23"/>
  <c r="E12" i="38"/>
  <c r="E12" i="128"/>
  <c r="E12" i="136"/>
  <c r="E12" i="76"/>
  <c r="E12" i="90"/>
  <c r="E12" i="161"/>
  <c r="E12" i="37"/>
  <c r="E12" i="77"/>
  <c r="E12" i="75"/>
  <c r="E12" i="74"/>
  <c r="E12" i="72"/>
  <c r="E12" i="71"/>
  <c r="E12" i="70"/>
  <c r="E12" i="27"/>
  <c r="E12" i="47" l="1"/>
  <c r="E12" i="153"/>
  <c r="E12" i="35"/>
  <c r="E12" i="186"/>
  <c r="E12" i="55"/>
  <c r="E12" i="57"/>
  <c r="E12" i="124"/>
  <c r="E12" i="152"/>
  <c r="D18" i="80"/>
  <c r="D23" i="80" s="1"/>
  <c r="E74" i="230" l="1"/>
  <c r="E75" i="230" s="1"/>
  <c r="D72" i="230"/>
  <c r="D64" i="230"/>
  <c r="D58" i="230" s="1"/>
  <c r="D74" i="230" s="1"/>
  <c r="D75" i="230" s="1"/>
  <c r="E21" i="229"/>
  <c r="D21" i="229"/>
  <c r="D72" i="229"/>
  <c r="E58" i="188"/>
  <c r="D64" i="229" l="1"/>
  <c r="D58" i="229" s="1"/>
  <c r="D74" i="229" l="1"/>
  <c r="D75" i="229" s="1"/>
  <c r="E58" i="229"/>
  <c r="E64" i="229" l="1"/>
  <c r="E74" i="229"/>
  <c r="E75" i="229" s="1"/>
  <c r="E41" i="35" l="1"/>
  <c r="E26" i="35"/>
  <c r="E11" i="35"/>
  <c r="E21" i="35" s="1"/>
  <c r="E32" i="112" l="1"/>
  <c r="E27" i="112" s="1"/>
  <c r="E32" i="156"/>
  <c r="E27" i="156" s="1"/>
  <c r="E12" i="33" l="1"/>
  <c r="E33" i="210" l="1"/>
  <c r="E12" i="210"/>
  <c r="E33" i="196"/>
  <c r="E12" i="196"/>
  <c r="E33" i="83"/>
  <c r="E12" i="83"/>
  <c r="E33" i="48"/>
  <c r="E12" i="48"/>
  <c r="E33" i="22"/>
  <c r="E12" i="22"/>
  <c r="E33" i="28"/>
  <c r="E33" i="13"/>
  <c r="E33" i="8"/>
  <c r="E12" i="8"/>
  <c r="E33" i="7"/>
  <c r="E12" i="7"/>
  <c r="E33" i="6"/>
  <c r="E12" i="6"/>
  <c r="E33" i="95"/>
  <c r="D64" i="95"/>
  <c r="E12" i="95"/>
  <c r="E33" i="67" l="1"/>
  <c r="D64" i="67"/>
  <c r="E12" i="67"/>
  <c r="E41" i="69"/>
  <c r="E33" i="69"/>
  <c r="D64" i="69"/>
  <c r="E12" i="69"/>
  <c r="E33" i="120"/>
  <c r="D64" i="120"/>
  <c r="E12" i="120"/>
  <c r="E33" i="121"/>
  <c r="D62" i="121"/>
  <c r="E12" i="121"/>
  <c r="D64" i="122"/>
  <c r="E33" i="122"/>
  <c r="E12" i="122"/>
  <c r="E33" i="78"/>
  <c r="D64" i="78"/>
  <c r="E12" i="78"/>
  <c r="D64" i="81"/>
  <c r="E33" i="81"/>
  <c r="E12" i="81"/>
  <c r="E41" i="17"/>
  <c r="E33" i="17"/>
  <c r="D64" i="17"/>
  <c r="E12" i="17"/>
  <c r="E41" i="16"/>
  <c r="E33" i="16"/>
  <c r="D64" i="16"/>
  <c r="E12" i="16"/>
  <c r="E33" i="11"/>
  <c r="D64" i="11"/>
  <c r="E12" i="11"/>
  <c r="E41" i="10"/>
  <c r="E33" i="10"/>
  <c r="D64" i="10"/>
  <c r="E12" i="10"/>
  <c r="E33" i="5"/>
  <c r="E41" i="5"/>
  <c r="D64" i="5"/>
  <c r="E12" i="5"/>
  <c r="E41" i="4"/>
  <c r="E33" i="4"/>
  <c r="D64" i="4"/>
  <c r="E12" i="4"/>
  <c r="E33" i="194"/>
  <c r="E41" i="11"/>
  <c r="E41" i="81"/>
  <c r="E41" i="78"/>
  <c r="E41" i="79"/>
  <c r="E41" i="122"/>
  <c r="E41" i="121"/>
  <c r="E41" i="120"/>
  <c r="E41" i="67"/>
  <c r="E41" i="53"/>
  <c r="E41" i="94"/>
  <c r="E41" i="93"/>
  <c r="E41" i="199"/>
  <c r="E41" i="217"/>
  <c r="E41" i="95"/>
  <c r="E41" i="6"/>
  <c r="E41" i="7"/>
  <c r="E41" i="8"/>
  <c r="E41" i="9"/>
  <c r="E41" i="13"/>
  <c r="E41" i="58"/>
  <c r="E41" i="61"/>
  <c r="E41" i="60"/>
  <c r="E41" i="84"/>
  <c r="E41" i="28"/>
  <c r="E41" i="22"/>
  <c r="E41" i="49"/>
  <c r="E41" i="29"/>
  <c r="E41" i="30"/>
  <c r="E41" i="48"/>
  <c r="E41" i="83"/>
  <c r="E41" i="42"/>
  <c r="E41" i="188"/>
  <c r="E41" i="195"/>
  <c r="E41" i="196"/>
  <c r="E41" i="209"/>
  <c r="E41" i="210"/>
  <c r="E41" i="197"/>
  <c r="E41" i="156"/>
  <c r="E41" i="112"/>
  <c r="E41" i="96"/>
  <c r="E41" i="151"/>
  <c r="E41" i="152"/>
  <c r="E41" i="211"/>
  <c r="E41" i="218"/>
  <c r="E41" i="106"/>
  <c r="E41" i="123"/>
  <c r="E41" i="33"/>
  <c r="E41" i="34"/>
  <c r="E41" i="124"/>
  <c r="E41" i="57"/>
  <c r="E41" i="55"/>
  <c r="E41" i="43"/>
  <c r="E41" i="189"/>
  <c r="E41" i="212"/>
  <c r="E41" i="202"/>
  <c r="E41" i="201"/>
  <c r="E41" i="24"/>
  <c r="E41" i="149"/>
  <c r="E41" i="148"/>
  <c r="E41" i="224"/>
  <c r="E41" i="186"/>
  <c r="E41" i="153"/>
  <c r="E41" i="47"/>
  <c r="E41" i="27"/>
  <c r="E41" i="70"/>
  <c r="E41" i="71"/>
  <c r="E41" i="72"/>
  <c r="E41" i="73"/>
  <c r="E41" i="74"/>
  <c r="E41" i="75"/>
  <c r="E41" i="77"/>
  <c r="E41" i="36"/>
  <c r="E41" i="37"/>
  <c r="E41" i="161"/>
  <c r="E41" i="115"/>
  <c r="E41" i="92"/>
  <c r="E41" i="90"/>
  <c r="E41" i="76"/>
  <c r="E41" i="138"/>
  <c r="E41" i="136"/>
  <c r="E41" i="137"/>
  <c r="E41" i="163"/>
  <c r="E41" i="164"/>
  <c r="E41" i="114"/>
  <c r="E41" i="193"/>
  <c r="E41" i="88"/>
  <c r="E41" i="167"/>
  <c r="E41" i="129"/>
  <c r="E41" i="168"/>
  <c r="E41" i="169"/>
  <c r="E41" i="46"/>
  <c r="E41" i="89"/>
  <c r="E41" i="128"/>
  <c r="E41" i="85"/>
  <c r="E41" i="103"/>
  <c r="E41" i="102"/>
  <c r="E41" i="104"/>
  <c r="E41" i="170"/>
  <c r="E41" i="165"/>
  <c r="E41" i="166"/>
  <c r="E41" i="214"/>
  <c r="E41" i="220"/>
  <c r="E41" i="171"/>
  <c r="E41" i="38"/>
  <c r="E41" i="23"/>
  <c r="E41" i="25"/>
  <c r="E41" i="173"/>
  <c r="E41" i="174"/>
  <c r="E41" i="130"/>
  <c r="E41" i="39"/>
  <c r="E41" i="100"/>
  <c r="E41" i="99"/>
  <c r="E41" i="205"/>
  <c r="E41" i="101"/>
  <c r="E41" i="143"/>
  <c r="E41" i="144"/>
  <c r="E41" i="142"/>
  <c r="E41" i="147"/>
  <c r="E41" i="179"/>
  <c r="E41" i="146"/>
  <c r="E41" i="133"/>
  <c r="E41" i="132"/>
  <c r="E41" i="135"/>
  <c r="E41" i="113"/>
  <c r="E41" i="140"/>
  <c r="E41" i="227"/>
  <c r="E41" i="175"/>
  <c r="E41" i="215"/>
  <c r="E41" i="216"/>
  <c r="E41" i="159"/>
  <c r="E41" i="109"/>
  <c r="E41" i="108"/>
  <c r="E41" i="187"/>
  <c r="E41" i="177"/>
  <c r="E41" i="41"/>
  <c r="E41" i="40"/>
  <c r="E41" i="64"/>
  <c r="E41" i="110"/>
  <c r="E41" i="20"/>
  <c r="E41" i="62"/>
  <c r="E41" i="26"/>
  <c r="E41" i="105"/>
  <c r="E41" i="63"/>
  <c r="E41" i="191"/>
  <c r="E41" i="228"/>
  <c r="D64" i="194"/>
  <c r="E12" i="194"/>
  <c r="E41" i="1"/>
  <c r="E33" i="1"/>
  <c r="E12" i="1"/>
  <c r="E41" i="194" l="1"/>
  <c r="E12" i="84" l="1"/>
  <c r="E12" i="60"/>
  <c r="E12" i="61"/>
  <c r="E12" i="58"/>
  <c r="E12" i="13"/>
  <c r="E12" i="217" l="1"/>
  <c r="E12" i="199"/>
  <c r="E12" i="93"/>
  <c r="E12" i="94"/>
  <c r="E12" i="53"/>
  <c r="E12" i="79"/>
  <c r="T39" i="1" l="1"/>
  <c r="T38" i="1"/>
  <c r="T37" i="1"/>
  <c r="D71" i="1" l="1"/>
  <c r="D73" i="5"/>
  <c r="D73" i="4"/>
  <c r="D73" i="194"/>
  <c r="D73" i="1"/>
  <c r="E17" i="194" l="1"/>
  <c r="E17" i="4"/>
  <c r="E17" i="5"/>
  <c r="E17" i="10"/>
  <c r="E17" i="11"/>
  <c r="E17" i="16"/>
  <c r="E17" i="17"/>
  <c r="E17" i="81"/>
  <c r="E17" i="78"/>
  <c r="E17" i="79"/>
  <c r="E17" i="122"/>
  <c r="E17" i="121"/>
  <c r="E17" i="120"/>
  <c r="E17" i="69"/>
  <c r="E17" i="67"/>
  <c r="E17" i="53"/>
  <c r="E17" i="94"/>
  <c r="E17" i="93"/>
  <c r="E17" i="95"/>
  <c r="E17" i="6"/>
  <c r="E17" i="7"/>
  <c r="E17" i="8"/>
  <c r="E17" i="9"/>
  <c r="E17" i="13"/>
  <c r="E17" i="58"/>
  <c r="E17" i="61"/>
  <c r="E17" i="60"/>
  <c r="E17" i="84"/>
  <c r="E17" i="73"/>
  <c r="E17" i="1"/>
  <c r="E14" i="194"/>
  <c r="E14" i="4"/>
  <c r="E14" i="5"/>
  <c r="E14" i="10"/>
  <c r="E14" i="11"/>
  <c r="E14" i="16"/>
  <c r="E14" i="17"/>
  <c r="E14" i="81"/>
  <c r="E11" i="81" s="1"/>
  <c r="E14" i="78"/>
  <c r="E14" i="79"/>
  <c r="E11" i="79" s="1"/>
  <c r="E21" i="79" s="1"/>
  <c r="E14" i="122"/>
  <c r="E11" i="122" s="1"/>
  <c r="E21" i="122" s="1"/>
  <c r="E14" i="121"/>
  <c r="E11" i="121" s="1"/>
  <c r="E21" i="121" s="1"/>
  <c r="E14" i="120"/>
  <c r="E14" i="69"/>
  <c r="E14" i="67"/>
  <c r="E14" i="8"/>
  <c r="E14" i="13"/>
  <c r="E14" i="58"/>
  <c r="E14" i="61"/>
  <c r="E14" i="60"/>
  <c r="E14" i="84"/>
  <c r="E14" i="73"/>
  <c r="E14" i="1"/>
  <c r="E11" i="194"/>
  <c r="E11" i="4"/>
  <c r="E21" i="4" s="1"/>
  <c r="E11" i="5"/>
  <c r="E11" i="10"/>
  <c r="E11" i="11"/>
  <c r="E21" i="11" s="1"/>
  <c r="E11" i="16"/>
  <c r="E21" i="16" s="1"/>
  <c r="E11" i="17"/>
  <c r="E21" i="17" s="1"/>
  <c r="E11" i="78"/>
  <c r="E11" i="120"/>
  <c r="E21" i="120" s="1"/>
  <c r="E11" i="69"/>
  <c r="E21" i="69" s="1"/>
  <c r="E11" i="67"/>
  <c r="E21" i="67" s="1"/>
  <c r="E71" i="67" s="1"/>
  <c r="E11" i="53"/>
  <c r="E11" i="94"/>
  <c r="E11" i="93"/>
  <c r="E11" i="199"/>
  <c r="E21" i="199" s="1"/>
  <c r="E11" i="217"/>
  <c r="E21" i="217" s="1"/>
  <c r="E11" i="95"/>
  <c r="E21" i="95" s="1"/>
  <c r="E11" i="6"/>
  <c r="E21" i="6" s="1"/>
  <c r="E11" i="7"/>
  <c r="E21" i="7" s="1"/>
  <c r="E11" i="8"/>
  <c r="E21" i="8" s="1"/>
  <c r="E11" i="9"/>
  <c r="E21" i="9" s="1"/>
  <c r="E11" i="13"/>
  <c r="E11" i="58"/>
  <c r="E21" i="58" s="1"/>
  <c r="E11" i="61"/>
  <c r="E21" i="61" s="1"/>
  <c r="E11" i="60"/>
  <c r="E11" i="84"/>
  <c r="E21" i="84" s="1"/>
  <c r="E11" i="28"/>
  <c r="E21" i="28" s="1"/>
  <c r="E11" i="22"/>
  <c r="E21" i="22" s="1"/>
  <c r="E11" i="49"/>
  <c r="E21" i="49" s="1"/>
  <c r="E11" i="29"/>
  <c r="E21" i="29" s="1"/>
  <c r="E11" i="30"/>
  <c r="E21" i="30" s="1"/>
  <c r="E11" i="48"/>
  <c r="E21" i="48" s="1"/>
  <c r="E11" i="83"/>
  <c r="E21" i="83" s="1"/>
  <c r="E11" i="42"/>
  <c r="E21" i="42" s="1"/>
  <c r="E11" i="188"/>
  <c r="E21" i="188" s="1"/>
  <c r="E11" i="195"/>
  <c r="E21" i="195" s="1"/>
  <c r="E11" i="196"/>
  <c r="E21" i="196" s="1"/>
  <c r="E11" i="209"/>
  <c r="E21" i="209" s="1"/>
  <c r="E11" i="210"/>
  <c r="E21" i="210" s="1"/>
  <c r="E11" i="197"/>
  <c r="E21" i="197" s="1"/>
  <c r="E11" i="112"/>
  <c r="E21" i="112" s="1"/>
  <c r="E11" i="96"/>
  <c r="E21" i="96" s="1"/>
  <c r="E11" i="151"/>
  <c r="E21" i="151" s="1"/>
  <c r="E11" i="152"/>
  <c r="E21" i="152" s="1"/>
  <c r="E48" i="152" s="1"/>
  <c r="E11" i="211"/>
  <c r="E21" i="211" s="1"/>
  <c r="E11" i="218"/>
  <c r="E21" i="218" s="1"/>
  <c r="E11" i="106"/>
  <c r="E21" i="106" s="1"/>
  <c r="E11" i="123"/>
  <c r="E21" i="123" s="1"/>
  <c r="E11" i="33"/>
  <c r="E21" i="33" s="1"/>
  <c r="E11" i="34"/>
  <c r="E21" i="34" s="1"/>
  <c r="E11" i="124"/>
  <c r="E21" i="124" s="1"/>
  <c r="E48" i="124" s="1"/>
  <c r="E11" i="57"/>
  <c r="E21" i="57" s="1"/>
  <c r="E48" i="57" s="1"/>
  <c r="E11" i="55"/>
  <c r="E21" i="55" s="1"/>
  <c r="E48" i="55" s="1"/>
  <c r="E11" i="43"/>
  <c r="E21" i="43" s="1"/>
  <c r="E11" i="189"/>
  <c r="E21" i="189" s="1"/>
  <c r="E48" i="189" s="1"/>
  <c r="E11" i="212"/>
  <c r="E21" i="212" s="1"/>
  <c r="E11" i="202"/>
  <c r="E21" i="202" s="1"/>
  <c r="E11" i="201"/>
  <c r="E21" i="201" s="1"/>
  <c r="E11" i="24"/>
  <c r="E21" i="24" s="1"/>
  <c r="E11" i="149"/>
  <c r="E21" i="149" s="1"/>
  <c r="E11" i="148"/>
  <c r="E21" i="148" s="1"/>
  <c r="E11" i="224"/>
  <c r="E21" i="224" s="1"/>
  <c r="E11" i="186"/>
  <c r="E21" i="186" s="1"/>
  <c r="E48" i="186" s="1"/>
  <c r="E48" i="35"/>
  <c r="E11" i="153"/>
  <c r="E21" i="153" s="1"/>
  <c r="E48" i="153" s="1"/>
  <c r="E11" i="47"/>
  <c r="E21" i="47" s="1"/>
  <c r="E48" i="47" s="1"/>
  <c r="E11" i="27"/>
  <c r="E21" i="27" s="1"/>
  <c r="E48" i="27" s="1"/>
  <c r="E11" i="70"/>
  <c r="E21" i="70" s="1"/>
  <c r="E48" i="70" s="1"/>
  <c r="E11" i="71"/>
  <c r="E21" i="71" s="1"/>
  <c r="E48" i="71" s="1"/>
  <c r="E11" i="72"/>
  <c r="E21" i="72" s="1"/>
  <c r="E48" i="72" s="1"/>
  <c r="E11" i="73"/>
  <c r="E21" i="73" s="1"/>
  <c r="E11" i="74"/>
  <c r="E21" i="74" s="1"/>
  <c r="E48" i="74" s="1"/>
  <c r="E11" i="75"/>
  <c r="E21" i="75" s="1"/>
  <c r="E48" i="75" s="1"/>
  <c r="E11" i="77"/>
  <c r="E21" i="77" s="1"/>
  <c r="E48" i="77" s="1"/>
  <c r="E11" i="36"/>
  <c r="E21" i="36" s="1"/>
  <c r="E11" i="37"/>
  <c r="E21" i="37" s="1"/>
  <c r="E48" i="37" s="1"/>
  <c r="E11" i="161"/>
  <c r="E21" i="161" s="1"/>
  <c r="E48" i="161" s="1"/>
  <c r="E11" i="115"/>
  <c r="E21" i="115" s="1"/>
  <c r="E11" i="92"/>
  <c r="E21" i="92" s="1"/>
  <c r="E11" i="90"/>
  <c r="E21" i="90" s="1"/>
  <c r="E48" i="90" s="1"/>
  <c r="E11" i="76"/>
  <c r="E21" i="76" s="1"/>
  <c r="E48" i="76" s="1"/>
  <c r="E11" i="138"/>
  <c r="E21" i="138" s="1"/>
  <c r="E11" i="136"/>
  <c r="E21" i="136" s="1"/>
  <c r="E48" i="136" s="1"/>
  <c r="E11" i="137"/>
  <c r="E21" i="137" s="1"/>
  <c r="E11" i="163"/>
  <c r="E21" i="163" s="1"/>
  <c r="E11" i="164"/>
  <c r="E21" i="164" s="1"/>
  <c r="E11" i="114"/>
  <c r="E21" i="114" s="1"/>
  <c r="E11" i="193"/>
  <c r="E21" i="193" s="1"/>
  <c r="E11" i="88"/>
  <c r="E21" i="88" s="1"/>
  <c r="E11" i="167"/>
  <c r="E21" i="167" s="1"/>
  <c r="E11" i="129"/>
  <c r="E21" i="129" s="1"/>
  <c r="E11" i="168"/>
  <c r="E21" i="168" s="1"/>
  <c r="E11" i="169"/>
  <c r="E21" i="169" s="1"/>
  <c r="E11" i="46"/>
  <c r="E21" i="46" s="1"/>
  <c r="E11" i="89"/>
  <c r="E21" i="89" s="1"/>
  <c r="E11" i="128"/>
  <c r="E21" i="128" s="1"/>
  <c r="E48" i="128" s="1"/>
  <c r="E11" i="85"/>
  <c r="E21" i="85" s="1"/>
  <c r="E11" i="103"/>
  <c r="E21" i="103" s="1"/>
  <c r="E11" i="102"/>
  <c r="E21" i="102" s="1"/>
  <c r="E11" i="104"/>
  <c r="E21" i="104" s="1"/>
  <c r="E11" i="170"/>
  <c r="E21" i="170" s="1"/>
  <c r="E11" i="165"/>
  <c r="E21" i="165" s="1"/>
  <c r="E11" i="166"/>
  <c r="E21" i="166" s="1"/>
  <c r="E11" i="214"/>
  <c r="E21" i="214" s="1"/>
  <c r="E11" i="220"/>
  <c r="E21" i="220" s="1"/>
  <c r="E11" i="171"/>
  <c r="E21" i="171" s="1"/>
  <c r="E11" i="38"/>
  <c r="E21" i="38" s="1"/>
  <c r="E48" i="38" s="1"/>
  <c r="E11" i="23"/>
  <c r="E21" i="23" s="1"/>
  <c r="E48" i="23" s="1"/>
  <c r="E11" i="25"/>
  <c r="E21" i="25" s="1"/>
  <c r="E48" i="25" s="1"/>
  <c r="E11" i="173"/>
  <c r="E21" i="173" s="1"/>
  <c r="E11" i="174"/>
  <c r="E21" i="174" s="1"/>
  <c r="E11" i="130"/>
  <c r="E21" i="130" s="1"/>
  <c r="E11" i="39"/>
  <c r="E21" i="39" s="1"/>
  <c r="E11" i="100"/>
  <c r="E21" i="100" s="1"/>
  <c r="E11" i="99"/>
  <c r="E21" i="99" s="1"/>
  <c r="E11" i="205"/>
  <c r="E21" i="205" s="1"/>
  <c r="E11" i="101"/>
  <c r="E21" i="101" s="1"/>
  <c r="E48" i="101" s="1"/>
  <c r="E11" i="143"/>
  <c r="E21" i="143" s="1"/>
  <c r="E48" i="143" s="1"/>
  <c r="E11" i="144"/>
  <c r="E21" i="144" s="1"/>
  <c r="E11" i="142"/>
  <c r="E21" i="142" s="1"/>
  <c r="E11" i="147"/>
  <c r="E21" i="147" s="1"/>
  <c r="E11" i="179"/>
  <c r="E21" i="179" s="1"/>
  <c r="E11" i="146"/>
  <c r="E21" i="146" s="1"/>
  <c r="E11" i="133"/>
  <c r="E21" i="133" s="1"/>
  <c r="E48" i="133" s="1"/>
  <c r="E11" i="132"/>
  <c r="E21" i="132" s="1"/>
  <c r="E11" i="135"/>
  <c r="E21" i="135" s="1"/>
  <c r="E11" i="113"/>
  <c r="E21" i="113" s="1"/>
  <c r="E11" i="140"/>
  <c r="E21" i="140" s="1"/>
  <c r="E11" i="227"/>
  <c r="E21" i="227" s="1"/>
  <c r="E11" i="175"/>
  <c r="E21" i="175" s="1"/>
  <c r="E11" i="215"/>
  <c r="E21" i="215" s="1"/>
  <c r="E11" i="216"/>
  <c r="E21" i="216" s="1"/>
  <c r="E11" i="159"/>
  <c r="E21" i="159" s="1"/>
  <c r="E11" i="109"/>
  <c r="E21" i="109" s="1"/>
  <c r="E48" i="109" s="1"/>
  <c r="E11" i="108"/>
  <c r="E21" i="108" s="1"/>
  <c r="E11" i="187"/>
  <c r="E21" i="187" s="1"/>
  <c r="E11" i="177"/>
  <c r="E21" i="177" s="1"/>
  <c r="E48" i="177" s="1"/>
  <c r="E11" i="41"/>
  <c r="E21" i="41" s="1"/>
  <c r="E48" i="41" s="1"/>
  <c r="E11" i="40"/>
  <c r="E21" i="40" s="1"/>
  <c r="E11" i="64"/>
  <c r="E21" i="64" s="1"/>
  <c r="E11" i="110"/>
  <c r="E21" i="110" s="1"/>
  <c r="E48" i="110" s="1"/>
  <c r="E11" i="20"/>
  <c r="E21" i="20" s="1"/>
  <c r="E48" i="20" s="1"/>
  <c r="E11" i="62"/>
  <c r="E21" i="62" s="1"/>
  <c r="E48" i="62" s="1"/>
  <c r="E11" i="26"/>
  <c r="E21" i="26" s="1"/>
  <c r="E11" i="105"/>
  <c r="E21" i="105" s="1"/>
  <c r="E11" i="63"/>
  <c r="E21" i="63" s="1"/>
  <c r="E11" i="191"/>
  <c r="E21" i="191" s="1"/>
  <c r="E48" i="191" s="1"/>
  <c r="E11" i="228"/>
  <c r="E21" i="228" s="1"/>
  <c r="E11" i="1"/>
  <c r="E21" i="1" s="1"/>
  <c r="E71" i="121" l="1"/>
  <c r="E69" i="121"/>
  <c r="V39" i="1"/>
  <c r="W39" i="1" s="1"/>
  <c r="E21" i="60"/>
  <c r="E21" i="13"/>
  <c r="E21" i="94"/>
  <c r="E21" i="53"/>
  <c r="E21" i="10"/>
  <c r="E21" i="194"/>
  <c r="E21" i="81"/>
  <c r="E21" i="93"/>
  <c r="E71" i="93" s="1"/>
  <c r="E21" i="78"/>
  <c r="E21" i="5"/>
  <c r="E26" i="194" l="1"/>
  <c r="E26" i="4"/>
  <c r="E26" i="5"/>
  <c r="E26" i="10"/>
  <c r="E26" i="11"/>
  <c r="E26" i="16"/>
  <c r="E26" i="17"/>
  <c r="E26" i="81"/>
  <c r="E26" i="78"/>
  <c r="E26" i="79"/>
  <c r="E26" i="122"/>
  <c r="E26" i="121"/>
  <c r="E26" i="120"/>
  <c r="E26" i="69"/>
  <c r="E26" i="67"/>
  <c r="E26" i="53"/>
  <c r="E26" i="94"/>
  <c r="E26" i="93"/>
  <c r="E26" i="199"/>
  <c r="E26" i="217"/>
  <c r="E26" i="95"/>
  <c r="E26" i="6"/>
  <c r="E26" i="7"/>
  <c r="E26" i="8"/>
  <c r="E26" i="9"/>
  <c r="E26" i="13"/>
  <c r="E26" i="58"/>
  <c r="E26" i="61"/>
  <c r="E26" i="60"/>
  <c r="E26" i="84"/>
  <c r="E26" i="28"/>
  <c r="E26" i="22"/>
  <c r="E26" i="49"/>
  <c r="E26" i="29"/>
  <c r="E26" i="30"/>
  <c r="E26" i="48"/>
  <c r="E26" i="83"/>
  <c r="E26" i="42"/>
  <c r="E26" i="188"/>
  <c r="E26" i="195"/>
  <c r="E26" i="196"/>
  <c r="E26" i="209"/>
  <c r="E26" i="210"/>
  <c r="E26" i="197"/>
  <c r="E26" i="156"/>
  <c r="E26" i="112"/>
  <c r="E26" i="96"/>
  <c r="E26" i="151"/>
  <c r="E26" i="152"/>
  <c r="E26" i="211"/>
  <c r="E26" i="218"/>
  <c r="E26" i="106"/>
  <c r="E26" i="123"/>
  <c r="E26" i="33"/>
  <c r="E26" i="34"/>
  <c r="E26" i="124"/>
  <c r="E26" i="57"/>
  <c r="E26" i="55"/>
  <c r="E26" i="43"/>
  <c r="E26" i="189"/>
  <c r="E26" i="212"/>
  <c r="E26" i="202"/>
  <c r="E26" i="201"/>
  <c r="E26" i="24"/>
  <c r="E26" i="149"/>
  <c r="E26" i="148"/>
  <c r="E26" i="224"/>
  <c r="E26" i="186"/>
  <c r="E26" i="153"/>
  <c r="E26" i="47"/>
  <c r="E26" i="27"/>
  <c r="E26" i="70"/>
  <c r="E26" i="71"/>
  <c r="E26" i="72"/>
  <c r="E26" i="73"/>
  <c r="E26" i="74"/>
  <c r="E26" i="75"/>
  <c r="E26" i="77"/>
  <c r="E26" i="36"/>
  <c r="E26" i="37"/>
  <c r="E26" i="161"/>
  <c r="E26" i="115"/>
  <c r="E26" i="92"/>
  <c r="E26" i="90"/>
  <c r="E26" i="76"/>
  <c r="E26" i="138"/>
  <c r="E26" i="136"/>
  <c r="E26" i="137"/>
  <c r="E26" i="163"/>
  <c r="E26" i="213"/>
  <c r="E41" i="213" s="1"/>
  <c r="E26" i="164"/>
  <c r="E26" i="114"/>
  <c r="E26" i="226"/>
  <c r="E26" i="193"/>
  <c r="E26" i="88"/>
  <c r="E26" i="167"/>
  <c r="E26" i="129"/>
  <c r="E26" i="168"/>
  <c r="E26" i="169"/>
  <c r="E26" i="46"/>
  <c r="E26" i="89"/>
  <c r="E26" i="128"/>
  <c r="E26" i="85"/>
  <c r="E26" i="103"/>
  <c r="E26" i="102"/>
  <c r="E26" i="104"/>
  <c r="E26" i="170"/>
  <c r="E26" i="165"/>
  <c r="E26" i="166"/>
  <c r="E26" i="214"/>
  <c r="E26" i="220"/>
  <c r="E26" i="171"/>
  <c r="E26" i="38"/>
  <c r="E26" i="23"/>
  <c r="E26" i="25"/>
  <c r="E26" i="173"/>
  <c r="E26" i="174"/>
  <c r="E26" i="130"/>
  <c r="E26" i="39"/>
  <c r="E26" i="100"/>
  <c r="E26" i="99"/>
  <c r="E26" i="205"/>
  <c r="E26" i="101"/>
  <c r="E26" i="143"/>
  <c r="E26" i="144"/>
  <c r="E26" i="142"/>
  <c r="E26" i="147"/>
  <c r="E26" i="179"/>
  <c r="E26" i="146"/>
  <c r="E26" i="133"/>
  <c r="E26" i="132"/>
  <c r="E26" i="135"/>
  <c r="E26" i="134"/>
  <c r="E41" i="134" s="1"/>
  <c r="E26" i="113"/>
  <c r="E26" i="140"/>
  <c r="E26" i="227"/>
  <c r="E26" i="175"/>
  <c r="E26" i="215"/>
  <c r="E26" i="216"/>
  <c r="E26" i="159"/>
  <c r="E26" i="109"/>
  <c r="E26" i="108"/>
  <c r="E26" i="187"/>
  <c r="E26" i="177"/>
  <c r="E26" i="41"/>
  <c r="E26" i="40"/>
  <c r="E26" i="64"/>
  <c r="E26" i="110"/>
  <c r="E26" i="20"/>
  <c r="E26" i="62"/>
  <c r="E26" i="26"/>
  <c r="E26" i="105"/>
  <c r="E26" i="63"/>
  <c r="E26" i="191"/>
  <c r="E26" i="228"/>
  <c r="E26" i="1"/>
  <c r="D64" i="7" l="1"/>
  <c r="E18" i="80" l="1"/>
  <c r="E23" i="80" s="1"/>
  <c r="E74" i="228" l="1"/>
  <c r="E75" i="228" s="1"/>
  <c r="D72" i="228"/>
  <c r="E64" i="228"/>
  <c r="D64" i="228"/>
  <c r="D58" i="228" s="1"/>
  <c r="D74" i="228" s="1"/>
  <c r="D75" i="228" s="1"/>
  <c r="D72" i="227"/>
  <c r="D64" i="227" l="1"/>
  <c r="D58" i="227" s="1"/>
  <c r="D74" i="227" l="1"/>
  <c r="D75" i="227" s="1"/>
  <c r="E58" i="227"/>
  <c r="E64" i="227" l="1"/>
  <c r="E74" i="227"/>
  <c r="E75" i="227" s="1"/>
  <c r="D72" i="226" l="1"/>
  <c r="D64" i="226" l="1"/>
  <c r="D58" i="226" s="1"/>
  <c r="D74" i="226" l="1"/>
  <c r="D75" i="226" s="1"/>
  <c r="E74" i="226" l="1"/>
  <c r="E75" i="226" s="1"/>
  <c r="E64" i="226"/>
  <c r="D64" i="6" l="1"/>
  <c r="D72" i="224" l="1"/>
  <c r="D72" i="223"/>
  <c r="D64" i="224" l="1"/>
  <c r="D58" i="224" s="1"/>
  <c r="D74" i="224" s="1"/>
  <c r="D76" i="224" s="1"/>
  <c r="E58" i="224" l="1"/>
  <c r="E64" i="224" s="1"/>
  <c r="E74" i="224" l="1"/>
  <c r="E76" i="224" s="1"/>
  <c r="E74" i="223"/>
  <c r="E75" i="223" s="1"/>
  <c r="E64" i="223"/>
  <c r="D64" i="8" l="1"/>
  <c r="D71" i="84" l="1"/>
  <c r="D72" i="220" l="1"/>
  <c r="D72" i="219"/>
  <c r="D72" i="218"/>
  <c r="D64" i="219" l="1"/>
  <c r="D58" i="219" s="1"/>
  <c r="D64" i="218"/>
  <c r="D58" i="218" s="1"/>
  <c r="D74" i="218" s="1"/>
  <c r="D76" i="218" s="1"/>
  <c r="D64" i="220"/>
  <c r="D58" i="220" s="1"/>
  <c r="D74" i="219" l="1"/>
  <c r="D75" i="219" s="1"/>
  <c r="E58" i="218"/>
  <c r="E74" i="218" s="1"/>
  <c r="E76" i="218" s="1"/>
  <c r="D74" i="220"/>
  <c r="D75" i="220" s="1"/>
  <c r="E58" i="220"/>
  <c r="E74" i="219"/>
  <c r="E75" i="219" s="1"/>
  <c r="E64" i="218"/>
  <c r="E74" i="220" l="1"/>
  <c r="E75" i="220" s="1"/>
  <c r="E64" i="220"/>
  <c r="D71" i="8" l="1"/>
  <c r="D73" i="10" l="1"/>
  <c r="D73" i="11"/>
  <c r="D73" i="17"/>
  <c r="D73" i="69"/>
  <c r="D73" i="7"/>
  <c r="D64" i="48"/>
  <c r="D73" i="48"/>
  <c r="D64" i="196"/>
  <c r="D73" i="196"/>
  <c r="D64" i="70"/>
  <c r="D73" i="70"/>
  <c r="D64" i="71"/>
  <c r="D58" i="71" s="1"/>
  <c r="D73" i="71"/>
  <c r="D64" i="72"/>
  <c r="D73" i="72"/>
  <c r="D64" i="73"/>
  <c r="D58" i="73" s="1"/>
  <c r="D73" i="73"/>
  <c r="D64" i="74"/>
  <c r="D58" i="74" s="1"/>
  <c r="E58" i="74" s="1"/>
  <c r="E64" i="74" s="1"/>
  <c r="D73" i="74"/>
  <c r="D64" i="55"/>
  <c r="D58" i="55" s="1"/>
  <c r="D73" i="55"/>
  <c r="D64" i="37"/>
  <c r="D73" i="37"/>
  <c r="D64" i="90"/>
  <c r="D58" i="90" s="1"/>
  <c r="D73" i="90"/>
  <c r="D64" i="153"/>
  <c r="D58" i="153" s="1"/>
  <c r="D73" i="153"/>
  <c r="D64" i="23"/>
  <c r="D73" i="23"/>
  <c r="D64" i="143"/>
  <c r="D58" i="143" s="1"/>
  <c r="D73" i="143"/>
  <c r="D64" i="134"/>
  <c r="D58" i="134" s="1"/>
  <c r="D73" i="134"/>
  <c r="D64" i="177"/>
  <c r="D73" i="177"/>
  <c r="D64" i="110"/>
  <c r="D58" i="110" s="1"/>
  <c r="D73" i="110"/>
  <c r="D64" i="20"/>
  <c r="D73" i="20"/>
  <c r="D73" i="217"/>
  <c r="D72" i="217"/>
  <c r="D71" i="217"/>
  <c r="D71" i="4"/>
  <c r="D71" i="5"/>
  <c r="D71" i="10"/>
  <c r="D71" i="11"/>
  <c r="D71" i="16"/>
  <c r="D71" i="17"/>
  <c r="D71" i="81"/>
  <c r="D71" i="78"/>
  <c r="D71" i="79"/>
  <c r="D71" i="122"/>
  <c r="D71" i="121"/>
  <c r="D71" i="120"/>
  <c r="D71" i="69"/>
  <c r="D71" i="67"/>
  <c r="D71" i="53"/>
  <c r="D71" i="94"/>
  <c r="D71" i="93"/>
  <c r="D71" i="199"/>
  <c r="D71" i="194"/>
  <c r="D72" i="216"/>
  <c r="D72" i="215"/>
  <c r="D72" i="214"/>
  <c r="D72" i="213"/>
  <c r="D72" i="212"/>
  <c r="D72" i="211"/>
  <c r="D72" i="210"/>
  <c r="D72" i="209"/>
  <c r="D72" i="206"/>
  <c r="D72" i="205"/>
  <c r="D72" i="201"/>
  <c r="D72" i="202"/>
  <c r="D58" i="20"/>
  <c r="D58" i="177"/>
  <c r="D58" i="23"/>
  <c r="D58" i="37"/>
  <c r="D58" i="72"/>
  <c r="D74" i="72" s="1"/>
  <c r="D58" i="70"/>
  <c r="D58" i="84"/>
  <c r="D73" i="84"/>
  <c r="D58" i="60"/>
  <c r="D73" i="60"/>
  <c r="D58" i="61"/>
  <c r="D73" i="61"/>
  <c r="D58" i="58"/>
  <c r="D73" i="58"/>
  <c r="D58" i="13"/>
  <c r="D73" i="13"/>
  <c r="D64" i="9"/>
  <c r="D73" i="9"/>
  <c r="D58" i="8"/>
  <c r="D73" i="8"/>
  <c r="D58" i="6"/>
  <c r="D73" i="6"/>
  <c r="D71" i="95"/>
  <c r="D58" i="95"/>
  <c r="D72" i="199"/>
  <c r="D58" i="199"/>
  <c r="D73" i="199"/>
  <c r="D72" i="197"/>
  <c r="D72" i="196"/>
  <c r="D72" i="195"/>
  <c r="D58" i="196"/>
  <c r="D74" i="196" s="1"/>
  <c r="D73" i="95"/>
  <c r="D58" i="93"/>
  <c r="D58" i="94"/>
  <c r="D73" i="94"/>
  <c r="D58" i="53"/>
  <c r="D73" i="53"/>
  <c r="D58" i="67"/>
  <c r="D73" i="67"/>
  <c r="D58" i="69"/>
  <c r="D58" i="120"/>
  <c r="D73" i="120"/>
  <c r="D58" i="10"/>
  <c r="D58" i="11"/>
  <c r="D58" i="16"/>
  <c r="D58" i="17"/>
  <c r="D58" i="81"/>
  <c r="D58" i="78"/>
  <c r="D58" i="79"/>
  <c r="D58" i="122"/>
  <c r="D58" i="121"/>
  <c r="D58" i="5"/>
  <c r="D73" i="16"/>
  <c r="D73" i="81"/>
  <c r="D73" i="78"/>
  <c r="D73" i="79"/>
  <c r="D73" i="122"/>
  <c r="D73" i="121"/>
  <c r="D72" i="10"/>
  <c r="D72" i="11"/>
  <c r="D72" i="16"/>
  <c r="D72" i="78"/>
  <c r="D72" i="79"/>
  <c r="D72" i="122"/>
  <c r="D72" i="121"/>
  <c r="D72" i="5"/>
  <c r="D58" i="4"/>
  <c r="D58" i="194"/>
  <c r="D58" i="1"/>
  <c r="D58" i="48"/>
  <c r="D64" i="30"/>
  <c r="D58" i="30" s="1"/>
  <c r="D72" i="191"/>
  <c r="D72" i="63"/>
  <c r="D72" i="105"/>
  <c r="D72" i="26"/>
  <c r="D72" i="62"/>
  <c r="D72" i="20"/>
  <c r="D72" i="110"/>
  <c r="D72" i="64"/>
  <c r="D72" i="40"/>
  <c r="D72" i="41"/>
  <c r="D72" i="177"/>
  <c r="D72" i="187"/>
  <c r="D72" i="108"/>
  <c r="D72" i="109"/>
  <c r="D72" i="159"/>
  <c r="D72" i="176"/>
  <c r="D72" i="175"/>
  <c r="D72" i="140"/>
  <c r="D72" i="113"/>
  <c r="D72" i="134"/>
  <c r="D72" i="135"/>
  <c r="D72" i="132"/>
  <c r="D72" i="133"/>
  <c r="D72" i="146"/>
  <c r="D72" i="179"/>
  <c r="D72" i="147"/>
  <c r="D72" i="142"/>
  <c r="D72" i="117"/>
  <c r="D72" i="145"/>
  <c r="D72" i="144"/>
  <c r="D72" i="119"/>
  <c r="D72" i="143"/>
  <c r="D72" i="118"/>
  <c r="D72" i="101"/>
  <c r="D72" i="99"/>
  <c r="D72" i="100"/>
  <c r="D72" i="39"/>
  <c r="D72" i="130"/>
  <c r="D72" i="174"/>
  <c r="D72" i="173"/>
  <c r="D72" i="25"/>
  <c r="D72" i="23"/>
  <c r="D72" i="38"/>
  <c r="D72" i="171"/>
  <c r="D72" i="166"/>
  <c r="D72" i="165"/>
  <c r="E75" i="190"/>
  <c r="D72" i="190"/>
  <c r="D72" i="170"/>
  <c r="D72" i="104"/>
  <c r="D72" i="102"/>
  <c r="D72" i="103"/>
  <c r="D72" i="85"/>
  <c r="D72" i="128"/>
  <c r="D72" i="89"/>
  <c r="D72" i="46"/>
  <c r="D72" i="169"/>
  <c r="D72" i="168"/>
  <c r="D72" i="129"/>
  <c r="D72" i="167"/>
  <c r="D72" i="88"/>
  <c r="D72" i="193"/>
  <c r="D72" i="114"/>
  <c r="D72" i="164"/>
  <c r="D72" i="163"/>
  <c r="D72" i="137"/>
  <c r="D72" i="136"/>
  <c r="D72" i="138"/>
  <c r="D72" i="76"/>
  <c r="D72" i="90"/>
  <c r="D72" i="92"/>
  <c r="D72" i="115"/>
  <c r="D72" i="161"/>
  <c r="D72" i="37"/>
  <c r="D72" i="36"/>
  <c r="D72" i="77"/>
  <c r="D72" i="75"/>
  <c r="D72" i="74"/>
  <c r="D72" i="73"/>
  <c r="D72" i="72"/>
  <c r="D72" i="71"/>
  <c r="D72" i="27"/>
  <c r="D72" i="47"/>
  <c r="D72" i="153"/>
  <c r="D72" i="35"/>
  <c r="D72" i="186"/>
  <c r="D72" i="148"/>
  <c r="D72" i="149"/>
  <c r="D72" i="24"/>
  <c r="D72" i="56"/>
  <c r="D72" i="189"/>
  <c r="D72" i="43"/>
  <c r="D72" i="55"/>
  <c r="D72" i="57"/>
  <c r="D72" i="124"/>
  <c r="D72" i="34"/>
  <c r="D72" i="33"/>
  <c r="D72" i="123"/>
  <c r="D72" i="106"/>
  <c r="D72" i="152"/>
  <c r="D72" i="107"/>
  <c r="D72" i="151"/>
  <c r="D72" i="96"/>
  <c r="D72" i="112"/>
  <c r="D72" i="156"/>
  <c r="D72" i="188"/>
  <c r="D72" i="42"/>
  <c r="D72" i="83"/>
  <c r="D72" i="48"/>
  <c r="D72" i="30"/>
  <c r="D72" i="29"/>
  <c r="D72" i="49"/>
  <c r="D72" i="22"/>
  <c r="D72" i="28"/>
  <c r="D72" i="14"/>
  <c r="D72" i="84"/>
  <c r="D72" i="60"/>
  <c r="D72" i="61"/>
  <c r="D72" i="58"/>
  <c r="D72" i="13"/>
  <c r="D72" i="9"/>
  <c r="D72" i="7"/>
  <c r="D72" i="6"/>
  <c r="D72" i="95"/>
  <c r="D72" i="93"/>
  <c r="D72" i="53"/>
  <c r="E72" i="53" s="1"/>
  <c r="D72" i="120"/>
  <c r="D74" i="120" s="1"/>
  <c r="D75" i="120" s="1"/>
  <c r="D72" i="4"/>
  <c r="D74" i="4" s="1"/>
  <c r="D75" i="4" s="1"/>
  <c r="D72" i="194"/>
  <c r="E69" i="53"/>
  <c r="E64" i="53"/>
  <c r="E73" i="53"/>
  <c r="D75" i="196"/>
  <c r="E58" i="196"/>
  <c r="E64" i="196" s="1"/>
  <c r="D76" i="72"/>
  <c r="E58" i="72"/>
  <c r="E64" i="72" s="1"/>
  <c r="E58" i="177"/>
  <c r="E64" i="177" s="1"/>
  <c r="E58" i="20"/>
  <c r="E64" i="20" s="1"/>
  <c r="D74" i="70" l="1"/>
  <c r="D76" i="70" s="1"/>
  <c r="D74" i="194"/>
  <c r="D75" i="194" s="1"/>
  <c r="D74" i="95"/>
  <c r="D75" i="95" s="1"/>
  <c r="E58" i="37"/>
  <c r="E64" i="37" s="1"/>
  <c r="E58" i="110"/>
  <c r="E64" i="110" s="1"/>
  <c r="E58" i="153"/>
  <c r="E64" i="153" s="1"/>
  <c r="D74" i="60"/>
  <c r="D75" i="60" s="1"/>
  <c r="E72" i="93"/>
  <c r="D72" i="69"/>
  <c r="E58" i="70"/>
  <c r="E64" i="70" s="1"/>
  <c r="D74" i="58"/>
  <c r="D75" i="58" s="1"/>
  <c r="E73" i="6"/>
  <c r="D74" i="6"/>
  <c r="D75" i="6" s="1"/>
  <c r="D72" i="94"/>
  <c r="D74" i="69"/>
  <c r="D75" i="69" s="1"/>
  <c r="E72" i="4"/>
  <c r="D64" i="156"/>
  <c r="D58" i="156" s="1"/>
  <c r="D58" i="9"/>
  <c r="D74" i="9" s="1"/>
  <c r="D72" i="8"/>
  <c r="D74" i="8" s="1"/>
  <c r="D75" i="8" s="1"/>
  <c r="E76" i="93"/>
  <c r="E76" i="53"/>
  <c r="D74" i="53"/>
  <c r="D75" i="53" s="1"/>
  <c r="E75" i="53" s="1"/>
  <c r="D72" i="67"/>
  <c r="D74" i="67" s="1"/>
  <c r="D75" i="67" s="1"/>
  <c r="E58" i="6"/>
  <c r="E74" i="6" s="1"/>
  <c r="E75" i="6" s="1"/>
  <c r="E64" i="6"/>
  <c r="D64" i="191"/>
  <c r="D58" i="191" s="1"/>
  <c r="E58" i="191" s="1"/>
  <c r="D64" i="63"/>
  <c r="D58" i="63" s="1"/>
  <c r="D74" i="63" s="1"/>
  <c r="D75" i="63" s="1"/>
  <c r="D64" i="105"/>
  <c r="D58" i="105" s="1"/>
  <c r="E58" i="105" s="1"/>
  <c r="E64" i="105" s="1"/>
  <c r="D64" i="26"/>
  <c r="D58" i="26" s="1"/>
  <c r="D64" i="62"/>
  <c r="D58" i="62" s="1"/>
  <c r="D64" i="40"/>
  <c r="D58" i="40" s="1"/>
  <c r="D64" i="187"/>
  <c r="D58" i="187" s="1"/>
  <c r="D64" i="108"/>
  <c r="D58" i="108" s="1"/>
  <c r="E58" i="108" s="1"/>
  <c r="D64" i="216"/>
  <c r="D58" i="216" s="1"/>
  <c r="E58" i="216" s="1"/>
  <c r="D64" i="215"/>
  <c r="D58" i="215" s="1"/>
  <c r="D64" i="175"/>
  <c r="D58" i="175" s="1"/>
  <c r="E58" i="175" s="1"/>
  <c r="D64" i="140"/>
  <c r="D58" i="140" s="1"/>
  <c r="D64" i="113"/>
  <c r="D58" i="113" s="1"/>
  <c r="D64" i="146"/>
  <c r="D58" i="146" s="1"/>
  <c r="E58" i="146" s="1"/>
  <c r="D64" i="117"/>
  <c r="D58" i="117" s="1"/>
  <c r="D64" i="145"/>
  <c r="D58" i="145" s="1"/>
  <c r="D64" i="144"/>
  <c r="D58" i="144" s="1"/>
  <c r="D64" i="119"/>
  <c r="D58" i="119" s="1"/>
  <c r="D74" i="119" s="1"/>
  <c r="D75" i="119" s="1"/>
  <c r="D64" i="118"/>
  <c r="D58" i="118" s="1"/>
  <c r="D64" i="205"/>
  <c r="D58" i="205" s="1"/>
  <c r="D64" i="99"/>
  <c r="D58" i="99" s="1"/>
  <c r="D64" i="100"/>
  <c r="D58" i="100" s="1"/>
  <c r="E58" i="100" s="1"/>
  <c r="D64" i="39"/>
  <c r="D58" i="39" s="1"/>
  <c r="D64" i="130"/>
  <c r="D58" i="130" s="1"/>
  <c r="D64" i="174"/>
  <c r="D58" i="174" s="1"/>
  <c r="D64" i="25"/>
  <c r="D58" i="25" s="1"/>
  <c r="E58" i="25" s="1"/>
  <c r="E64" i="25" s="1"/>
  <c r="D64" i="38"/>
  <c r="D58" i="38" s="1"/>
  <c r="D64" i="171"/>
  <c r="D58" i="171" s="1"/>
  <c r="E58" i="171" s="1"/>
  <c r="E64" i="171" s="1"/>
  <c r="D64" i="214"/>
  <c r="D58" i="214" s="1"/>
  <c r="E58" i="214" s="1"/>
  <c r="D64" i="166"/>
  <c r="D58" i="166" s="1"/>
  <c r="D64" i="165"/>
  <c r="D58" i="165" s="1"/>
  <c r="D64" i="190"/>
  <c r="D58" i="190" s="1"/>
  <c r="D74" i="190" s="1"/>
  <c r="D75" i="190" s="1"/>
  <c r="D64" i="170"/>
  <c r="D58" i="170" s="1"/>
  <c r="E58" i="170" s="1"/>
  <c r="E64" i="170" s="1"/>
  <c r="D64" i="102"/>
  <c r="D58" i="102" s="1"/>
  <c r="D74" i="102" s="1"/>
  <c r="D75" i="102" s="1"/>
  <c r="D64" i="103"/>
  <c r="D58" i="103" s="1"/>
  <c r="D64" i="89"/>
  <c r="D58" i="89" s="1"/>
  <c r="D74" i="89" s="1"/>
  <c r="D75" i="89" s="1"/>
  <c r="D64" i="168"/>
  <c r="D58" i="168" s="1"/>
  <c r="D64" i="88"/>
  <c r="D58" i="88" s="1"/>
  <c r="D74" i="88" s="1"/>
  <c r="D75" i="88" s="1"/>
  <c r="D64" i="114"/>
  <c r="D58" i="114" s="1"/>
  <c r="D64" i="164"/>
  <c r="D58" i="164" s="1"/>
  <c r="D64" i="92"/>
  <c r="D58" i="92" s="1"/>
  <c r="D64" i="163"/>
  <c r="D58" i="163" s="1"/>
  <c r="E58" i="163" s="1"/>
  <c r="E64" i="163" s="1"/>
  <c r="D64" i="137"/>
  <c r="D58" i="137" s="1"/>
  <c r="D64" i="136"/>
  <c r="D58" i="136" s="1"/>
  <c r="D74" i="136" s="1"/>
  <c r="D75" i="136" s="1"/>
  <c r="D64" i="138"/>
  <c r="D58" i="138" s="1"/>
  <c r="D74" i="90"/>
  <c r="D75" i="90" s="1"/>
  <c r="E58" i="90"/>
  <c r="E64" i="90" s="1"/>
  <c r="D64" i="115"/>
  <c r="D58" i="115" s="1"/>
  <c r="D64" i="161"/>
  <c r="D58" i="161" s="1"/>
  <c r="D64" i="36"/>
  <c r="D58" i="36" s="1"/>
  <c r="D64" i="77"/>
  <c r="D58" i="77" s="1"/>
  <c r="E58" i="77" s="1"/>
  <c r="D64" i="75"/>
  <c r="D58" i="75" s="1"/>
  <c r="D74" i="75" s="1"/>
  <c r="D76" i="75" s="1"/>
  <c r="D74" i="71"/>
  <c r="D76" i="71" s="1"/>
  <c r="E58" i="71"/>
  <c r="E64" i="71" s="1"/>
  <c r="D64" i="149"/>
  <c r="D58" i="149" s="1"/>
  <c r="D64" i="24"/>
  <c r="D58" i="24" s="1"/>
  <c r="D74" i="24" s="1"/>
  <c r="D76" i="24" s="1"/>
  <c r="D64" i="201"/>
  <c r="D58" i="201" s="1"/>
  <c r="D74" i="201" s="1"/>
  <c r="D75" i="201" s="1"/>
  <c r="D64" i="212"/>
  <c r="D58" i="212" s="1"/>
  <c r="D74" i="212" s="1"/>
  <c r="D75" i="212" s="1"/>
  <c r="D64" i="56"/>
  <c r="D58" i="56" s="1"/>
  <c r="D64" i="189"/>
  <c r="D58" i="189" s="1"/>
  <c r="E58" i="189" s="1"/>
  <c r="D64" i="43"/>
  <c r="D58" i="43" s="1"/>
  <c r="D64" i="124"/>
  <c r="D58" i="124" s="1"/>
  <c r="D64" i="34"/>
  <c r="D58" i="34" s="1"/>
  <c r="D64" i="123"/>
  <c r="D58" i="123" s="1"/>
  <c r="D64" i="106"/>
  <c r="D58" i="106" s="1"/>
  <c r="D64" i="211"/>
  <c r="D58" i="211" s="1"/>
  <c r="E58" i="211" s="1"/>
  <c r="D64" i="107"/>
  <c r="D58" i="107" s="1"/>
  <c r="D64" i="151"/>
  <c r="D58" i="151" s="1"/>
  <c r="D64" i="96"/>
  <c r="D58" i="96" s="1"/>
  <c r="D64" i="112"/>
  <c r="D58" i="112" s="1"/>
  <c r="E58" i="112" s="1"/>
  <c r="D64" i="28"/>
  <c r="D58" i="28" s="1"/>
  <c r="E58" i="28" s="1"/>
  <c r="D72" i="81"/>
  <c r="D74" i="81" s="1"/>
  <c r="D75" i="81" s="1"/>
  <c r="D72" i="17"/>
  <c r="E72" i="17" s="1"/>
  <c r="E71" i="95"/>
  <c r="E64" i="95"/>
  <c r="E58" i="95"/>
  <c r="E73" i="95"/>
  <c r="D74" i="122"/>
  <c r="D75" i="122" s="1"/>
  <c r="E58" i="63"/>
  <c r="D74" i="199"/>
  <c r="D75" i="199" s="1"/>
  <c r="D74" i="84"/>
  <c r="D75" i="84" s="1"/>
  <c r="D74" i="23"/>
  <c r="E73" i="23"/>
  <c r="D64" i="41"/>
  <c r="D58" i="41" s="1"/>
  <c r="D64" i="101"/>
  <c r="D58" i="101" s="1"/>
  <c r="D64" i="173"/>
  <c r="D58" i="173" s="1"/>
  <c r="D64" i="104"/>
  <c r="D58" i="104" s="1"/>
  <c r="D64" i="213"/>
  <c r="D58" i="213" s="1"/>
  <c r="D74" i="213" s="1"/>
  <c r="D75" i="213" s="1"/>
  <c r="D64" i="76"/>
  <c r="D58" i="76" s="1"/>
  <c r="E58" i="76" s="1"/>
  <c r="D74" i="73"/>
  <c r="D76" i="73" s="1"/>
  <c r="E58" i="73"/>
  <c r="E64" i="73" s="1"/>
  <c r="D64" i="27"/>
  <c r="D58" i="27" s="1"/>
  <c r="D74" i="27" s="1"/>
  <c r="D76" i="27" s="1"/>
  <c r="D64" i="202"/>
  <c r="D58" i="202" s="1"/>
  <c r="E58" i="202" s="1"/>
  <c r="D64" i="57"/>
  <c r="D58" i="57" s="1"/>
  <c r="D64" i="33"/>
  <c r="D58" i="33" s="1"/>
  <c r="E58" i="53"/>
  <c r="E74" i="53" s="1"/>
  <c r="E64" i="4"/>
  <c r="D74" i="13"/>
  <c r="D75" i="13" s="1"/>
  <c r="D72" i="1"/>
  <c r="E58" i="199"/>
  <c r="E64" i="199"/>
  <c r="E73" i="199"/>
  <c r="E69" i="199"/>
  <c r="D74" i="20"/>
  <c r="D75" i="20" s="1"/>
  <c r="D74" i="110"/>
  <c r="D75" i="110" s="1"/>
  <c r="D64" i="64"/>
  <c r="D58" i="64" s="1"/>
  <c r="E58" i="64" s="1"/>
  <c r="D75" i="177"/>
  <c r="D74" i="177" s="1"/>
  <c r="D64" i="109"/>
  <c r="D58" i="109" s="1"/>
  <c r="D64" i="159"/>
  <c r="D58" i="159" s="1"/>
  <c r="D64" i="176"/>
  <c r="D58" i="176" s="1"/>
  <c r="D74" i="134"/>
  <c r="D75" i="134" s="1"/>
  <c r="D64" i="135"/>
  <c r="D58" i="135" s="1"/>
  <c r="D64" i="132"/>
  <c r="D58" i="132" s="1"/>
  <c r="D64" i="133"/>
  <c r="D58" i="133" s="1"/>
  <c r="D64" i="179"/>
  <c r="D58" i="179" s="1"/>
  <c r="D64" i="147"/>
  <c r="D58" i="147" s="1"/>
  <c r="D74" i="147" s="1"/>
  <c r="D76" i="147" s="1"/>
  <c r="D64" i="142"/>
  <c r="D58" i="142" s="1"/>
  <c r="D74" i="143"/>
  <c r="D75" i="143" s="1"/>
  <c r="D64" i="85"/>
  <c r="D58" i="85" s="1"/>
  <c r="D64" i="128"/>
  <c r="D64" i="46"/>
  <c r="D58" i="46" s="1"/>
  <c r="E58" i="46" s="1"/>
  <c r="D64" i="169"/>
  <c r="D58" i="169" s="1"/>
  <c r="E58" i="169" s="1"/>
  <c r="D64" i="129"/>
  <c r="D58" i="129" s="1"/>
  <c r="D74" i="129" s="1"/>
  <c r="D75" i="129" s="1"/>
  <c r="D64" i="167"/>
  <c r="D58" i="167" s="1"/>
  <c r="D74" i="167" s="1"/>
  <c r="D75" i="167" s="1"/>
  <c r="D64" i="193"/>
  <c r="D58" i="193" s="1"/>
  <c r="E58" i="193" s="1"/>
  <c r="E74" i="193" s="1"/>
  <c r="E75" i="193" s="1"/>
  <c r="D74" i="37"/>
  <c r="D75" i="37" s="1"/>
  <c r="D74" i="74"/>
  <c r="D76" i="74" s="1"/>
  <c r="D64" i="47"/>
  <c r="D58" i="47" s="1"/>
  <c r="D74" i="153"/>
  <c r="D75" i="153" s="1"/>
  <c r="D64" i="35"/>
  <c r="D58" i="35" s="1"/>
  <c r="D64" i="186"/>
  <c r="D58" i="186" s="1"/>
  <c r="D64" i="148"/>
  <c r="D58" i="148" s="1"/>
  <c r="D64" i="152"/>
  <c r="D58" i="152" s="1"/>
  <c r="D64" i="197"/>
  <c r="D58" i="197" s="1"/>
  <c r="D64" i="210"/>
  <c r="D58" i="210" s="1"/>
  <c r="E58" i="210" s="1"/>
  <c r="D64" i="209"/>
  <c r="D58" i="209" s="1"/>
  <c r="D64" i="195"/>
  <c r="D58" i="195" s="1"/>
  <c r="E58" i="195" s="1"/>
  <c r="D64" i="188"/>
  <c r="D58" i="188" s="1"/>
  <c r="D64" i="42"/>
  <c r="D58" i="42" s="1"/>
  <c r="E58" i="42" s="1"/>
  <c r="D64" i="83"/>
  <c r="D58" i="83" s="1"/>
  <c r="D74" i="83" s="1"/>
  <c r="D75" i="83" s="1"/>
  <c r="D74" i="48"/>
  <c r="D75" i="48" s="1"/>
  <c r="D64" i="29"/>
  <c r="D58" i="29" s="1"/>
  <c r="E58" i="29" s="1"/>
  <c r="D64" i="49"/>
  <c r="D58" i="49" s="1"/>
  <c r="E58" i="49" s="1"/>
  <c r="D64" i="22"/>
  <c r="D58" i="22" s="1"/>
  <c r="D74" i="22" s="1"/>
  <c r="D75" i="22" s="1"/>
  <c r="D64" i="14"/>
  <c r="D58" i="14" s="1"/>
  <c r="D74" i="61"/>
  <c r="D75" i="61" s="1"/>
  <c r="D75" i="9"/>
  <c r="E58" i="215"/>
  <c r="D74" i="215"/>
  <c r="D75" i="215" s="1"/>
  <c r="D74" i="146"/>
  <c r="D76" i="146" s="1"/>
  <c r="E58" i="143"/>
  <c r="E64" i="143" s="1"/>
  <c r="D74" i="118"/>
  <c r="D75" i="118" s="1"/>
  <c r="E74" i="171"/>
  <c r="E75" i="171" s="1"/>
  <c r="E58" i="88"/>
  <c r="D74" i="114"/>
  <c r="D75" i="114" s="1"/>
  <c r="E58" i="114"/>
  <c r="E58" i="36"/>
  <c r="D74" i="36"/>
  <c r="D75" i="36" s="1"/>
  <c r="D74" i="189"/>
  <c r="D75" i="189" s="1"/>
  <c r="D74" i="55"/>
  <c r="D75" i="55" s="1"/>
  <c r="E58" i="55"/>
  <c r="E64" i="55" s="1"/>
  <c r="D74" i="112"/>
  <c r="D75" i="112" s="1"/>
  <c r="D74" i="156"/>
  <c r="D75" i="156" s="1"/>
  <c r="E64" i="93"/>
  <c r="E69" i="93"/>
  <c r="D73" i="93"/>
  <c r="D74" i="93" s="1"/>
  <c r="D75" i="93" s="1"/>
  <c r="E75" i="93" s="1"/>
  <c r="E73" i="67"/>
  <c r="E69" i="67"/>
  <c r="E72" i="67"/>
  <c r="E58" i="67"/>
  <c r="D74" i="121"/>
  <c r="D74" i="78"/>
  <c r="D75" i="78" s="1"/>
  <c r="E64" i="81"/>
  <c r="E69" i="81"/>
  <c r="E58" i="81"/>
  <c r="E72" i="81"/>
  <c r="E64" i="17"/>
  <c r="E58" i="17"/>
  <c r="E69" i="17"/>
  <c r="E73" i="17"/>
  <c r="D74" i="11"/>
  <c r="D75" i="11" s="1"/>
  <c r="D74" i="10"/>
  <c r="D75" i="10" s="1"/>
  <c r="D74" i="5"/>
  <c r="D75" i="5" s="1"/>
  <c r="E64" i="5"/>
  <c r="E58" i="5"/>
  <c r="E73" i="5"/>
  <c r="E72" i="5"/>
  <c r="E69" i="5"/>
  <c r="E58" i="4"/>
  <c r="E73" i="4"/>
  <c r="E69" i="4"/>
  <c r="E74" i="25"/>
  <c r="E75" i="25" s="1"/>
  <c r="D74" i="28"/>
  <c r="D75" i="28" s="1"/>
  <c r="E64" i="194"/>
  <c r="E58" i="194"/>
  <c r="E73" i="194"/>
  <c r="E69" i="194"/>
  <c r="E73" i="120"/>
  <c r="E72" i="120"/>
  <c r="E69" i="120"/>
  <c r="E64" i="120"/>
  <c r="E58" i="120"/>
  <c r="E72" i="69"/>
  <c r="E73" i="69"/>
  <c r="E58" i="69"/>
  <c r="E64" i="69"/>
  <c r="E71" i="69"/>
  <c r="E69" i="69"/>
  <c r="D74" i="30"/>
  <c r="D75" i="30" s="1"/>
  <c r="E58" i="30"/>
  <c r="D74" i="16"/>
  <c r="D75" i="16" s="1"/>
  <c r="E58" i="99"/>
  <c r="D74" i="99"/>
  <c r="D75" i="99" s="1"/>
  <c r="D74" i="206"/>
  <c r="D75" i="206" s="1"/>
  <c r="E73" i="81"/>
  <c r="E64" i="67"/>
  <c r="E58" i="93"/>
  <c r="E58" i="129"/>
  <c r="D74" i="25"/>
  <c r="D75" i="25" s="1"/>
  <c r="E73" i="177"/>
  <c r="E74" i="177" s="1"/>
  <c r="E75" i="177" s="1"/>
  <c r="E73" i="37"/>
  <c r="E73" i="71"/>
  <c r="E74" i="71" s="1"/>
  <c r="E76" i="71" s="1"/>
  <c r="D74" i="117"/>
  <c r="D75" i="117" s="1"/>
  <c r="E58" i="174"/>
  <c r="D74" i="174"/>
  <c r="D75" i="174" s="1"/>
  <c r="E58" i="165"/>
  <c r="D74" i="165"/>
  <c r="D75" i="165" s="1"/>
  <c r="E58" i="103"/>
  <c r="D74" i="103"/>
  <c r="D75" i="103" s="1"/>
  <c r="E73" i="217"/>
  <c r="E69" i="217"/>
  <c r="E64" i="217"/>
  <c r="E72" i="194"/>
  <c r="E58" i="75"/>
  <c r="D74" i="163"/>
  <c r="D75" i="163" s="1"/>
  <c r="D74" i="170"/>
  <c r="D75" i="170" s="1"/>
  <c r="D74" i="100"/>
  <c r="D75" i="100" s="1"/>
  <c r="E74" i="134"/>
  <c r="E75" i="134" s="1"/>
  <c r="E73" i="153"/>
  <c r="E74" i="153" s="1"/>
  <c r="E75" i="153" s="1"/>
  <c r="E73" i="73"/>
  <c r="E73" i="70"/>
  <c r="E74" i="70" s="1"/>
  <c r="E76" i="70" s="1"/>
  <c r="E58" i="201"/>
  <c r="E58" i="205"/>
  <c r="D74" i="205"/>
  <c r="D75" i="205" s="1"/>
  <c r="E58" i="209"/>
  <c r="D74" i="209"/>
  <c r="D75" i="209" s="1"/>
  <c r="D74" i="216"/>
  <c r="D75" i="216" s="1"/>
  <c r="E73" i="20"/>
  <c r="E74" i="20" s="1"/>
  <c r="E75" i="20" s="1"/>
  <c r="E73" i="143"/>
  <c r="E73" i="55"/>
  <c r="E73" i="72"/>
  <c r="E74" i="72" s="1"/>
  <c r="E76" i="72" s="1"/>
  <c r="E58" i="26"/>
  <c r="D74" i="26"/>
  <c r="D75" i="26" s="1"/>
  <c r="E58" i="164"/>
  <c r="D74" i="164"/>
  <c r="D75" i="164" s="1"/>
  <c r="E58" i="161"/>
  <c r="D74" i="161"/>
  <c r="D75" i="161" s="1"/>
  <c r="D74" i="94"/>
  <c r="D75" i="94" s="1"/>
  <c r="E73" i="110"/>
  <c r="E74" i="110" s="1"/>
  <c r="E75" i="110" s="1"/>
  <c r="E73" i="90"/>
  <c r="E73" i="74"/>
  <c r="E74" i="74" s="1"/>
  <c r="E76" i="74" s="1"/>
  <c r="E73" i="196"/>
  <c r="E74" i="196" s="1"/>
  <c r="E75" i="196" s="1"/>
  <c r="D74" i="79"/>
  <c r="D75" i="79" s="1"/>
  <c r="E74" i="37" l="1"/>
  <c r="E75" i="37" s="1"/>
  <c r="D74" i="42"/>
  <c r="D75" i="42" s="1"/>
  <c r="D74" i="191"/>
  <c r="D75" i="191" s="1"/>
  <c r="D74" i="108"/>
  <c r="D76" i="108" s="1"/>
  <c r="E64" i="193"/>
  <c r="D74" i="49"/>
  <c r="D75" i="49" s="1"/>
  <c r="E58" i="212"/>
  <c r="D74" i="195"/>
  <c r="D75" i="195" s="1"/>
  <c r="D74" i="105"/>
  <c r="D75" i="105" s="1"/>
  <c r="E74" i="90"/>
  <c r="E75" i="90" s="1"/>
  <c r="D74" i="211"/>
  <c r="D76" i="211" s="1"/>
  <c r="E58" i="136"/>
  <c r="E58" i="89"/>
  <c r="D74" i="202"/>
  <c r="D75" i="202" s="1"/>
  <c r="E58" i="24"/>
  <c r="D74" i="171"/>
  <c r="D75" i="171" s="1"/>
  <c r="D74" i="64"/>
  <c r="D75" i="64" s="1"/>
  <c r="D74" i="175"/>
  <c r="D75" i="175" s="1"/>
  <c r="D74" i="214"/>
  <c r="D75" i="214" s="1"/>
  <c r="E58" i="167"/>
  <c r="D74" i="77"/>
  <c r="D75" i="77" s="1"/>
  <c r="E72" i="9"/>
  <c r="E72" i="7"/>
  <c r="E71" i="1"/>
  <c r="D58" i="128"/>
  <c r="E58" i="128" s="1"/>
  <c r="E74" i="105"/>
  <c r="E75" i="105" s="1"/>
  <c r="E74" i="170"/>
  <c r="E75" i="170" s="1"/>
  <c r="E58" i="22"/>
  <c r="E72" i="78"/>
  <c r="E64" i="78"/>
  <c r="D74" i="145"/>
  <c r="D75" i="145" s="1"/>
  <c r="E58" i="102"/>
  <c r="E74" i="102" s="1"/>
  <c r="E75" i="102" s="1"/>
  <c r="D74" i="46"/>
  <c r="D75" i="46" s="1"/>
  <c r="E74" i="163"/>
  <c r="E75" i="163" s="1"/>
  <c r="E74" i="73"/>
  <c r="E76" i="73" s="1"/>
  <c r="E64" i="9"/>
  <c r="E73" i="9"/>
  <c r="E73" i="7"/>
  <c r="E74" i="95"/>
  <c r="E75" i="95" s="1"/>
  <c r="E75" i="94"/>
  <c r="E76" i="94"/>
  <c r="E72" i="121"/>
  <c r="E58" i="79"/>
  <c r="D74" i="17"/>
  <c r="D75" i="17" s="1"/>
  <c r="E58" i="78"/>
  <c r="E69" i="78"/>
  <c r="E73" i="78"/>
  <c r="E73" i="16"/>
  <c r="E73" i="1"/>
  <c r="D58" i="217"/>
  <c r="E71" i="84"/>
  <c r="E73" i="60"/>
  <c r="E69" i="60"/>
  <c r="E64" i="61"/>
  <c r="E69" i="58"/>
  <c r="E69" i="13"/>
  <c r="E73" i="13"/>
  <c r="D74" i="62"/>
  <c r="D75" i="62" s="1"/>
  <c r="E58" i="62"/>
  <c r="D74" i="40"/>
  <c r="D75" i="40" s="1"/>
  <c r="E58" i="40"/>
  <c r="E58" i="187"/>
  <c r="D74" i="187"/>
  <c r="D75" i="187" s="1"/>
  <c r="E64" i="175"/>
  <c r="E74" i="175"/>
  <c r="E75" i="175" s="1"/>
  <c r="D74" i="140"/>
  <c r="D75" i="140" s="1"/>
  <c r="E58" i="140"/>
  <c r="D74" i="113"/>
  <c r="D75" i="113" s="1"/>
  <c r="E58" i="113"/>
  <c r="E74" i="145"/>
  <c r="E75" i="145" s="1"/>
  <c r="E58" i="144"/>
  <c r="D74" i="144"/>
  <c r="D75" i="144" s="1"/>
  <c r="E64" i="100"/>
  <c r="E74" i="100"/>
  <c r="E75" i="100" s="1"/>
  <c r="D74" i="39"/>
  <c r="D75" i="39" s="1"/>
  <c r="E58" i="39"/>
  <c r="D74" i="130"/>
  <c r="D75" i="130" s="1"/>
  <c r="E58" i="130"/>
  <c r="E58" i="23"/>
  <c r="E64" i="23" s="1"/>
  <c r="E58" i="38"/>
  <c r="D74" i="38"/>
  <c r="D75" i="38" s="1"/>
  <c r="D74" i="166"/>
  <c r="D75" i="166" s="1"/>
  <c r="E58" i="166"/>
  <c r="E58" i="168"/>
  <c r="D74" i="168"/>
  <c r="D75" i="168" s="1"/>
  <c r="D74" i="193"/>
  <c r="D75" i="193" s="1"/>
  <c r="D74" i="92"/>
  <c r="D75" i="92" s="1"/>
  <c r="E58" i="92"/>
  <c r="D74" i="137"/>
  <c r="D75" i="137" s="1"/>
  <c r="E58" i="137"/>
  <c r="E58" i="138"/>
  <c r="D74" i="138"/>
  <c r="D75" i="138" s="1"/>
  <c r="D74" i="76"/>
  <c r="D75" i="76" s="1"/>
  <c r="E58" i="115"/>
  <c r="D74" i="115"/>
  <c r="D75" i="115" s="1"/>
  <c r="E64" i="77"/>
  <c r="E74" i="77"/>
  <c r="E75" i="77" s="1"/>
  <c r="E58" i="149"/>
  <c r="D74" i="149"/>
  <c r="D76" i="149" s="1"/>
  <c r="D74" i="56"/>
  <c r="D75" i="56" s="1"/>
  <c r="E58" i="43"/>
  <c r="D74" i="43"/>
  <c r="D75" i="43" s="1"/>
  <c r="D74" i="124"/>
  <c r="D75" i="124" s="1"/>
  <c r="E58" i="124"/>
  <c r="E58" i="34"/>
  <c r="D74" i="34"/>
  <c r="D75" i="34" s="1"/>
  <c r="E58" i="123"/>
  <c r="D74" i="123"/>
  <c r="D75" i="123" s="1"/>
  <c r="D74" i="106"/>
  <c r="D75" i="106" s="1"/>
  <c r="E58" i="106"/>
  <c r="D74" i="107"/>
  <c r="D76" i="107" s="1"/>
  <c r="E58" i="151"/>
  <c r="D74" i="151"/>
  <c r="D76" i="151" s="1"/>
  <c r="E58" i="96"/>
  <c r="D74" i="96"/>
  <c r="D76" i="96" s="1"/>
  <c r="D74" i="14"/>
  <c r="D75" i="14" s="1"/>
  <c r="E72" i="84"/>
  <c r="E64" i="84"/>
  <c r="E58" i="60"/>
  <c r="E73" i="61"/>
  <c r="E58" i="61"/>
  <c r="E58" i="58"/>
  <c r="E58" i="13"/>
  <c r="E64" i="13"/>
  <c r="E73" i="94"/>
  <c r="E64" i="79"/>
  <c r="E73" i="79"/>
  <c r="E69" i="79"/>
  <c r="E72" i="79"/>
  <c r="E64" i="58"/>
  <c r="E71" i="94"/>
  <c r="E58" i="27"/>
  <c r="E74" i="27" s="1"/>
  <c r="E76" i="27" s="1"/>
  <c r="E74" i="199"/>
  <c r="E75" i="199" s="1"/>
  <c r="D74" i="1"/>
  <c r="D75" i="1" s="1"/>
  <c r="E58" i="94"/>
  <c r="D74" i="29"/>
  <c r="D75" i="29" s="1"/>
  <c r="E74" i="55"/>
  <c r="E75" i="55" s="1"/>
  <c r="D74" i="210"/>
  <c r="D75" i="210" s="1"/>
  <c r="E69" i="94"/>
  <c r="E74" i="143"/>
  <c r="E75" i="143" s="1"/>
  <c r="E58" i="147"/>
  <c r="E64" i="147" s="1"/>
  <c r="D74" i="169"/>
  <c r="D75" i="169" s="1"/>
  <c r="E69" i="61"/>
  <c r="E64" i="60"/>
  <c r="D74" i="128"/>
  <c r="D75" i="128" s="1"/>
  <c r="E64" i="94"/>
  <c r="E72" i="61"/>
  <c r="E64" i="63"/>
  <c r="E74" i="63"/>
  <c r="E75" i="63" s="1"/>
  <c r="E72" i="94"/>
  <c r="D75" i="23"/>
  <c r="D74" i="41"/>
  <c r="D75" i="41" s="1"/>
  <c r="E58" i="41"/>
  <c r="E58" i="101"/>
  <c r="D74" i="101"/>
  <c r="D75" i="101" s="1"/>
  <c r="E58" i="173"/>
  <c r="D74" i="173"/>
  <c r="D75" i="173" s="1"/>
  <c r="E58" i="104"/>
  <c r="D74" i="104"/>
  <c r="D75" i="104" s="1"/>
  <c r="D74" i="57"/>
  <c r="D75" i="57" s="1"/>
  <c r="E58" i="57"/>
  <c r="D74" i="33"/>
  <c r="D75" i="33" s="1"/>
  <c r="E58" i="33"/>
  <c r="E73" i="48"/>
  <c r="E73" i="122"/>
  <c r="E69" i="122"/>
  <c r="E58" i="122"/>
  <c r="E72" i="122"/>
  <c r="E64" i="122"/>
  <c r="E74" i="17"/>
  <c r="E75" i="17" s="1"/>
  <c r="E69" i="16"/>
  <c r="E72" i="16"/>
  <c r="E64" i="16"/>
  <c r="E58" i="16"/>
  <c r="E58" i="11"/>
  <c r="E69" i="10"/>
  <c r="E74" i="5"/>
  <c r="E75" i="5" s="1"/>
  <c r="E74" i="4"/>
  <c r="E75" i="4" s="1"/>
  <c r="E69" i="1"/>
  <c r="E72" i="13"/>
  <c r="E72" i="1"/>
  <c r="E58" i="1"/>
  <c r="E59" i="1"/>
  <c r="E58" i="109"/>
  <c r="D74" i="109"/>
  <c r="D76" i="109" s="1"/>
  <c r="D74" i="159"/>
  <c r="D76" i="159" s="1"/>
  <c r="E58" i="159"/>
  <c r="D74" i="176"/>
  <c r="D76" i="176" s="1"/>
  <c r="D74" i="135"/>
  <c r="D76" i="135" s="1"/>
  <c r="E58" i="135"/>
  <c r="D74" i="132"/>
  <c r="D76" i="132" s="1"/>
  <c r="E58" i="132"/>
  <c r="D74" i="133"/>
  <c r="D76" i="133" s="1"/>
  <c r="E58" i="133"/>
  <c r="D74" i="179"/>
  <c r="D76" i="179" s="1"/>
  <c r="E58" i="179"/>
  <c r="D74" i="142"/>
  <c r="D76" i="142" s="1"/>
  <c r="E58" i="142"/>
  <c r="E58" i="85"/>
  <c r="D74" i="85"/>
  <c r="D75" i="85" s="1"/>
  <c r="E64" i="169"/>
  <c r="E74" i="169"/>
  <c r="E75" i="169" s="1"/>
  <c r="E58" i="47"/>
  <c r="D74" i="47"/>
  <c r="D75" i="47" s="1"/>
  <c r="E58" i="35"/>
  <c r="D74" i="35"/>
  <c r="D75" i="35" s="1"/>
  <c r="E58" i="186"/>
  <c r="D74" i="186"/>
  <c r="D75" i="186" s="1"/>
  <c r="E58" i="148"/>
  <c r="D74" i="148"/>
  <c r="D76" i="148" s="1"/>
  <c r="E58" i="152"/>
  <c r="D74" i="152"/>
  <c r="D76" i="152" s="1"/>
  <c r="D74" i="197"/>
  <c r="D75" i="197" s="1"/>
  <c r="E58" i="197"/>
  <c r="D74" i="188"/>
  <c r="D75" i="188" s="1"/>
  <c r="E58" i="83"/>
  <c r="E74" i="83" s="1"/>
  <c r="E75" i="83" s="1"/>
  <c r="E58" i="48"/>
  <c r="E64" i="48" s="1"/>
  <c r="E73" i="84"/>
  <c r="E58" i="84"/>
  <c r="E69" i="84"/>
  <c r="E72" i="60"/>
  <c r="E72" i="58"/>
  <c r="E73" i="58"/>
  <c r="E58" i="9"/>
  <c r="E71" i="8"/>
  <c r="E73" i="8"/>
  <c r="E64" i="8"/>
  <c r="E58" i="8"/>
  <c r="D58" i="7"/>
  <c r="D74" i="7" s="1"/>
  <c r="E64" i="7"/>
  <c r="E64" i="108"/>
  <c r="E74" i="108"/>
  <c r="E76" i="108" s="1"/>
  <c r="E64" i="215"/>
  <c r="E74" i="215"/>
  <c r="E75" i="215" s="1"/>
  <c r="E74" i="146"/>
  <c r="E76" i="146" s="1"/>
  <c r="E64" i="146"/>
  <c r="E64" i="89"/>
  <c r="E74" i="89"/>
  <c r="E75" i="89" s="1"/>
  <c r="E64" i="88"/>
  <c r="E74" i="88"/>
  <c r="E75" i="88" s="1"/>
  <c r="E64" i="114"/>
  <c r="E74" i="114"/>
  <c r="E75" i="114" s="1"/>
  <c r="E64" i="76"/>
  <c r="E74" i="76"/>
  <c r="E75" i="76" s="1"/>
  <c r="E64" i="36"/>
  <c r="E74" i="36"/>
  <c r="E75" i="36" s="1"/>
  <c r="E64" i="24"/>
  <c r="E74" i="24"/>
  <c r="E76" i="24" s="1"/>
  <c r="E64" i="189"/>
  <c r="E74" i="189"/>
  <c r="E75" i="189" s="1"/>
  <c r="E64" i="112"/>
  <c r="E74" i="112"/>
  <c r="E75" i="112" s="1"/>
  <c r="E74" i="156"/>
  <c r="E75" i="156" s="1"/>
  <c r="E73" i="93"/>
  <c r="E74" i="93" s="1"/>
  <c r="E74" i="67"/>
  <c r="E75" i="67" s="1"/>
  <c r="E74" i="120"/>
  <c r="E75" i="120" s="1"/>
  <c r="E73" i="121"/>
  <c r="E58" i="121"/>
  <c r="E64" i="121"/>
  <c r="E74" i="81"/>
  <c r="E75" i="81" s="1"/>
  <c r="E69" i="11"/>
  <c r="E73" i="11"/>
  <c r="E64" i="11"/>
  <c r="E72" i="11"/>
  <c r="E72" i="10"/>
  <c r="E73" i="10"/>
  <c r="E64" i="10"/>
  <c r="E58" i="10"/>
  <c r="E74" i="194"/>
  <c r="E75" i="194" s="1"/>
  <c r="E74" i="209"/>
  <c r="E75" i="209" s="1"/>
  <c r="E64" i="209"/>
  <c r="E64" i="102"/>
  <c r="E64" i="26"/>
  <c r="E74" i="26"/>
  <c r="E75" i="26" s="1"/>
  <c r="E74" i="216"/>
  <c r="E75" i="216" s="1"/>
  <c r="E64" i="216"/>
  <c r="E74" i="103"/>
  <c r="E75" i="103" s="1"/>
  <c r="E64" i="103"/>
  <c r="E64" i="212"/>
  <c r="E74" i="212"/>
  <c r="E75" i="212" s="1"/>
  <c r="E74" i="202"/>
  <c r="E75" i="202" s="1"/>
  <c r="E64" i="202"/>
  <c r="E64" i="75"/>
  <c r="E74" i="75"/>
  <c r="E76" i="75" s="1"/>
  <c r="E64" i="129"/>
  <c r="E74" i="129"/>
  <c r="E75" i="129" s="1"/>
  <c r="E74" i="206"/>
  <c r="E75" i="206" s="1"/>
  <c r="E64" i="206"/>
  <c r="E74" i="30"/>
  <c r="E75" i="30" s="1"/>
  <c r="E64" i="30"/>
  <c r="E74" i="42"/>
  <c r="E75" i="42" s="1"/>
  <c r="E64" i="42"/>
  <c r="E64" i="49"/>
  <c r="E74" i="49"/>
  <c r="E75" i="49" s="1"/>
  <c r="E74" i="69"/>
  <c r="E75" i="69" s="1"/>
  <c r="E64" i="29"/>
  <c r="E74" i="29"/>
  <c r="E75" i="29" s="1"/>
  <c r="E74" i="164"/>
  <c r="E75" i="164" s="1"/>
  <c r="E64" i="164"/>
  <c r="E64" i="214"/>
  <c r="E74" i="214"/>
  <c r="E75" i="214" s="1"/>
  <c r="E74" i="174"/>
  <c r="E75" i="174" s="1"/>
  <c r="E64" i="174"/>
  <c r="E74" i="205"/>
  <c r="E75" i="205" s="1"/>
  <c r="E64" i="205"/>
  <c r="E74" i="211"/>
  <c r="E76" i="211" s="1"/>
  <c r="E64" i="211"/>
  <c r="E74" i="213"/>
  <c r="E75" i="213" s="1"/>
  <c r="E64" i="213"/>
  <c r="E64" i="161"/>
  <c r="E74" i="161"/>
  <c r="E75" i="161" s="1"/>
  <c r="E74" i="46"/>
  <c r="E75" i="46" s="1"/>
  <c r="E64" i="46"/>
  <c r="E64" i="64"/>
  <c r="E74" i="64"/>
  <c r="E75" i="64" s="1"/>
  <c r="E64" i="191"/>
  <c r="E74" i="191"/>
  <c r="E75" i="191" s="1"/>
  <c r="E74" i="119"/>
  <c r="E75" i="119" s="1"/>
  <c r="E64" i="167"/>
  <c r="E74" i="167"/>
  <c r="E75" i="167" s="1"/>
  <c r="E74" i="165"/>
  <c r="E75" i="165" s="1"/>
  <c r="E64" i="165"/>
  <c r="E74" i="117"/>
  <c r="E75" i="117" s="1"/>
  <c r="E64" i="210"/>
  <c r="E74" i="210"/>
  <c r="E75" i="210" s="1"/>
  <c r="E74" i="99"/>
  <c r="E75" i="99" s="1"/>
  <c r="E64" i="99"/>
  <c r="E74" i="14"/>
  <c r="E75" i="14" s="1"/>
  <c r="E74" i="28"/>
  <c r="E75" i="28" s="1"/>
  <c r="E64" i="28"/>
  <c r="E64" i="201"/>
  <c r="E74" i="201"/>
  <c r="E75" i="201" s="1"/>
  <c r="E64" i="136"/>
  <c r="E74" i="136"/>
  <c r="E75" i="136" s="1"/>
  <c r="E74" i="195"/>
  <c r="E75" i="195" s="1"/>
  <c r="E64" i="195"/>
  <c r="E74" i="22"/>
  <c r="E75" i="22" s="1"/>
  <c r="E64" i="22"/>
  <c r="E74" i="121" l="1"/>
  <c r="E74" i="9"/>
  <c r="E75" i="9" s="1"/>
  <c r="E64" i="27"/>
  <c r="E74" i="23"/>
  <c r="E75" i="23" s="1"/>
  <c r="E64" i="83"/>
  <c r="E74" i="79"/>
  <c r="E75" i="79" s="1"/>
  <c r="E74" i="128"/>
  <c r="E75" i="128" s="1"/>
  <c r="E64" i="128"/>
  <c r="E74" i="147"/>
  <c r="E76" i="147" s="1"/>
  <c r="E74" i="78"/>
  <c r="E75" i="78" s="1"/>
  <c r="E74" i="61"/>
  <c r="E75" i="61" s="1"/>
  <c r="E74" i="94"/>
  <c r="E58" i="217"/>
  <c r="E74" i="217" s="1"/>
  <c r="E75" i="217" s="1"/>
  <c r="D74" i="217"/>
  <c r="D75" i="217" s="1"/>
  <c r="E64" i="62"/>
  <c r="E74" i="62"/>
  <c r="E75" i="62" s="1"/>
  <c r="E64" i="40"/>
  <c r="E74" i="40"/>
  <c r="E75" i="40" s="1"/>
  <c r="E64" i="187"/>
  <c r="E74" i="187"/>
  <c r="E75" i="187" s="1"/>
  <c r="E64" i="140"/>
  <c r="E74" i="140"/>
  <c r="E75" i="140" s="1"/>
  <c r="E64" i="113"/>
  <c r="E74" i="113"/>
  <c r="E75" i="113" s="1"/>
  <c r="E74" i="144"/>
  <c r="E75" i="144" s="1"/>
  <c r="E64" i="144"/>
  <c r="E64" i="39"/>
  <c r="E74" i="39"/>
  <c r="E75" i="39" s="1"/>
  <c r="E64" i="130"/>
  <c r="E74" i="130"/>
  <c r="E75" i="130" s="1"/>
  <c r="E64" i="38"/>
  <c r="E74" i="38"/>
  <c r="E75" i="38" s="1"/>
  <c r="E64" i="166"/>
  <c r="E74" i="166"/>
  <c r="E75" i="166" s="1"/>
  <c r="E74" i="168"/>
  <c r="E75" i="168" s="1"/>
  <c r="E64" i="168"/>
  <c r="E64" i="92"/>
  <c r="E74" i="92"/>
  <c r="E75" i="92" s="1"/>
  <c r="E64" i="137"/>
  <c r="E74" i="137"/>
  <c r="E75" i="137" s="1"/>
  <c r="E64" i="138"/>
  <c r="E74" i="138"/>
  <c r="E75" i="138" s="1"/>
  <c r="E64" i="115"/>
  <c r="E74" i="115"/>
  <c r="E75" i="115" s="1"/>
  <c r="E64" i="149"/>
  <c r="E74" i="149"/>
  <c r="E76" i="149" s="1"/>
  <c r="E74" i="56"/>
  <c r="E75" i="56" s="1"/>
  <c r="E64" i="43"/>
  <c r="E74" i="43"/>
  <c r="E75" i="43" s="1"/>
  <c r="E64" i="124"/>
  <c r="E74" i="124"/>
  <c r="E75" i="124" s="1"/>
  <c r="E64" i="34"/>
  <c r="E74" i="34"/>
  <c r="E75" i="34" s="1"/>
  <c r="E64" i="123"/>
  <c r="E74" i="123"/>
  <c r="E75" i="123" s="1"/>
  <c r="E64" i="106"/>
  <c r="E74" i="106"/>
  <c r="E75" i="106" s="1"/>
  <c r="E64" i="151"/>
  <c r="E74" i="151"/>
  <c r="E76" i="151" s="1"/>
  <c r="E74" i="96"/>
  <c r="E76" i="96" s="1"/>
  <c r="E64" i="96"/>
  <c r="E74" i="60"/>
  <c r="E75" i="60" s="1"/>
  <c r="E74" i="13"/>
  <c r="E75" i="13" s="1"/>
  <c r="E74" i="16"/>
  <c r="E75" i="16" s="1"/>
  <c r="E74" i="58"/>
  <c r="E75" i="58" s="1"/>
  <c r="E75" i="1"/>
  <c r="E74" i="48"/>
  <c r="E75" i="48" s="1"/>
  <c r="E74" i="122"/>
  <c r="E75" i="122" s="1"/>
  <c r="E64" i="41"/>
  <c r="E74" i="41"/>
  <c r="E75" i="41" s="1"/>
  <c r="E64" i="101"/>
  <c r="E74" i="101"/>
  <c r="E75" i="101" s="1"/>
  <c r="E64" i="173"/>
  <c r="E74" i="173"/>
  <c r="E75" i="173" s="1"/>
  <c r="E64" i="104"/>
  <c r="E74" i="104"/>
  <c r="E75" i="104" s="1"/>
  <c r="E64" i="57"/>
  <c r="E74" i="57"/>
  <c r="E75" i="57" s="1"/>
  <c r="E64" i="33"/>
  <c r="E74" i="33"/>
  <c r="E75" i="33" s="1"/>
  <c r="E64" i="109"/>
  <c r="E74" i="109"/>
  <c r="E76" i="109" s="1"/>
  <c r="E64" i="159"/>
  <c r="E74" i="159"/>
  <c r="E76" i="159" s="1"/>
  <c r="E64" i="176"/>
  <c r="E74" i="176"/>
  <c r="E76" i="176" s="1"/>
  <c r="E64" i="135"/>
  <c r="E74" i="135"/>
  <c r="E76" i="135" s="1"/>
  <c r="E64" i="132"/>
  <c r="E74" i="132"/>
  <c r="E76" i="132" s="1"/>
  <c r="E64" i="133"/>
  <c r="E74" i="133"/>
  <c r="E76" i="133" s="1"/>
  <c r="E64" i="179"/>
  <c r="E74" i="179"/>
  <c r="E76" i="179" s="1"/>
  <c r="E64" i="142"/>
  <c r="E74" i="142"/>
  <c r="E76" i="142" s="1"/>
  <c r="E64" i="85"/>
  <c r="E74" i="85"/>
  <c r="E75" i="85" s="1"/>
  <c r="E64" i="47"/>
  <c r="E74" i="47"/>
  <c r="E75" i="47" s="1"/>
  <c r="E64" i="35"/>
  <c r="E74" i="35"/>
  <c r="E75" i="35" s="1"/>
  <c r="E74" i="186"/>
  <c r="E75" i="186" s="1"/>
  <c r="E64" i="186"/>
  <c r="E64" i="148"/>
  <c r="E74" i="148"/>
  <c r="E76" i="148" s="1"/>
  <c r="E64" i="152"/>
  <c r="E74" i="152"/>
  <c r="E76" i="152" s="1"/>
  <c r="E74" i="197"/>
  <c r="E75" i="197" s="1"/>
  <c r="E64" i="197"/>
  <c r="E64" i="188"/>
  <c r="E74" i="188"/>
  <c r="E75" i="188" s="1"/>
  <c r="E74" i="84"/>
  <c r="E75" i="84" s="1"/>
  <c r="E74" i="8"/>
  <c r="E75" i="8" s="1"/>
  <c r="E58" i="7"/>
  <c r="E74" i="7" s="1"/>
  <c r="E75" i="7" s="1"/>
  <c r="E74" i="11"/>
  <c r="E75" i="11" s="1"/>
  <c r="E74" i="10"/>
  <c r="E75" i="10" s="1"/>
  <c r="D75" i="7" l="1"/>
</calcChain>
</file>

<file path=xl/sharedStrings.xml><?xml version="1.0" encoding="utf-8"?>
<sst xmlns="http://schemas.openxmlformats.org/spreadsheetml/2006/main" count="22715" uniqueCount="288">
  <si>
    <t>PÓŁROCZNE SPRAWOZDANIE UBEZPIECZENIOWEGO FUNDUSZU KAPITAŁOWEGO</t>
  </si>
  <si>
    <t>TOWARZYSTWO UBEZPIECZEŃ  ALLIANZ ŻYCIE POLSKA S.A.</t>
  </si>
  <si>
    <t>(w zł)</t>
  </si>
  <si>
    <t xml:space="preserve">I.  </t>
  </si>
  <si>
    <t>1.</t>
  </si>
  <si>
    <t>lokaty</t>
  </si>
  <si>
    <t>2.</t>
  </si>
  <si>
    <t>środki pieniężne</t>
  </si>
  <si>
    <t>3.</t>
  </si>
  <si>
    <t>4.</t>
  </si>
  <si>
    <t>należności</t>
  </si>
  <si>
    <t>z tytułu transakcji zawartych na rynku finansowym</t>
  </si>
  <si>
    <t>pozostałe</t>
  </si>
  <si>
    <t xml:space="preserve">II.  </t>
  </si>
  <si>
    <t xml:space="preserve">pozostałe </t>
  </si>
  <si>
    <t>A.</t>
  </si>
  <si>
    <t>Aktywa netto funduszu na początek okresu sprawozdawczego</t>
  </si>
  <si>
    <t>B.</t>
  </si>
  <si>
    <t>I.</t>
  </si>
  <si>
    <t>Zwiększenia funduszu</t>
  </si>
  <si>
    <t>tytułem składek zwiększających wartość funduszu</t>
  </si>
  <si>
    <t>pozostałe przychody</t>
  </si>
  <si>
    <t>pozostałe zwiększenia</t>
  </si>
  <si>
    <t>II.</t>
  </si>
  <si>
    <t>Zmniejszenia funduszu</t>
  </si>
  <si>
    <t>tytułem wykupu</t>
  </si>
  <si>
    <t>tytułem wypłat pozostałych świadczeń ubezpieczeniowych</t>
  </si>
  <si>
    <t>tytułem opłat za ryzyko ubezpieczeniowe oraz innych opłat potrącanych z funduszu</t>
  </si>
  <si>
    <t>tytułem zwrotu składek ubezpieczeniowych</t>
  </si>
  <si>
    <t>5.</t>
  </si>
  <si>
    <t>tytułem opłat za zarządzanie funduszem oraz innych opłat tytułem administrowania funduszem</t>
  </si>
  <si>
    <t>6.</t>
  </si>
  <si>
    <t>pozostałe koszty</t>
  </si>
  <si>
    <t>7.</t>
  </si>
  <si>
    <t>pozostałe zmniejszenia</t>
  </si>
  <si>
    <t>C.</t>
  </si>
  <si>
    <t xml:space="preserve">Wynik netto z działalności inwestycyjnej </t>
  </si>
  <si>
    <t>D.</t>
  </si>
  <si>
    <t>Aktywa netto funduszu na koniec okresu sprawozdawczego</t>
  </si>
  <si>
    <t>Pozycja</t>
  </si>
  <si>
    <t>na początek okresu sprawozdawczego</t>
  </si>
  <si>
    <t>na koniec okresu sprawozdawczego</t>
  </si>
  <si>
    <t xml:space="preserve">LOKATY 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</si>
  <si>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</si>
  <si>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</si>
  <si>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</si>
  <si>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</si>
  <si>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</si>
  <si>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</si>
  <si>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jednostki uczestnictwa i certyfikaty inwestycyjne w funduszach inwestycyjnych</t>
  </si>
  <si>
    <t>8.</t>
  </si>
  <si>
    <t>inne papiery wartościowe o zmiennej kwocie dochodu</t>
  </si>
  <si>
    <t>9.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</si>
  <si>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</si>
  <si>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</si>
  <si>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</si>
  <si>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</si>
  <si>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</si>
  <si>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</si>
  <si>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</si>
  <si>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III.</t>
  </si>
  <si>
    <t>Środki pieniężne</t>
  </si>
  <si>
    <t>IV.</t>
  </si>
  <si>
    <t>Należności</t>
  </si>
  <si>
    <t>V.</t>
  </si>
  <si>
    <t>Zobowiązania</t>
  </si>
  <si>
    <t>Aktywa netto (w tym)</t>
  </si>
  <si>
    <t>krajowe</t>
  </si>
  <si>
    <t>Fundusz Konserwatywny</t>
  </si>
  <si>
    <t>Fundusz Zrównoważony</t>
  </si>
  <si>
    <t>Fundusz Aktywny</t>
  </si>
  <si>
    <t>Fundusz Międzynarodowy</t>
  </si>
  <si>
    <t>Fundusz Azjatycki</t>
  </si>
  <si>
    <t>Aktywny - Surowce i Nowe Gospodarki</t>
  </si>
  <si>
    <t>Zabezpieczony - Rynku Polskiego</t>
  </si>
  <si>
    <t>Zabezpieczony - Europy Wschodniej</t>
  </si>
  <si>
    <t>Zabezpieczony - Dalekiego Wschodu</t>
  </si>
  <si>
    <t>Millenium Master I</t>
  </si>
  <si>
    <t>Millenium Master II</t>
  </si>
  <si>
    <t>Millenium Master III</t>
  </si>
  <si>
    <t>Millenium Master IV</t>
  </si>
  <si>
    <t>Millenium Master V</t>
  </si>
  <si>
    <t>Millenium Master VI</t>
  </si>
  <si>
    <t>Millenium Master VII</t>
  </si>
  <si>
    <t>Fundusz Gwarantowany</t>
  </si>
  <si>
    <t>Fundusz Stabilnego Wzrostu</t>
  </si>
  <si>
    <t>Fundusz Dynamiczny</t>
  </si>
  <si>
    <t>Fundusz Aktywnej Alokacji</t>
  </si>
  <si>
    <t>Fundusz Akcji Plus</t>
  </si>
  <si>
    <t>Fundusz Akcji Małych i Średnich Spółek</t>
  </si>
  <si>
    <t>Fundusz Selektywny</t>
  </si>
  <si>
    <t>Fundusz Polskich Obligacji Skarbowych</t>
  </si>
  <si>
    <t>INFORMACJE DODATKOWE</t>
  </si>
  <si>
    <t xml:space="preserve">DO SPRAWOZDANIA PÓŁROCZNEGO </t>
  </si>
  <si>
    <t>FUNDUSZY KAPITAŁOWYCH</t>
  </si>
  <si>
    <t>TU ALLIANZ ŻYCIE POLSKA  S.A.</t>
  </si>
  <si>
    <t xml:space="preserve">Przypis składki brutto </t>
  </si>
  <si>
    <t xml:space="preserve">Potrącenia/ opłaty </t>
  </si>
  <si>
    <t xml:space="preserve">Składka netto </t>
  </si>
  <si>
    <t>Fundusz Pieniężny</t>
  </si>
  <si>
    <t>Strategii MultiObligacyjnych</t>
  </si>
  <si>
    <t>Fundusz Akcji Globalnych</t>
  </si>
  <si>
    <t>Fundusz Obligacji Globalnych</t>
  </si>
  <si>
    <t>WARTOŚĆ AKTYWÓW NETTO FUNDUSZU</t>
  </si>
  <si>
    <t xml:space="preserve">II. </t>
  </si>
  <si>
    <t>ZMIANY WARTOŚCI AKTYWÓW NETTO FUNDUSZU</t>
  </si>
  <si>
    <t>3.1.</t>
  </si>
  <si>
    <t>3.2.</t>
  </si>
  <si>
    <t>wobec ubezpieczających, ubezpieczonych lub uprawnionych z umów ubezpieczenia</t>
  </si>
  <si>
    <t>Aktywa</t>
  </si>
  <si>
    <t>III.  Aktywa netto (I-II)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</si>
  <si>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</si>
  <si>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</si>
  <si>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</si>
  <si>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</si>
  <si>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</si>
  <si>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 xml:space="preserve">     ZESTAWIENIE AKTYWÓW NETTO FUNDUSZU</t>
  </si>
  <si>
    <t>Udział w aktywach       netto funduszu (w %)</t>
  </si>
  <si>
    <t>instrumenty pochodne</t>
  </si>
  <si>
    <t>zagraniczne - państwa UE</t>
  </si>
  <si>
    <t>zagraniczne - państwa poza UE</t>
  </si>
  <si>
    <t>LICZBA I WARTOŚĆ JEDNOSTEK ROZRACHUNKOWYCH uczestnictwa funduszu</t>
  </si>
  <si>
    <t>Wartość bilansowa (w zł)</t>
  </si>
  <si>
    <t>-</t>
  </si>
  <si>
    <t>Fundusz Energetyczny</t>
  </si>
  <si>
    <t>30-06-2018</t>
  </si>
  <si>
    <t/>
  </si>
  <si>
    <t>31-12-2018</t>
  </si>
  <si>
    <t>TOWARZYSTWO UBEZPIECZEŃ  ALLIANZ ŻYCIE POLSKA SA</t>
  </si>
  <si>
    <t>I</t>
  </si>
  <si>
    <t xml:space="preserve">I  </t>
  </si>
  <si>
    <t xml:space="preserve">II  </t>
  </si>
  <si>
    <t>III  Aktywa netto (I-II)</t>
  </si>
  <si>
    <t xml:space="preserve">II </t>
  </si>
  <si>
    <t>A</t>
  </si>
  <si>
    <t>B</t>
  </si>
  <si>
    <t>II</t>
  </si>
  <si>
    <t>C</t>
  </si>
  <si>
    <t>D</t>
  </si>
  <si>
    <t>III</t>
  </si>
  <si>
    <t>IV</t>
  </si>
  <si>
    <t>V</t>
  </si>
  <si>
    <t>31-122018</t>
  </si>
  <si>
    <t xml:space="preserve">Fundusz Obligacji </t>
  </si>
  <si>
    <t>SPORZĄDZONE NA DZIEŃ 30-06-2019</t>
  </si>
  <si>
    <t>30-06-2019</t>
  </si>
  <si>
    <t>Allianz Portfel Aktywnej Alokacji</t>
  </si>
  <si>
    <t>Allianz Portfel Dynamiczny</t>
  </si>
  <si>
    <t>Allianz Portfel Stabilnego Wzrostu</t>
  </si>
  <si>
    <t>Allianz Portfel Akcji Rynków Rozwiniętych</t>
  </si>
  <si>
    <t>Allianz Portfel Akcji Rynków Wschodzących</t>
  </si>
  <si>
    <t>Allianz Portfel Obligacji Zagranicznych</t>
  </si>
  <si>
    <t>Allianz Portfel Obligacji Obniżonego Ryzyka</t>
  </si>
  <si>
    <t>Allianz Portfel Strategicznej Alokacji</t>
  </si>
  <si>
    <t>Allianz Stabilnego Wzrostu</t>
  </si>
  <si>
    <t>Allianz Obligacji Plus</t>
  </si>
  <si>
    <t xml:space="preserve">Allianz Aktywnej Alokacji </t>
  </si>
  <si>
    <t>Allianz Akcji Małych i Średnich Spółek</t>
  </si>
  <si>
    <t>Allianz Konserwatywny</t>
  </si>
  <si>
    <t>Allianz Polskich Obligacji Skarbowych</t>
  </si>
  <si>
    <t>Allianz Selektywny</t>
  </si>
  <si>
    <t>Allianz Akcji Globalnych</t>
  </si>
  <si>
    <t>Allianz Surowców i Energii</t>
  </si>
  <si>
    <t>Allianz Akcji Rynków Wschodzących</t>
  </si>
  <si>
    <t>Allianz Dynamiczna Multistrategia</t>
  </si>
  <si>
    <t>Allianz Defensywna Multistrategia</t>
  </si>
  <si>
    <t>Allianz Zbalansowana Multistrategia</t>
  </si>
  <si>
    <t>Allianz Globalny Stabilnego Dochodu</t>
  </si>
  <si>
    <t>Allianz Obligacji Globalnych</t>
  </si>
  <si>
    <t>Allianz Altus Absolutnej Stopy Zwrotu Dłużny</t>
  </si>
  <si>
    <t>Allianz Aviva Dłużnych Papierów Korporacyjnych</t>
  </si>
  <si>
    <t>Allianz Franklin European Dividend Fund (PLN Hedged)</t>
  </si>
  <si>
    <t>Allianz Franklin Global Fundamental Strategies Fund (PLN Hedged)</t>
  </si>
  <si>
    <t>Allianz Franklin U.S. Opportunities Fund (PLN Hedged)</t>
  </si>
  <si>
    <t>Allianz Goldman Sachs Emerging Markets Debt Portfolio A (Acc) (PLN) Hedged</t>
  </si>
  <si>
    <t>Allianz Goldman Sachs Global Strategic Macro Bond Portfolio A (Acc) (PLN) Hedged</t>
  </si>
  <si>
    <t>Allianz Investor Akcji</t>
  </si>
  <si>
    <t>Allianz Investor Akcji Spółek Dywidendowych</t>
  </si>
  <si>
    <t>Allianz Investor TOP 25 Małych Spółek</t>
  </si>
  <si>
    <t>Allianz Investor Zrównoważony</t>
  </si>
  <si>
    <t>Allianz Investor Ameryka Łacińska</t>
  </si>
  <si>
    <t>Allianz Investor BRIC</t>
  </si>
  <si>
    <t>Allianz Investor Gold</t>
  </si>
  <si>
    <t>Allianz Investor Indie i Chiny</t>
  </si>
  <si>
    <t>Allianz Investor Obligacji Korporacyjnych</t>
  </si>
  <si>
    <t>Allianz Investor Zabezpieczenia Emerytalnego</t>
  </si>
  <si>
    <t>Allianz JPM Emerging Markets Opportunities Fund (PLN Hedged)</t>
  </si>
  <si>
    <t>Allianz JPM Global Healthcare Fund (PLN Hedged)</t>
  </si>
  <si>
    <t>Allianz JPM Global Strategic Bond (PLN Hedged)</t>
  </si>
  <si>
    <t>Allianz ESALIENS Akcji</t>
  </si>
  <si>
    <t>Allianz ESALIENS Obligacji</t>
  </si>
  <si>
    <t>Allianz ESALIENS Strateg</t>
  </si>
  <si>
    <t xml:space="preserve">Allianz NN Akcji </t>
  </si>
  <si>
    <t>Allianz NN Obligacji</t>
  </si>
  <si>
    <t>Allianz NN Średnich i Małych Spółek</t>
  </si>
  <si>
    <t>Allianz NN Europejski Spółek Dywidendowych</t>
  </si>
  <si>
    <t>Allianz NN Globalny Długu Korporacyjnego</t>
  </si>
  <si>
    <t>Allianz NN Globalny Spółek Dywidendowych</t>
  </si>
  <si>
    <t>Allianz NN Japonia</t>
  </si>
  <si>
    <t>Allianz NN Nowej Azji</t>
  </si>
  <si>
    <t>Allianz NN Obligacji Rynków Wschodzących</t>
  </si>
  <si>
    <t>Allianz NN Spółek Dywidendowych USA</t>
  </si>
  <si>
    <t>Allianz NN Stabilny Globalnej Alokacji</t>
  </si>
  <si>
    <t>Allianz NN Spółek Dywidendowych Rynków Wschodzących</t>
  </si>
  <si>
    <t>Allianz Noble Fund Akcji Małych i Średnich Spółek</t>
  </si>
  <si>
    <t>Allianz Noble Fund Global Return</t>
  </si>
  <si>
    <t>Allianz Pekao Akcji Rynków Wschodzących</t>
  </si>
  <si>
    <t>Allianz Pekao Alternatywny Globalnego Dochodu</t>
  </si>
  <si>
    <t>Allianz Pekao Obligacji Strategicznych</t>
  </si>
  <si>
    <t>Allianz Pekao Wzrostu i Dochodu Rynku Europejskiego</t>
  </si>
  <si>
    <t>Allianz Pekao Surowców i Energii</t>
  </si>
  <si>
    <t>Allianz Pekao Akcji Polskich</t>
  </si>
  <si>
    <t>Allianz Pekao Dynamicznych Spółek</t>
  </si>
  <si>
    <t>Allianz Pekao Obligacji Plus</t>
  </si>
  <si>
    <t>Allianz Pekao Stabilnego Inwestowania</t>
  </si>
  <si>
    <t>Allianz Pekao Obligacji - Dynamiczna Alokacja 2</t>
  </si>
  <si>
    <t>Allianz Pekao Akcji - Aktywna Selekcja</t>
  </si>
  <si>
    <t>Allianz Pekao Akcji Europejskich</t>
  </si>
  <si>
    <t>Allianz Pekao Strategii Globalnej</t>
  </si>
  <si>
    <t>Allianz Pekao Akcji Małych i Średnich Spółek Rynków Rozwiniętych</t>
  </si>
  <si>
    <t>Allianz Pekao Obligacji i Dochodu</t>
  </si>
  <si>
    <t>Allianz PKO Akcji Nowa Europa</t>
  </si>
  <si>
    <t>Allianz PKO Obligacji Długoterminowych</t>
  </si>
  <si>
    <t>Allianz PKO Stabilnego Wzrostu</t>
  </si>
  <si>
    <t>Allianz PKO Zrównoważony</t>
  </si>
  <si>
    <t>Allianz PZU Akcji Spółek Dywidendowych</t>
  </si>
  <si>
    <t>Allianz PZU Akcji Krakowiak</t>
  </si>
  <si>
    <t>Allianz PZU Akcji Małych i Średnich Spółek</t>
  </si>
  <si>
    <t>Allianz PZU Medyczny</t>
  </si>
  <si>
    <t>Allianz PZU Zrównoważony</t>
  </si>
  <si>
    <t>Allianz PZU Akcji Rynków Rozwiniętych</t>
  </si>
  <si>
    <t>Allianz PZU Papierów Dłużnych POLONEZ</t>
  </si>
  <si>
    <t>Allianz Quercus Agresywny</t>
  </si>
  <si>
    <t>Allianz Quercus Ochrony Kapitału</t>
  </si>
  <si>
    <t>Allianz Quercus Global Balanced</t>
  </si>
  <si>
    <t>Allianz Schroder Asian Convertible Bond Fund (PLN Hedged)</t>
  </si>
  <si>
    <t>Allianz Schroder Asian Opportunities (PLN Hedged)</t>
  </si>
  <si>
    <t>Allianz Schroder Emerging Markets Debt Absolute Return (PLN Hedged)</t>
  </si>
  <si>
    <t>Allianz Schroder EURO Equity Fund (PLN Hedged)</t>
  </si>
  <si>
    <t>Allianz Schroder Frontier Markets Equity Fund (PLN Hedged)</t>
  </si>
  <si>
    <t>Allianz Schroder Global Diversified Growth Fund (PLN Hedged)</t>
  </si>
  <si>
    <t>Allianz Schroder Global High Income Bond Fund (PLN Hedged)</t>
  </si>
  <si>
    <t>Allianz Skarbiec Obligacji Wysokiego Dochodu</t>
  </si>
  <si>
    <t>Allianz Skarbiec Małych i Średnich Spółek</t>
  </si>
  <si>
    <t>Allianz Skarbiec Globalny Małych i Średnich Spółek</t>
  </si>
  <si>
    <t>Allianz Skarbiec Spółek Wzrostowych</t>
  </si>
  <si>
    <t>Allianz Skarbiec Akcja</t>
  </si>
  <si>
    <t>Allianz Skarbiec Top Brands</t>
  </si>
  <si>
    <t>Allianz Templeton Global Bond Fund (PLN Hedged)</t>
  </si>
  <si>
    <t>Allianz Templeton Global Total Return Fund (PLN Hedged)</t>
  </si>
  <si>
    <t>Allianz Templeton Latin America Fund</t>
  </si>
  <si>
    <t>Allianz UniAkcje Dywidendowy</t>
  </si>
  <si>
    <t>Allianz UniAkcje Małych i Średnich Spółek</t>
  </si>
  <si>
    <t>Allianz UniAkcje Nowa Europa</t>
  </si>
  <si>
    <t>Allianz UniAkcje Wzrostu</t>
  </si>
  <si>
    <t>Allianz UniKorona Akcje</t>
  </si>
  <si>
    <t>Allianz Unikorona Obligacje</t>
  </si>
  <si>
    <t>Allianz UniKorona Dochodowy</t>
  </si>
  <si>
    <t>Allianz UniKorona Zrównoważony</t>
  </si>
  <si>
    <t>Allianz UniOszczędnościowy</t>
  </si>
  <si>
    <t>Allianz UniObligacje Nowa Europa</t>
  </si>
  <si>
    <t>Allianz Unistabilny Wzrost</t>
  </si>
  <si>
    <t>Allianz UniObligacje Aktywny</t>
  </si>
  <si>
    <t>Allianz UniAkcje Daleki Wschód</t>
  </si>
  <si>
    <t>Allianz Akcji</t>
  </si>
  <si>
    <t>Allianz Altus Absolutnej Stopy Zwrotu Rynku Polskiego C</t>
  </si>
  <si>
    <t>Allianz Franklin Natural Resources Fund N Hedged (Acc) (PLN)</t>
  </si>
  <si>
    <t xml:space="preserve">Allianz Investor Dochodowy </t>
  </si>
  <si>
    <t>Allianz Investor Turcja</t>
  </si>
  <si>
    <t>Allianz Investor Oszczędnościowy</t>
  </si>
  <si>
    <t>Allianz Investor Akcji Spółek Wzrostowych</t>
  </si>
  <si>
    <t>Allianz Ipopema Akcji</t>
  </si>
  <si>
    <t>Allianz JPM Global Markets Opportunities Fund D (PLN)</t>
  </si>
  <si>
    <t>Allianz ESALIENS Oszczędnościowy</t>
  </si>
  <si>
    <t xml:space="preserve">Allianz NN Polski Odpowiedzialnego Inwestowania </t>
  </si>
  <si>
    <t>Allianz NN Depozytowy</t>
  </si>
  <si>
    <t>Allianz Noble Fund Akcji</t>
  </si>
  <si>
    <t>Allianz Pekao Spokojna Inwestycja</t>
  </si>
  <si>
    <t>Allianz Pekao Konserwatywny</t>
  </si>
  <si>
    <t>Allianz Pekao Konserwatywny Plus</t>
  </si>
  <si>
    <t>Allianz Pekao Akcji Amerykańskich</t>
  </si>
  <si>
    <t>Allianz Quercus LEV</t>
  </si>
  <si>
    <t>Allianz Quercus Rosja</t>
  </si>
  <si>
    <t>Allianz Quercus Short</t>
  </si>
  <si>
    <t>Allianz Quercus Stabilny</t>
  </si>
  <si>
    <t>Allianz Skarbiec Konserwatywny</t>
  </si>
  <si>
    <t>Allianz Templeton Asian Growth Fund N Hedged (Acc) (PLN)</t>
  </si>
  <si>
    <t>NA DZIEŃ 30-06-2019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</si>
</sst>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z_ł_-;\-* #,##0.00\ _z_ł_-;_-* &quot;-&quot;??\ _z_ł_-;_-@_-"/>
    <numFmt numFmtId="164" formatCode="#,##0.0000"/>
    <numFmt numFmtId="165" formatCode="0.0000"/>
    <numFmt numFmtId="166" formatCode="_-* #,##0.0000\ _z_ł_-;\-* #,##0.0000\ _z_ł_-;_-* &quot;-&quot;????\ _z_ł_-;_-@_-"/>
    <numFmt numFmtId="167" formatCode="#,##0.0000_ ;\-#,##0.0000\ "/>
    <numFmt numFmtId="168" formatCode="0.000"/>
    <numFmt numFmtId="169" formatCode="#,##0.00000"/>
    <numFmt numFmtId="170" formatCode="#,##0.000000"/>
    <numFmt numFmtId="171" formatCode="0.000000"/>
    <numFmt numFmtId="172" formatCode="0.00000"/>
    <numFmt numFmtId="173" formatCode="#,##0.000000000"/>
  </numFmts>
  <fonts count="6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8"/>
      <color rgb="FF0070C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name val="Czcionka tekstu podstawowego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2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0" borderId="0"/>
    <xf numFmtId="0" fontId="22" fillId="20" borderId="1" applyNumberFormat="0" applyAlignment="0" applyProtection="0"/>
    <xf numFmtId="9" fontId="3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27" fillId="3" borderId="0" applyNumberFormat="0" applyBorder="0" applyAlignment="0" applyProtection="0"/>
    <xf numFmtId="0" fontId="33" fillId="0" borderId="0"/>
    <xf numFmtId="0" fontId="21" fillId="23" borderId="66" applyNumberFormat="0" applyFont="0" applyAlignment="0" applyProtection="0"/>
    <xf numFmtId="0" fontId="23" fillId="0" borderId="65" applyNumberFormat="0" applyFill="0" applyAlignment="0" applyProtection="0"/>
    <xf numFmtId="0" fontId="22" fillId="20" borderId="63" applyNumberFormat="0" applyAlignment="0" applyProtection="0"/>
    <xf numFmtId="0" fontId="13" fillId="20" borderId="64" applyNumberFormat="0" applyAlignment="0" applyProtection="0"/>
    <xf numFmtId="0" fontId="12" fillId="7" borderId="63" applyNumberFormat="0" applyAlignment="0" applyProtection="0"/>
    <xf numFmtId="0" fontId="3" fillId="0" borderId="0"/>
    <xf numFmtId="0" fontId="21" fillId="23" borderId="70" applyNumberFormat="0" applyFont="0" applyAlignment="0" applyProtection="0"/>
    <xf numFmtId="0" fontId="23" fillId="0" borderId="69" applyNumberFormat="0" applyFill="0" applyAlignment="0" applyProtection="0"/>
    <xf numFmtId="0" fontId="22" fillId="20" borderId="67" applyNumberFormat="0" applyAlignment="0" applyProtection="0"/>
    <xf numFmtId="0" fontId="13" fillId="20" borderId="68" applyNumberFormat="0" applyAlignment="0" applyProtection="0"/>
    <xf numFmtId="0" fontId="12" fillId="7" borderId="67" applyNumberFormat="0" applyAlignment="0" applyProtection="0"/>
    <xf numFmtId="0" fontId="35" fillId="0" borderId="0"/>
    <xf numFmtId="0" fontId="36" fillId="33" borderId="0" applyNumberFormat="0" applyBorder="0" applyAlignment="0" applyProtection="0"/>
    <xf numFmtId="0" fontId="36" fillId="37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49" borderId="0" applyNumberFormat="0" applyBorder="0" applyAlignment="0" applyProtection="0"/>
    <xf numFmtId="0" fontId="36" fillId="53" borderId="0" applyNumberFormat="0" applyBorder="0" applyAlignment="0" applyProtection="0"/>
    <xf numFmtId="0" fontId="36" fillId="34" borderId="0" applyNumberFormat="0" applyBorder="0" applyAlignment="0" applyProtection="0"/>
    <xf numFmtId="0" fontId="36" fillId="38" borderId="0" applyNumberFormat="0" applyBorder="0" applyAlignment="0" applyProtection="0"/>
    <xf numFmtId="0" fontId="36" fillId="42" borderId="0" applyNumberFormat="0" applyBorder="0" applyAlignment="0" applyProtection="0"/>
    <xf numFmtId="0" fontId="36" fillId="46" borderId="0" applyNumberFormat="0" applyBorder="0" applyAlignment="0" applyProtection="0"/>
    <xf numFmtId="0" fontId="36" fillId="50" borderId="0" applyNumberFormat="0" applyBorder="0" applyAlignment="0" applyProtection="0"/>
    <xf numFmtId="0" fontId="36" fillId="54" borderId="0" applyNumberFormat="0" applyBorder="0" applyAlignment="0" applyProtection="0"/>
    <xf numFmtId="0" fontId="37" fillId="35" borderId="0" applyNumberFormat="0" applyBorder="0" applyAlignment="0" applyProtection="0"/>
    <xf numFmtId="0" fontId="37" fillId="39" borderId="0" applyNumberFormat="0" applyBorder="0" applyAlignment="0" applyProtection="0"/>
    <xf numFmtId="0" fontId="37" fillId="43" borderId="0" applyNumberFormat="0" applyBorder="0" applyAlignment="0" applyProtection="0"/>
    <xf numFmtId="0" fontId="37" fillId="47" borderId="0" applyNumberFormat="0" applyBorder="0" applyAlignment="0" applyProtection="0"/>
    <xf numFmtId="0" fontId="37" fillId="51" borderId="0" applyNumberFormat="0" applyBorder="0" applyAlignment="0" applyProtection="0"/>
    <xf numFmtId="0" fontId="37" fillId="55" borderId="0" applyNumberFormat="0" applyBorder="0" applyAlignment="0" applyProtection="0"/>
    <xf numFmtId="0" fontId="37" fillId="32" borderId="0" applyNumberFormat="0" applyBorder="0" applyAlignment="0" applyProtection="0"/>
    <xf numFmtId="0" fontId="37" fillId="36" borderId="0" applyNumberFormat="0" applyBorder="0" applyAlignment="0" applyProtection="0"/>
    <xf numFmtId="0" fontId="37" fillId="40" borderId="0" applyNumberFormat="0" applyBorder="0" applyAlignment="0" applyProtection="0"/>
    <xf numFmtId="0" fontId="37" fillId="44" borderId="0" applyNumberFormat="0" applyBorder="0" applyAlignment="0" applyProtection="0"/>
    <xf numFmtId="0" fontId="37" fillId="48" borderId="0" applyNumberFormat="0" applyBorder="0" applyAlignment="0" applyProtection="0"/>
    <xf numFmtId="0" fontId="37" fillId="52" borderId="0" applyNumberFormat="0" applyBorder="0" applyAlignment="0" applyProtection="0"/>
    <xf numFmtId="0" fontId="38" fillId="26" borderId="0" applyNumberFormat="0" applyBorder="0" applyAlignment="0" applyProtection="0"/>
    <xf numFmtId="0" fontId="39" fillId="29" borderId="74" applyNumberFormat="0" applyAlignment="0" applyProtection="0"/>
    <xf numFmtId="0" fontId="40" fillId="30" borderId="77" applyNumberFormat="0" applyAlignment="0" applyProtection="0"/>
    <xf numFmtId="0" fontId="41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3" fillId="0" borderId="71" applyNumberFormat="0" applyFill="0" applyAlignment="0" applyProtection="0"/>
    <xf numFmtId="0" fontId="44" fillId="0" borderId="72" applyNumberFormat="0" applyFill="0" applyAlignment="0" applyProtection="0"/>
    <xf numFmtId="0" fontId="45" fillId="0" borderId="7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74" applyNumberFormat="0" applyAlignment="0" applyProtection="0"/>
    <xf numFmtId="0" fontId="47" fillId="0" borderId="76" applyNumberFormat="0" applyFill="0" applyAlignment="0" applyProtection="0"/>
    <xf numFmtId="0" fontId="48" fillId="27" borderId="0" applyNumberFormat="0" applyBorder="0" applyAlignment="0" applyProtection="0"/>
    <xf numFmtId="0" fontId="35" fillId="31" borderId="78" applyNumberFormat="0" applyFont="0" applyAlignment="0" applyProtection="0"/>
    <xf numFmtId="0" fontId="49" fillId="29" borderId="75" applyNumberFormat="0" applyAlignment="0" applyProtection="0"/>
    <xf numFmtId="0" fontId="50" fillId="0" borderId="0" applyNumberFormat="0" applyFill="0" applyBorder="0" applyAlignment="0" applyProtection="0"/>
    <xf numFmtId="0" fontId="51" fillId="0" borderId="7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53" fillId="31" borderId="78" applyNumberFormat="0" applyFont="0" applyAlignment="0" applyProtection="0"/>
    <xf numFmtId="0" fontId="3" fillId="31" borderId="78" applyNumberFormat="0" applyFont="0" applyAlignment="0" applyProtection="0"/>
    <xf numFmtId="0" fontId="56" fillId="0" borderId="0"/>
    <xf numFmtId="0" fontId="3" fillId="0" borderId="0"/>
    <xf numFmtId="0" fontId="12" fillId="7" borderId="89" applyNumberFormat="0" applyAlignment="0" applyProtection="0"/>
    <xf numFmtId="0" fontId="13" fillId="20" borderId="90" applyNumberFormat="0" applyAlignment="0" applyProtection="0"/>
    <xf numFmtId="0" fontId="22" fillId="20" borderId="89" applyNumberFormat="0" applyAlignment="0" applyProtection="0"/>
    <xf numFmtId="0" fontId="23" fillId="0" borderId="91" applyNumberFormat="0" applyFill="0" applyAlignment="0" applyProtection="0"/>
    <xf numFmtId="0" fontId="21" fillId="23" borderId="92" applyNumberFormat="0" applyFont="0" applyAlignment="0" applyProtection="0"/>
    <xf numFmtId="0" fontId="23" fillId="0" borderId="91" applyNumberFormat="0" applyFill="0" applyAlignment="0" applyProtection="0"/>
    <xf numFmtId="0" fontId="13" fillId="20" borderId="90" applyNumberFormat="0" applyAlignment="0" applyProtection="0"/>
    <xf numFmtId="0" fontId="21" fillId="23" borderId="92" applyNumberFormat="0" applyFont="0" applyAlignment="0" applyProtection="0"/>
    <xf numFmtId="0" fontId="21" fillId="23" borderId="92" applyNumberFormat="0" applyFont="0" applyAlignment="0" applyProtection="0"/>
    <xf numFmtId="0" fontId="3" fillId="0" borderId="0"/>
    <xf numFmtId="0" fontId="12" fillId="7" borderId="89" applyNumberFormat="0" applyAlignment="0" applyProtection="0"/>
    <xf numFmtId="0" fontId="13" fillId="20" borderId="90" applyNumberFormat="0" applyAlignment="0" applyProtection="0"/>
    <xf numFmtId="0" fontId="22" fillId="20" borderId="89" applyNumberFormat="0" applyAlignment="0" applyProtection="0"/>
    <xf numFmtId="0" fontId="23" fillId="0" borderId="91" applyNumberFormat="0" applyFill="0" applyAlignment="0" applyProtection="0"/>
    <xf numFmtId="0" fontId="22" fillId="20" borderId="89" applyNumberFormat="0" applyAlignment="0" applyProtection="0"/>
    <xf numFmtId="0" fontId="12" fillId="7" borderId="89" applyNumberFormat="0" applyAlignment="0" applyProtection="0"/>
    <xf numFmtId="0" fontId="3" fillId="0" borderId="0"/>
    <xf numFmtId="0" fontId="3" fillId="31" borderId="78" applyNumberFormat="0" applyFont="0" applyAlignment="0" applyProtection="0"/>
    <xf numFmtId="0" fontId="2" fillId="0" borderId="0"/>
    <xf numFmtId="0" fontId="3" fillId="0" borderId="0"/>
    <xf numFmtId="0" fontId="58" fillId="0" borderId="0"/>
    <xf numFmtId="0" fontId="59" fillId="0" borderId="0"/>
    <xf numFmtId="0" fontId="1" fillId="0" borderId="0"/>
    <xf numFmtId="9" fontId="1" fillId="0" borderId="0" applyFont="0" applyFill="0" applyBorder="0" applyAlignment="0" applyProtection="0"/>
  </cellStyleXfs>
  <cellXfs count="531">
    <xf numFmtId="0" fontId="0" fillId="0" borderId="0" xfId="0"/>
    <xf numFmtId="0" fontId="4" fillId="24" borderId="0" xfId="0" applyFont="1" applyFill="1"/>
    <xf numFmtId="4" fontId="4" fillId="24" borderId="0" xfId="0" applyNumberFormat="1" applyFont="1" applyFill="1"/>
    <xf numFmtId="0" fontId="4" fillId="24" borderId="0" xfId="0" applyFont="1" applyFill="1" applyBorder="1" applyAlignment="1">
      <alignment horizontal="left" wrapText="1"/>
    </xf>
    <xf numFmtId="0" fontId="7" fillId="24" borderId="10" xfId="0" applyFont="1" applyFill="1" applyBorder="1" applyAlignment="1">
      <alignment wrapText="1"/>
    </xf>
    <xf numFmtId="0" fontId="8" fillId="24" borderId="13" xfId="0" applyFont="1" applyFill="1" applyBorder="1" applyAlignment="1">
      <alignment horizontal="center"/>
    </xf>
    <xf numFmtId="0" fontId="8" fillId="24" borderId="18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 wrapText="1"/>
    </xf>
    <xf numFmtId="43" fontId="4" fillId="24" borderId="0" xfId="0" applyNumberFormat="1" applyFont="1" applyFill="1" applyBorder="1" applyAlignment="1">
      <alignment wrapText="1"/>
    </xf>
    <xf numFmtId="0" fontId="7" fillId="24" borderId="17" xfId="0" applyFont="1" applyFill="1" applyBorder="1" applyAlignment="1">
      <alignment horizontal="left" wrapText="1"/>
    </xf>
    <xf numFmtId="0" fontId="7" fillId="24" borderId="18" xfId="0" applyFont="1" applyFill="1" applyBorder="1" applyAlignment="1">
      <alignment horizontal="left" wrapText="1"/>
    </xf>
    <xf numFmtId="0" fontId="7" fillId="24" borderId="18" xfId="0" applyFont="1" applyFill="1" applyBorder="1" applyAlignment="1">
      <alignment wrapText="1"/>
    </xf>
    <xf numFmtId="0" fontId="8" fillId="24" borderId="27" xfId="0" applyFont="1" applyFill="1" applyBorder="1" applyAlignment="1">
      <alignment wrapText="1"/>
    </xf>
    <xf numFmtId="0" fontId="7" fillId="24" borderId="22" xfId="0" applyFont="1" applyFill="1" applyBorder="1"/>
    <xf numFmtId="0" fontId="8" fillId="24" borderId="17" xfId="0" applyFont="1" applyFill="1" applyBorder="1" applyAlignment="1">
      <alignment horizontal="center"/>
    </xf>
    <xf numFmtId="0" fontId="8" fillId="24" borderId="18" xfId="0" applyNumberFormat="1" applyFont="1" applyFill="1" applyBorder="1" applyAlignment="1">
      <alignment wrapText="1"/>
    </xf>
    <xf numFmtId="0" fontId="8" fillId="24" borderId="20" xfId="0" applyFont="1" applyFill="1" applyBorder="1" applyAlignment="1">
      <alignment horizontal="center"/>
    </xf>
    <xf numFmtId="0" fontId="8" fillId="24" borderId="19" xfId="0" applyNumberFormat="1" applyFont="1" applyFill="1" applyBorder="1" applyAlignment="1">
      <alignment wrapText="1"/>
    </xf>
    <xf numFmtId="4" fontId="4" fillId="24" borderId="27" xfId="0" applyNumberFormat="1" applyFont="1" applyFill="1" applyBorder="1" applyAlignment="1">
      <alignment horizontal="center" wrapText="1"/>
    </xf>
    <xf numFmtId="4" fontId="4" fillId="24" borderId="28" xfId="0" applyNumberFormat="1" applyFont="1" applyFill="1" applyBorder="1" applyAlignment="1">
      <alignment horizontal="center" wrapText="1"/>
    </xf>
    <xf numFmtId="0" fontId="7" fillId="24" borderId="29" xfId="0" applyFont="1" applyFill="1" applyBorder="1" applyAlignment="1">
      <alignment horizontal="left" wrapText="1"/>
    </xf>
    <xf numFmtId="0" fontId="8" fillId="24" borderId="26" xfId="0" applyFont="1" applyFill="1" applyBorder="1" applyAlignment="1">
      <alignment horizontal="center"/>
    </xf>
    <xf numFmtId="0" fontId="8" fillId="24" borderId="27" xfId="0" applyNumberFormat="1" applyFont="1" applyFill="1" applyBorder="1" applyAlignment="1">
      <alignment wrapText="1"/>
    </xf>
    <xf numFmtId="0" fontId="7" fillId="24" borderId="32" xfId="0" applyFont="1" applyFill="1" applyBorder="1"/>
    <xf numFmtId="0" fontId="7" fillId="24" borderId="33" xfId="0" applyNumberFormat="1" applyFont="1" applyFill="1" applyBorder="1" applyAlignment="1">
      <alignment wrapText="1"/>
    </xf>
    <xf numFmtId="4" fontId="7" fillId="24" borderId="33" xfId="0" applyNumberFormat="1" applyFont="1" applyFill="1" applyBorder="1"/>
    <xf numFmtId="10" fontId="7" fillId="24" borderId="34" xfId="37" applyNumberFormat="1" applyFont="1" applyFill="1" applyBorder="1"/>
    <xf numFmtId="0" fontId="0" fillId="24" borderId="0" xfId="0" applyFill="1"/>
    <xf numFmtId="4" fontId="7" fillId="24" borderId="24" xfId="0" applyNumberFormat="1" applyFont="1" applyFill="1" applyBorder="1"/>
    <xf numFmtId="4" fontId="7" fillId="24" borderId="37" xfId="0" applyNumberFormat="1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center"/>
    </xf>
    <xf numFmtId="0" fontId="7" fillId="24" borderId="38" xfId="0" applyNumberFormat="1" applyFont="1" applyFill="1" applyBorder="1" applyAlignment="1">
      <alignment wrapText="1"/>
    </xf>
    <xf numFmtId="10" fontId="7" fillId="24" borderId="15" xfId="37" applyNumberFormat="1" applyFont="1" applyFill="1" applyBorder="1"/>
    <xf numFmtId="0" fontId="21" fillId="0" borderId="0" xfId="35"/>
    <xf numFmtId="0" fontId="28" fillId="0" borderId="0" xfId="35" applyFont="1"/>
    <xf numFmtId="43" fontId="28" fillId="0" borderId="0" xfId="35" applyNumberFormat="1" applyFont="1"/>
    <xf numFmtId="0" fontId="29" fillId="0" borderId="29" xfId="35" applyFont="1" applyBorder="1"/>
    <xf numFmtId="0" fontId="29" fillId="0" borderId="41" xfId="35" applyFont="1" applyBorder="1"/>
    <xf numFmtId="43" fontId="29" fillId="0" borderId="42" xfId="35" applyNumberFormat="1" applyFont="1" applyBorder="1"/>
    <xf numFmtId="43" fontId="29" fillId="0" borderId="37" xfId="35" applyNumberFormat="1" applyFont="1" applyBorder="1"/>
    <xf numFmtId="43" fontId="29" fillId="0" borderId="0" xfId="35" applyNumberFormat="1" applyFont="1"/>
    <xf numFmtId="0" fontId="29" fillId="0" borderId="0" xfId="35" applyFont="1"/>
    <xf numFmtId="0" fontId="29" fillId="0" borderId="43" xfId="35" applyFont="1" applyBorder="1"/>
    <xf numFmtId="0" fontId="29" fillId="0" borderId="0" xfId="35" applyFont="1" applyBorder="1"/>
    <xf numFmtId="43" fontId="30" fillId="0" borderId="44" xfId="35" applyNumberFormat="1" applyFont="1" applyBorder="1" applyAlignment="1">
      <alignment horizontal="center"/>
    </xf>
    <xf numFmtId="43" fontId="30" fillId="0" borderId="45" xfId="35" applyNumberFormat="1" applyFont="1" applyBorder="1" applyAlignment="1">
      <alignment horizontal="center"/>
    </xf>
    <xf numFmtId="0" fontId="29" fillId="0" borderId="46" xfId="35" applyFont="1" applyBorder="1"/>
    <xf numFmtId="0" fontId="29" fillId="0" borderId="47" xfId="35" applyFont="1" applyBorder="1"/>
    <xf numFmtId="43" fontId="30" fillId="0" borderId="48" xfId="35" applyNumberFormat="1" applyFont="1" applyBorder="1" applyAlignment="1">
      <alignment horizontal="center"/>
    </xf>
    <xf numFmtId="43" fontId="30" fillId="0" borderId="49" xfId="35" applyNumberFormat="1" applyFont="1" applyBorder="1" applyAlignment="1">
      <alignment horizontal="center"/>
    </xf>
    <xf numFmtId="43" fontId="29" fillId="0" borderId="44" xfId="35" applyNumberFormat="1" applyFont="1" applyBorder="1"/>
    <xf numFmtId="43" fontId="29" fillId="0" borderId="45" xfId="35" applyNumberFormat="1" applyFont="1" applyBorder="1"/>
    <xf numFmtId="0" fontId="30" fillId="0" borderId="43" xfId="35" applyFont="1" applyBorder="1"/>
    <xf numFmtId="0" fontId="30" fillId="0" borderId="0" xfId="35" applyFont="1" applyBorder="1"/>
    <xf numFmtId="43" fontId="30" fillId="0" borderId="44" xfId="35" applyNumberFormat="1" applyFont="1" applyFill="1" applyBorder="1"/>
    <xf numFmtId="43" fontId="30" fillId="0" borderId="45" xfId="35" applyNumberFormat="1" applyFont="1" applyFill="1" applyBorder="1"/>
    <xf numFmtId="43" fontId="30" fillId="0" borderId="44" xfId="35" applyNumberFormat="1" applyFont="1" applyBorder="1"/>
    <xf numFmtId="43" fontId="30" fillId="0" borderId="45" xfId="35" applyNumberFormat="1" applyFont="1" applyBorder="1"/>
    <xf numFmtId="4" fontId="29" fillId="0" borderId="0" xfId="35" applyNumberFormat="1" applyFont="1"/>
    <xf numFmtId="0" fontId="30" fillId="0" borderId="29" xfId="35" applyFont="1" applyBorder="1"/>
    <xf numFmtId="0" fontId="30" fillId="0" borderId="41" xfId="35" applyFont="1" applyBorder="1"/>
    <xf numFmtId="43" fontId="30" fillId="0" borderId="42" xfId="35" applyNumberFormat="1" applyFont="1" applyBorder="1"/>
    <xf numFmtId="43" fontId="30" fillId="0" borderId="37" xfId="35" applyNumberFormat="1" applyFont="1" applyBorder="1"/>
    <xf numFmtId="0" fontId="30" fillId="0" borderId="46" xfId="35" applyFont="1" applyBorder="1"/>
    <xf numFmtId="0" fontId="30" fillId="0" borderId="47" xfId="35" applyFont="1" applyBorder="1"/>
    <xf numFmtId="43" fontId="30" fillId="0" borderId="48" xfId="35" applyNumberFormat="1" applyFont="1" applyBorder="1"/>
    <xf numFmtId="43" fontId="30" fillId="0" borderId="49" xfId="35" applyNumberFormat="1" applyFont="1" applyBorder="1"/>
    <xf numFmtId="43" fontId="29" fillId="0" borderId="48" xfId="35" applyNumberFormat="1" applyFont="1" applyBorder="1"/>
    <xf numFmtId="43" fontId="29" fillId="0" borderId="49" xfId="35" applyNumberFormat="1" applyFont="1" applyBorder="1"/>
    <xf numFmtId="10" fontId="7" fillId="24" borderId="31" xfId="37" applyNumberFormat="1" applyFont="1" applyFill="1" applyBorder="1"/>
    <xf numFmtId="43" fontId="0" fillId="0" borderId="0" xfId="0" applyNumberFormat="1"/>
    <xf numFmtId="0" fontId="8" fillId="24" borderId="39" xfId="0" applyFont="1" applyFill="1" applyBorder="1" applyAlignment="1">
      <alignment wrapText="1"/>
    </xf>
    <xf numFmtId="0" fontId="8" fillId="24" borderId="40" xfId="0" applyFont="1" applyFill="1" applyBorder="1" applyAlignment="1">
      <alignment wrapText="1"/>
    </xf>
    <xf numFmtId="4" fontId="7" fillId="24" borderId="14" xfId="0" applyNumberFormat="1" applyFont="1" applyFill="1" applyBorder="1" applyAlignment="1">
      <alignment horizontal="center" wrapText="1"/>
    </xf>
    <xf numFmtId="43" fontId="21" fillId="0" borderId="0" xfId="35" applyNumberFormat="1"/>
    <xf numFmtId="4" fontId="21" fillId="0" borderId="0" xfId="35" applyNumberFormat="1"/>
    <xf numFmtId="4" fontId="0" fillId="0" borderId="0" xfId="0" applyNumberFormat="1"/>
    <xf numFmtId="43" fontId="21" fillId="0" borderId="0" xfId="35" applyNumberFormat="1" applyAlignment="1">
      <alignment horizontal="right"/>
    </xf>
    <xf numFmtId="43" fontId="31" fillId="0" borderId="44" xfId="35" applyNumberFormat="1" applyFont="1" applyFill="1" applyBorder="1"/>
    <xf numFmtId="164" fontId="3" fillId="24" borderId="25" xfId="0" applyNumberFormat="1" applyFont="1" applyFill="1" applyBorder="1"/>
    <xf numFmtId="4" fontId="7" fillId="0" borderId="0" xfId="0" applyNumberFormat="1" applyFont="1"/>
    <xf numFmtId="165" fontId="3" fillId="24" borderId="25" xfId="0" applyNumberFormat="1" applyFont="1" applyFill="1" applyBorder="1"/>
    <xf numFmtId="0" fontId="8" fillId="24" borderId="11" xfId="0" applyFont="1" applyFill="1" applyBorder="1" applyAlignment="1">
      <alignment horizontal="center"/>
    </xf>
    <xf numFmtId="4" fontId="32" fillId="0" borderId="0" xfId="0" applyNumberFormat="1" applyFont="1"/>
    <xf numFmtId="4" fontId="3" fillId="24" borderId="18" xfId="0" applyNumberFormat="1" applyFont="1" applyFill="1" applyBorder="1"/>
    <xf numFmtId="10" fontId="3" fillId="24" borderId="31" xfId="37" applyNumberFormat="1" applyFont="1" applyFill="1" applyBorder="1"/>
    <xf numFmtId="4" fontId="3" fillId="24" borderId="27" xfId="0" applyNumberFormat="1" applyFont="1" applyFill="1" applyBorder="1"/>
    <xf numFmtId="10" fontId="3" fillId="24" borderId="28" xfId="37" applyNumberFormat="1" applyFont="1" applyFill="1" applyBorder="1"/>
    <xf numFmtId="4" fontId="3" fillId="24" borderId="19" xfId="0" applyNumberFormat="1" applyFont="1" applyFill="1" applyBorder="1"/>
    <xf numFmtId="10" fontId="3" fillId="24" borderId="35" xfId="37" applyNumberFormat="1" applyFont="1" applyFill="1" applyBorder="1"/>
    <xf numFmtId="0" fontId="3" fillId="24" borderId="0" xfId="0" applyFont="1" applyFill="1"/>
    <xf numFmtId="0" fontId="7" fillId="0" borderId="0" xfId="0" applyFont="1"/>
    <xf numFmtId="0" fontId="6" fillId="24" borderId="0" xfId="0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22" xfId="0" applyFont="1" applyFill="1" applyBorder="1" applyAlignment="1">
      <alignment wrapText="1"/>
    </xf>
    <xf numFmtId="0" fontId="8" fillId="24" borderId="57" xfId="0" applyFont="1" applyFill="1" applyBorder="1" applyAlignment="1">
      <alignment wrapText="1"/>
    </xf>
    <xf numFmtId="0" fontId="7" fillId="24" borderId="17" xfId="0" applyFont="1" applyFill="1" applyBorder="1" applyAlignment="1">
      <alignment wrapText="1"/>
    </xf>
    <xf numFmtId="0" fontId="7" fillId="24" borderId="0" xfId="0" applyFont="1" applyFill="1" applyBorder="1" applyAlignment="1">
      <alignment horizontal="left" wrapText="1"/>
    </xf>
    <xf numFmtId="43" fontId="7" fillId="24" borderId="0" xfId="0" applyNumberFormat="1" applyFont="1" applyFill="1" applyBorder="1" applyAlignment="1">
      <alignment horizontal="right" wrapText="1"/>
    </xf>
    <xf numFmtId="0" fontId="7" fillId="24" borderId="30" xfId="0" applyFont="1" applyFill="1" applyBorder="1" applyAlignment="1">
      <alignment horizontal="left" wrapText="1"/>
    </xf>
    <xf numFmtId="0" fontId="7" fillId="24" borderId="14" xfId="0" applyFont="1" applyFill="1" applyBorder="1" applyAlignment="1">
      <alignment horizontal="left" wrapText="1"/>
    </xf>
    <xf numFmtId="0" fontId="7" fillId="24" borderId="26" xfId="0" applyFont="1" applyFill="1" applyBorder="1" applyAlignment="1">
      <alignment horizontal="left" wrapText="1"/>
    </xf>
    <xf numFmtId="0" fontId="7" fillId="24" borderId="27" xfId="0" applyFont="1" applyFill="1" applyBorder="1" applyAlignment="1">
      <alignment horizontal="left" wrapText="1"/>
    </xf>
    <xf numFmtId="0" fontId="7" fillId="24" borderId="54" xfId="0" applyFont="1" applyFill="1" applyBorder="1" applyAlignment="1">
      <alignment horizontal="left" wrapText="1"/>
    </xf>
    <xf numFmtId="0" fontId="7" fillId="24" borderId="21" xfId="0" applyFont="1" applyFill="1" applyBorder="1" applyAlignment="1">
      <alignment horizontal="left" wrapText="1"/>
    </xf>
    <xf numFmtId="4" fontId="7" fillId="24" borderId="16" xfId="0" applyNumberFormat="1" applyFont="1" applyFill="1" applyBorder="1"/>
    <xf numFmtId="0" fontId="8" fillId="24" borderId="17" xfId="0" applyFont="1" applyFill="1" applyBorder="1" applyAlignment="1">
      <alignment horizontal="left"/>
    </xf>
    <xf numFmtId="0" fontId="8" fillId="24" borderId="20" xfId="0" applyFont="1" applyFill="1" applyBorder="1" applyAlignment="1">
      <alignment horizontal="left"/>
    </xf>
    <xf numFmtId="0" fontId="8" fillId="24" borderId="17" xfId="0" applyFont="1" applyFill="1" applyBorder="1" applyAlignment="1">
      <alignment wrapText="1"/>
    </xf>
    <xf numFmtId="0" fontId="8" fillId="24" borderId="26" xfId="0" applyFont="1" applyFill="1" applyBorder="1" applyAlignment="1">
      <alignment wrapText="1"/>
    </xf>
    <xf numFmtId="0" fontId="8" fillId="24" borderId="17" xfId="0" applyFont="1" applyFill="1" applyBorder="1" applyAlignment="1">
      <alignment horizontal="left" wrapText="1"/>
    </xf>
    <xf numFmtId="0" fontId="8" fillId="24" borderId="26" xfId="0" applyFont="1" applyFill="1" applyBorder="1" applyAlignment="1">
      <alignment horizontal="left" wrapText="1"/>
    </xf>
    <xf numFmtId="0" fontId="8" fillId="24" borderId="20" xfId="0" applyFont="1" applyFill="1" applyBorder="1" applyAlignment="1">
      <alignment horizontal="left" wrapText="1"/>
    </xf>
    <xf numFmtId="0" fontId="8" fillId="24" borderId="0" xfId="0" applyFont="1" applyFill="1" applyBorder="1" applyAlignment="1">
      <alignment horizontal="left"/>
    </xf>
    <xf numFmtId="0" fontId="8" fillId="24" borderId="0" xfId="0" applyNumberFormat="1" applyFont="1" applyFill="1" applyBorder="1" applyAlignment="1">
      <alignment wrapText="1"/>
    </xf>
    <xf numFmtId="165" fontId="3" fillId="24" borderId="0" xfId="0" applyNumberFormat="1" applyFont="1" applyFill="1" applyBorder="1"/>
    <xf numFmtId="0" fontId="8" fillId="24" borderId="32" xfId="0" applyFont="1" applyFill="1" applyBorder="1" applyAlignment="1">
      <alignment horizontal="center"/>
    </xf>
    <xf numFmtId="0" fontId="8" fillId="24" borderId="33" xfId="0" applyNumberFormat="1" applyFont="1" applyFill="1" applyBorder="1" applyAlignment="1">
      <alignment wrapText="1"/>
    </xf>
    <xf numFmtId="4" fontId="3" fillId="24" borderId="33" xfId="0" applyNumberFormat="1" applyFont="1" applyFill="1" applyBorder="1"/>
    <xf numFmtId="10" fontId="3" fillId="24" borderId="34" xfId="37" applyNumberFormat="1" applyFont="1" applyFill="1" applyBorder="1"/>
    <xf numFmtId="0" fontId="7" fillId="24" borderId="60" xfId="0" applyFont="1" applyFill="1" applyBorder="1"/>
    <xf numFmtId="0" fontId="7" fillId="24" borderId="61" xfId="0" applyNumberFormat="1" applyFont="1" applyFill="1" applyBorder="1" applyAlignment="1">
      <alignment wrapText="1"/>
    </xf>
    <xf numFmtId="4" fontId="7" fillId="24" borderId="61" xfId="0" applyNumberFormat="1" applyFont="1" applyFill="1" applyBorder="1"/>
    <xf numFmtId="10" fontId="7" fillId="24" borderId="62" xfId="37" applyNumberFormat="1" applyFont="1" applyFill="1" applyBorder="1"/>
    <xf numFmtId="0" fontId="7" fillId="24" borderId="17" xfId="0" applyFont="1" applyFill="1" applyBorder="1"/>
    <xf numFmtId="0" fontId="7" fillId="24" borderId="18" xfId="0" applyNumberFormat="1" applyFont="1" applyFill="1" applyBorder="1" applyAlignment="1">
      <alignment wrapText="1"/>
    </xf>
    <xf numFmtId="4" fontId="7" fillId="24" borderId="18" xfId="0" applyNumberFormat="1" applyFont="1" applyFill="1" applyBorder="1"/>
    <xf numFmtId="0" fontId="8" fillId="24" borderId="26" xfId="0" applyFont="1" applyFill="1" applyBorder="1" applyAlignment="1">
      <alignment horizontal="left"/>
    </xf>
    <xf numFmtId="0" fontId="7" fillId="24" borderId="39" xfId="0" applyNumberFormat="1" applyFont="1" applyFill="1" applyBorder="1" applyAlignment="1">
      <alignment wrapText="1"/>
    </xf>
    <xf numFmtId="4" fontId="3" fillId="24" borderId="55" xfId="0" applyNumberFormat="1" applyFont="1" applyFill="1" applyBorder="1"/>
    <xf numFmtId="0" fontId="7" fillId="24" borderId="14" xfId="0" applyNumberFormat="1" applyFont="1" applyFill="1" applyBorder="1" applyAlignment="1">
      <alignment wrapText="1"/>
    </xf>
    <xf numFmtId="4" fontId="7" fillId="24" borderId="14" xfId="0" applyNumberFormat="1" applyFont="1" applyFill="1" applyBorder="1" applyAlignment="1">
      <alignment horizontal="right" wrapText="1"/>
    </xf>
    <xf numFmtId="0" fontId="7" fillId="24" borderId="23" xfId="0" applyFont="1" applyFill="1" applyBorder="1" applyAlignment="1">
      <alignment wrapText="1"/>
    </xf>
    <xf numFmtId="0" fontId="8" fillId="24" borderId="32" xfId="0" applyFont="1" applyFill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7" fillId="24" borderId="60" xfId="0" applyFont="1" applyFill="1" applyBorder="1" applyAlignment="1">
      <alignment horizontal="left"/>
    </xf>
    <xf numFmtId="0" fontId="7" fillId="24" borderId="32" xfId="0" applyFont="1" applyFill="1" applyBorder="1" applyAlignment="1">
      <alignment horizontal="left"/>
    </xf>
    <xf numFmtId="0" fontId="34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center"/>
    </xf>
    <xf numFmtId="0" fontId="7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6" fillId="24" borderId="0" xfId="0" applyFont="1" applyFill="1" applyBorder="1" applyAlignment="1">
      <alignment horizontal="center"/>
    </xf>
    <xf numFmtId="43" fontId="7" fillId="24" borderId="12" xfId="0" applyNumberFormat="1" applyFont="1" applyFill="1" applyBorder="1" applyAlignment="1">
      <alignment horizontal="right" wrapText="1"/>
    </xf>
    <xf numFmtId="164" fontId="3" fillId="24" borderId="50" xfId="0" applyNumberFormat="1" applyFont="1" applyFill="1" applyBorder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166" fontId="0" fillId="0" borderId="0" xfId="0" applyNumberFormat="1"/>
    <xf numFmtId="4" fontId="3" fillId="0" borderId="0" xfId="0" applyNumberFormat="1" applyFont="1"/>
    <xf numFmtId="0" fontId="0" fillId="0" borderId="0" xfId="0" applyAlignment="1">
      <alignment vertical="top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29" fillId="0" borderId="0" xfId="35" applyNumberFormat="1" applyFont="1"/>
    <xf numFmtId="4" fontId="3" fillId="0" borderId="0" xfId="35" applyNumberFormat="1" applyFont="1"/>
    <xf numFmtId="164" fontId="0" fillId="0" borderId="0" xfId="0" applyNumberFormat="1"/>
    <xf numFmtId="0" fontId="0" fillId="0" borderId="0" xfId="0" applyFill="1"/>
    <xf numFmtId="0" fontId="7" fillId="0" borderId="0" xfId="0" applyFont="1" applyFill="1"/>
    <xf numFmtId="4" fontId="0" fillId="0" borderId="0" xfId="0" applyNumberFormat="1" applyFill="1"/>
    <xf numFmtId="4" fontId="7" fillId="0" borderId="0" xfId="0" applyNumberFormat="1" applyFont="1" applyFill="1"/>
    <xf numFmtId="4" fontId="32" fillId="0" borderId="0" xfId="0" applyNumberFormat="1" applyFont="1" applyFill="1"/>
    <xf numFmtId="43" fontId="0" fillId="0" borderId="0" xfId="0" applyNumberFormat="1" applyFill="1"/>
    <xf numFmtId="4" fontId="7" fillId="0" borderId="16" xfId="0" applyNumberFormat="1" applyFont="1" applyFill="1" applyBorder="1"/>
    <xf numFmtId="4" fontId="7" fillId="0" borderId="24" xfId="0" applyNumberFormat="1" applyFont="1" applyFill="1" applyBorder="1"/>
    <xf numFmtId="4" fontId="3" fillId="0" borderId="55" xfId="0" applyNumberFormat="1" applyFont="1" applyFill="1" applyBorder="1"/>
    <xf numFmtId="43" fontId="32" fillId="0" borderId="0" xfId="0" applyNumberFormat="1" applyFont="1"/>
    <xf numFmtId="2" fontId="32" fillId="0" borderId="0" xfId="0" applyNumberFormat="1" applyFont="1"/>
    <xf numFmtId="43" fontId="7" fillId="0" borderId="0" xfId="0" applyNumberFormat="1" applyFont="1" applyFill="1" applyBorder="1" applyAlignment="1">
      <alignment horizontal="right"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43" fontId="29" fillId="0" borderId="0" xfId="35" applyNumberFormat="1" applyFont="1" applyAlignment="1">
      <alignment horizontal="left"/>
    </xf>
    <xf numFmtId="43" fontId="21" fillId="0" borderId="0" xfId="35" applyNumberFormat="1" applyAlignment="1">
      <alignment horizontal="left"/>
    </xf>
    <xf numFmtId="168" fontId="0" fillId="0" borderId="0" xfId="0" applyNumberFormat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wrapText="1"/>
    </xf>
    <xf numFmtId="0" fontId="3" fillId="0" borderId="0" xfId="0" applyFont="1"/>
    <xf numFmtId="0" fontId="3" fillId="24" borderId="17" xfId="0" applyFont="1" applyFill="1" applyBorder="1" applyAlignment="1">
      <alignment horizontal="left" wrapText="1"/>
    </xf>
    <xf numFmtId="0" fontId="3" fillId="24" borderId="18" xfId="0" applyFont="1" applyFill="1" applyBorder="1" applyAlignment="1">
      <alignment wrapText="1"/>
    </xf>
    <xf numFmtId="0" fontId="3" fillId="24" borderId="39" xfId="0" applyFont="1" applyFill="1" applyBorder="1" applyAlignment="1">
      <alignment wrapText="1"/>
    </xf>
    <xf numFmtId="0" fontId="3" fillId="24" borderId="26" xfId="0" applyFont="1" applyFill="1" applyBorder="1" applyAlignment="1">
      <alignment horizontal="left" wrapText="1"/>
    </xf>
    <xf numFmtId="0" fontId="3" fillId="24" borderId="57" xfId="0" applyFont="1" applyFill="1" applyBorder="1" applyAlignment="1">
      <alignment wrapText="1"/>
    </xf>
    <xf numFmtId="0" fontId="3" fillId="24" borderId="20" xfId="0" applyFont="1" applyFill="1" applyBorder="1" applyAlignment="1">
      <alignment horizontal="left" wrapText="1"/>
    </xf>
    <xf numFmtId="0" fontId="3" fillId="24" borderId="40" xfId="0" applyFont="1" applyFill="1" applyBorder="1" applyAlignment="1">
      <alignment wrapText="1"/>
    </xf>
    <xf numFmtId="0" fontId="3" fillId="24" borderId="13" xfId="0" applyFont="1" applyFill="1" applyBorder="1" applyAlignment="1">
      <alignment horizontal="center"/>
    </xf>
    <xf numFmtId="0" fontId="3" fillId="24" borderId="17" xfId="0" applyFont="1" applyFill="1" applyBorder="1" applyAlignment="1">
      <alignment wrapText="1"/>
    </xf>
    <xf numFmtId="0" fontId="3" fillId="24" borderId="26" xfId="0" applyFont="1" applyFill="1" applyBorder="1" applyAlignment="1">
      <alignment wrapText="1"/>
    </xf>
    <xf numFmtId="0" fontId="3" fillId="24" borderId="27" xfId="0" applyFont="1" applyFill="1" applyBorder="1" applyAlignment="1">
      <alignment wrapText="1"/>
    </xf>
    <xf numFmtId="0" fontId="3" fillId="24" borderId="17" xfId="0" applyFont="1" applyFill="1" applyBorder="1" applyAlignment="1">
      <alignment horizontal="left"/>
    </xf>
    <xf numFmtId="0" fontId="3" fillId="24" borderId="18" xfId="0" applyNumberFormat="1" applyFont="1" applyFill="1" applyBorder="1" applyAlignment="1">
      <alignment wrapText="1"/>
    </xf>
    <xf numFmtId="0" fontId="3" fillId="24" borderId="26" xfId="0" applyFont="1" applyFill="1" applyBorder="1" applyAlignment="1">
      <alignment horizontal="left"/>
    </xf>
    <xf numFmtId="0" fontId="3" fillId="24" borderId="27" xfId="0" applyNumberFormat="1" applyFont="1" applyFill="1" applyBorder="1" applyAlignment="1">
      <alignment wrapText="1"/>
    </xf>
    <xf numFmtId="0" fontId="3" fillId="24" borderId="20" xfId="0" applyFont="1" applyFill="1" applyBorder="1" applyAlignment="1">
      <alignment horizontal="left"/>
    </xf>
    <xf numFmtId="0" fontId="3" fillId="24" borderId="19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horizontal="left"/>
    </xf>
    <xf numFmtId="0" fontId="3" fillId="24" borderId="0" xfId="0" applyNumberFormat="1" applyFont="1" applyFill="1" applyBorder="1" applyAlignment="1">
      <alignment wrapText="1"/>
    </xf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0" fontId="7" fillId="24" borderId="38" xfId="0" applyFont="1" applyFill="1" applyBorder="1" applyAlignment="1">
      <alignment wrapText="1"/>
    </xf>
    <xf numFmtId="0" fontId="8" fillId="24" borderId="87" xfId="0" applyFont="1" applyFill="1" applyBorder="1" applyAlignment="1">
      <alignment wrapText="1"/>
    </xf>
    <xf numFmtId="0" fontId="8" fillId="24" borderId="88" xfId="0" applyFont="1" applyFill="1" applyBorder="1" applyAlignment="1">
      <alignment wrapText="1"/>
    </xf>
    <xf numFmtId="0" fontId="7" fillId="24" borderId="87" xfId="0" applyFont="1" applyFill="1" applyBorder="1" applyAlignment="1">
      <alignment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165" fontId="55" fillId="24" borderId="0" xfId="0" applyNumberFormat="1" applyFont="1" applyFill="1" applyBorder="1"/>
    <xf numFmtId="43" fontId="7" fillId="0" borderId="0" xfId="35" applyNumberFormat="1" applyFont="1"/>
    <xf numFmtId="4" fontId="7" fillId="0" borderId="0" xfId="35" applyNumberFormat="1" applyFont="1"/>
    <xf numFmtId="43" fontId="7" fillId="24" borderId="53" xfId="0" applyNumberFormat="1" applyFont="1" applyFill="1" applyBorder="1" applyAlignment="1">
      <alignment horizontal="right" wrapText="1"/>
    </xf>
    <xf numFmtId="43" fontId="7" fillId="24" borderId="51" xfId="0" applyNumberFormat="1" applyFont="1" applyFill="1" applyBorder="1" applyAlignment="1">
      <alignment horizontal="right" wrapText="1"/>
    </xf>
    <xf numFmtId="43" fontId="3" fillId="24" borderId="51" xfId="0" applyNumberFormat="1" applyFont="1" applyFill="1" applyBorder="1" applyAlignment="1">
      <alignment horizontal="right" wrapText="1"/>
    </xf>
    <xf numFmtId="43" fontId="3" fillId="24" borderId="59" xfId="0" applyNumberFormat="1" applyFont="1" applyFill="1" applyBorder="1" applyAlignment="1">
      <alignment horizontal="right" wrapText="1"/>
    </xf>
    <xf numFmtId="43" fontId="7" fillId="24" borderId="59" xfId="0" applyNumberFormat="1" applyFont="1" applyFill="1" applyBorder="1" applyAlignment="1">
      <alignment horizontal="right" wrapText="1"/>
    </xf>
    <xf numFmtId="43" fontId="7" fillId="24" borderId="13" xfId="0" applyNumberFormat="1" applyFont="1" applyFill="1" applyBorder="1" applyAlignment="1">
      <alignment horizontal="right" wrapText="1"/>
    </xf>
    <xf numFmtId="164" fontId="3" fillId="24" borderId="51" xfId="0" applyNumberFormat="1" applyFont="1" applyFill="1" applyBorder="1"/>
    <xf numFmtId="164" fontId="3" fillId="24" borderId="59" xfId="0" applyNumberFormat="1" applyFont="1" applyFill="1" applyBorder="1"/>
    <xf numFmtId="4" fontId="3" fillId="24" borderId="58" xfId="0" applyNumberFormat="1" applyFont="1" applyFill="1" applyBorder="1"/>
    <xf numFmtId="165" fontId="3" fillId="24" borderId="51" xfId="0" applyNumberFormat="1" applyFont="1" applyFill="1" applyBorder="1"/>
    <xf numFmtId="165" fontId="3" fillId="24" borderId="52" xfId="0" applyNumberFormat="1" applyFont="1" applyFill="1" applyBorder="1"/>
    <xf numFmtId="0" fontId="7" fillId="24" borderId="10" xfId="0" applyFont="1" applyFill="1" applyBorder="1" applyAlignment="1">
      <alignment wrapText="1"/>
    </xf>
    <xf numFmtId="4" fontId="3" fillId="24" borderId="86" xfId="0" applyNumberFormat="1" applyFont="1" applyFill="1" applyBorder="1"/>
    <xf numFmtId="0" fontId="3" fillId="0" borderId="0" xfId="0" applyFont="1" applyFill="1"/>
    <xf numFmtId="172" fontId="3" fillId="0" borderId="0" xfId="0" applyNumberFormat="1" applyFont="1"/>
    <xf numFmtId="166" fontId="3" fillId="0" borderId="0" xfId="0" applyNumberFormat="1" applyFont="1"/>
    <xf numFmtId="0" fontId="7" fillId="24" borderId="10" xfId="0" applyFont="1" applyFill="1" applyBorder="1" applyAlignment="1">
      <alignment wrapText="1"/>
    </xf>
    <xf numFmtId="0" fontId="34" fillId="24" borderId="0" xfId="0" applyFont="1" applyFill="1" applyBorder="1" applyAlignment="1">
      <alignment horizontal="left" vertical="center" wrapText="1"/>
    </xf>
    <xf numFmtId="173" fontId="0" fillId="0" borderId="0" xfId="0" applyNumberFormat="1"/>
    <xf numFmtId="0" fontId="7" fillId="24" borderId="10" xfId="0" applyFont="1" applyFill="1" applyBorder="1" applyAlignment="1">
      <alignment wrapText="1"/>
    </xf>
    <xf numFmtId="43" fontId="29" fillId="0" borderId="0" xfId="35" applyNumberFormat="1" applyFont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7" fillId="0" borderId="0" xfId="35" applyFont="1"/>
    <xf numFmtId="0" fontId="7" fillId="24" borderId="39" xfId="0" applyFont="1" applyFill="1" applyBorder="1" applyAlignment="1">
      <alignment wrapText="1"/>
    </xf>
    <xf numFmtId="4" fontId="54" fillId="24" borderId="16" xfId="0" applyNumberFormat="1" applyFont="1" applyFill="1" applyBorder="1"/>
    <xf numFmtId="4" fontId="3" fillId="0" borderId="0" xfId="0" quotePrefix="1" applyNumberFormat="1" applyFont="1"/>
    <xf numFmtId="169" fontId="3" fillId="0" borderId="0" xfId="0" quotePrefix="1" applyNumberFormat="1" applyFont="1"/>
    <xf numFmtId="4" fontId="57" fillId="24" borderId="0" xfId="0" applyNumberFormat="1" applyFont="1" applyFill="1"/>
    <xf numFmtId="43" fontId="32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43" fontId="57" fillId="24" borderId="0" xfId="0" applyNumberFormat="1" applyFont="1" applyFill="1" applyBorder="1" applyAlignment="1">
      <alignment wrapText="1"/>
    </xf>
    <xf numFmtId="43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7" fillId="0" borderId="0" xfId="0" applyNumberFormat="1" applyFont="1" applyAlignment="1">
      <alignment horizontal="right"/>
    </xf>
    <xf numFmtId="43" fontId="54" fillId="24" borderId="0" xfId="0" applyNumberFormat="1" applyFont="1" applyFill="1" applyBorder="1" applyAlignment="1">
      <alignment horizontal="right" wrapText="1"/>
    </xf>
    <xf numFmtId="4" fontId="29" fillId="0" borderId="0" xfId="35" applyNumberFormat="1" applyFont="1" applyAlignment="1">
      <alignment horizontal="center"/>
    </xf>
    <xf numFmtId="43" fontId="7" fillId="0" borderId="55" xfId="0" applyNumberFormat="1" applyFont="1" applyFill="1" applyBorder="1" applyAlignment="1">
      <alignment horizontal="right" wrapText="1"/>
    </xf>
    <xf numFmtId="43" fontId="7" fillId="0" borderId="25" xfId="0" applyNumberFormat="1" applyFont="1" applyFill="1" applyBorder="1" applyAlignment="1">
      <alignment horizontal="right" wrapText="1"/>
    </xf>
    <xf numFmtId="43" fontId="3" fillId="0" borderId="25" xfId="0" applyNumberFormat="1" applyFont="1" applyFill="1" applyBorder="1" applyAlignment="1">
      <alignment horizontal="right" wrapText="1"/>
    </xf>
    <xf numFmtId="43" fontId="3" fillId="0" borderId="50" xfId="0" applyNumberFormat="1" applyFont="1" applyFill="1" applyBorder="1" applyAlignment="1">
      <alignment horizontal="right" wrapText="1"/>
    </xf>
    <xf numFmtId="43" fontId="7" fillId="0" borderId="12" xfId="0" applyNumberFormat="1" applyFont="1" applyFill="1" applyBorder="1" applyAlignment="1">
      <alignment horizontal="right" wrapText="1"/>
    </xf>
    <xf numFmtId="164" fontId="3" fillId="0" borderId="50" xfId="0" applyNumberFormat="1" applyFont="1" applyFill="1" applyBorder="1"/>
    <xf numFmtId="165" fontId="3" fillId="0" borderId="35" xfId="0" applyNumberFormat="1" applyFont="1" applyFill="1" applyBorder="1"/>
    <xf numFmtId="43" fontId="7" fillId="24" borderId="37" xfId="0" applyNumberFormat="1" applyFont="1" applyFill="1" applyBorder="1" applyAlignment="1">
      <alignment horizontal="right" wrapText="1"/>
    </xf>
    <xf numFmtId="43" fontId="7" fillId="24" borderId="50" xfId="0" applyNumberFormat="1" applyFont="1" applyFill="1" applyBorder="1" applyAlignment="1">
      <alignment horizontal="right" wrapText="1"/>
    </xf>
    <xf numFmtId="165" fontId="3" fillId="24" borderId="36" xfId="0" applyNumberFormat="1" applyFont="1" applyFill="1" applyBorder="1"/>
    <xf numFmtId="165" fontId="3" fillId="0" borderId="25" xfId="0" applyNumberFormat="1" applyFont="1" applyFill="1" applyBorder="1"/>
    <xf numFmtId="164" fontId="3" fillId="24" borderId="85" xfId="0" applyNumberFormat="1" applyFont="1" applyFill="1" applyBorder="1"/>
    <xf numFmtId="165" fontId="3" fillId="24" borderId="86" xfId="0" applyNumberFormat="1" applyFont="1" applyFill="1" applyBorder="1"/>
    <xf numFmtId="0" fontId="3" fillId="24" borderId="33" xfId="0" applyNumberFormat="1" applyFont="1" applyFill="1" applyBorder="1" applyAlignment="1">
      <alignment wrapText="1"/>
    </xf>
    <xf numFmtId="0" fontId="3" fillId="24" borderId="32" xfId="0" applyFont="1" applyFill="1" applyBorder="1" applyAlignment="1">
      <alignment horizontal="left"/>
    </xf>
    <xf numFmtId="0" fontId="55" fillId="0" borderId="0" xfId="0" applyFont="1"/>
    <xf numFmtId="164" fontId="3" fillId="24" borderId="94" xfId="0" applyNumberFormat="1" applyFont="1" applyFill="1" applyBorder="1"/>
    <xf numFmtId="164" fontId="3" fillId="24" borderId="45" xfId="0" applyNumberFormat="1" applyFont="1" applyFill="1" applyBorder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43" fontId="7" fillId="24" borderId="23" xfId="0" applyNumberFormat="1" applyFont="1" applyFill="1" applyBorder="1" applyAlignment="1">
      <alignment horizontal="right" wrapText="1"/>
    </xf>
    <xf numFmtId="43" fontId="7" fillId="24" borderId="24" xfId="0" applyNumberFormat="1" applyFont="1" applyFill="1" applyBorder="1" applyAlignment="1">
      <alignment horizontal="right" wrapText="1"/>
    </xf>
    <xf numFmtId="43" fontId="3" fillId="24" borderId="19" xfId="0" applyNumberFormat="1" applyFont="1" applyFill="1" applyBorder="1" applyAlignment="1">
      <alignment horizontal="right" wrapText="1"/>
    </xf>
    <xf numFmtId="43" fontId="3" fillId="24" borderId="36" xfId="0" applyNumberFormat="1" applyFont="1" applyFill="1" applyBorder="1" applyAlignment="1">
      <alignment horizontal="right" wrapText="1"/>
    </xf>
    <xf numFmtId="43" fontId="7" fillId="24" borderId="21" xfId="0" applyNumberFormat="1" applyFont="1" applyFill="1" applyBorder="1" applyAlignment="1">
      <alignment horizontal="right" wrapText="1"/>
    </xf>
    <xf numFmtId="164" fontId="3" fillId="0" borderId="51" xfId="0" applyNumberFormat="1" applyFont="1" applyFill="1" applyBorder="1"/>
    <xf numFmtId="164" fontId="3" fillId="0" borderId="25" xfId="0" applyNumberFormat="1" applyFont="1" applyFill="1" applyBorder="1"/>
    <xf numFmtId="164" fontId="3" fillId="0" borderId="59" xfId="0" applyNumberFormat="1" applyFont="1" applyFill="1" applyBorder="1"/>
    <xf numFmtId="4" fontId="3" fillId="0" borderId="58" xfId="0" applyNumberFormat="1" applyFont="1" applyFill="1" applyBorder="1"/>
    <xf numFmtId="165" fontId="3" fillId="0" borderId="50" xfId="0" applyNumberFormat="1" applyFont="1" applyFill="1" applyBorder="1"/>
    <xf numFmtId="0" fontId="3" fillId="0" borderId="51" xfId="0" applyNumberFormat="1" applyFont="1" applyFill="1" applyBorder="1"/>
    <xf numFmtId="165" fontId="3" fillId="0" borderId="31" xfId="0" applyNumberFormat="1" applyFont="1" applyFill="1" applyBorder="1"/>
    <xf numFmtId="165" fontId="3" fillId="0" borderId="52" xfId="0" applyNumberFormat="1" applyFont="1" applyFill="1" applyBorder="1"/>
    <xf numFmtId="43" fontId="7" fillId="0" borderId="53" xfId="0" applyNumberFormat="1" applyFont="1" applyFill="1" applyBorder="1" applyAlignment="1">
      <alignment horizontal="right" wrapText="1"/>
    </xf>
    <xf numFmtId="43" fontId="7" fillId="0" borderId="37" xfId="0" applyNumberFormat="1" applyFont="1" applyFill="1" applyBorder="1" applyAlignment="1">
      <alignment horizontal="right" wrapText="1"/>
    </xf>
    <xf numFmtId="43" fontId="7" fillId="0" borderId="51" xfId="0" applyNumberFormat="1" applyFont="1" applyFill="1" applyBorder="1" applyAlignment="1">
      <alignment horizontal="right" wrapText="1"/>
    </xf>
    <xf numFmtId="43" fontId="3" fillId="0" borderId="51" xfId="0" applyNumberFormat="1" applyFont="1" applyFill="1" applyBorder="1" applyAlignment="1">
      <alignment horizontal="right" wrapText="1"/>
    </xf>
    <xf numFmtId="43" fontId="3" fillId="0" borderId="59" xfId="0" applyNumberFormat="1" applyFont="1" applyFill="1" applyBorder="1" applyAlignment="1">
      <alignment horizontal="right" wrapText="1"/>
    </xf>
    <xf numFmtId="43" fontId="7" fillId="0" borderId="59" xfId="0" applyNumberFormat="1" applyFont="1" applyFill="1" applyBorder="1" applyAlignment="1">
      <alignment horizontal="right" wrapText="1"/>
    </xf>
    <xf numFmtId="43" fontId="7" fillId="0" borderId="50" xfId="0" applyNumberFormat="1" applyFont="1" applyFill="1" applyBorder="1" applyAlignment="1">
      <alignment horizontal="right" wrapText="1"/>
    </xf>
    <xf numFmtId="43" fontId="7" fillId="0" borderId="13" xfId="0" applyNumberFormat="1" applyFont="1" applyFill="1" applyBorder="1" applyAlignment="1">
      <alignment horizontal="right" wrapText="1"/>
    </xf>
    <xf numFmtId="164" fontId="3" fillId="24" borderId="82" xfId="0" applyNumberFormat="1" applyFont="1" applyFill="1" applyBorder="1"/>
    <xf numFmtId="164" fontId="3" fillId="24" borderId="86" xfId="0" applyNumberFormat="1" applyFont="1" applyFill="1" applyBorder="1"/>
    <xf numFmtId="4" fontId="3" fillId="24" borderId="84" xfId="0" applyNumberFormat="1" applyFont="1" applyFill="1" applyBorder="1"/>
    <xf numFmtId="164" fontId="3" fillId="24" borderId="83" xfId="0" applyNumberFormat="1" applyFont="1" applyFill="1" applyBorder="1"/>
    <xf numFmtId="164" fontId="3" fillId="0" borderId="96" xfId="0" applyNumberFormat="1" applyFont="1" applyBorder="1"/>
    <xf numFmtId="164" fontId="3" fillId="0" borderId="18" xfId="0" applyNumberFormat="1" applyFont="1" applyBorder="1"/>
    <xf numFmtId="165" fontId="3" fillId="24" borderId="50" xfId="0" applyNumberFormat="1" applyFont="1" applyFill="1" applyBorder="1"/>
    <xf numFmtId="0" fontId="3" fillId="24" borderId="51" xfId="0" applyNumberFormat="1" applyFont="1" applyFill="1" applyBorder="1"/>
    <xf numFmtId="165" fontId="3" fillId="24" borderId="31" xfId="0" applyNumberFormat="1" applyFont="1" applyFill="1" applyBorder="1"/>
    <xf numFmtId="165" fontId="3" fillId="0" borderId="35" xfId="0" applyNumberFormat="1" applyFont="1" applyBorder="1"/>
    <xf numFmtId="4" fontId="60" fillId="0" borderId="0" xfId="0" applyNumberFormat="1" applyFont="1"/>
    <xf numFmtId="164" fontId="3" fillId="24" borderId="31" xfId="0" applyNumberFormat="1" applyFont="1" applyFill="1" applyBorder="1"/>
    <xf numFmtId="164" fontId="3" fillId="24" borderId="36" xfId="0" applyNumberFormat="1" applyFont="1" applyFill="1" applyBorder="1"/>
    <xf numFmtId="164" fontId="3" fillId="0" borderId="31" xfId="0" applyNumberFormat="1" applyFont="1" applyBorder="1"/>
    <xf numFmtId="164" fontId="3" fillId="24" borderId="55" xfId="0" applyNumberFormat="1" applyFont="1" applyFill="1" applyBorder="1"/>
    <xf numFmtId="164" fontId="3" fillId="24" borderId="35" xfId="0" applyNumberFormat="1" applyFont="1" applyFill="1" applyBorder="1"/>
    <xf numFmtId="4" fontId="3" fillId="24" borderId="80" xfId="0" applyNumberFormat="1" applyFont="1" applyFill="1" applyBorder="1"/>
    <xf numFmtId="0" fontId="3" fillId="24" borderId="87" xfId="0" applyFont="1" applyFill="1" applyBorder="1" applyAlignment="1">
      <alignment wrapText="1"/>
    </xf>
    <xf numFmtId="43" fontId="3" fillId="24" borderId="80" xfId="0" applyNumberFormat="1" applyFont="1" applyFill="1" applyBorder="1" applyAlignment="1">
      <alignment horizontal="right" wrapText="1"/>
    </xf>
    <xf numFmtId="0" fontId="3" fillId="24" borderId="88" xfId="0" applyFont="1" applyFill="1" applyBorder="1" applyAlignment="1">
      <alignment wrapText="1"/>
    </xf>
    <xf numFmtId="43" fontId="3" fillId="24" borderId="81" xfId="0" applyNumberFormat="1" applyFont="1" applyFill="1" applyBorder="1" applyAlignment="1">
      <alignment horizontal="right" wrapText="1"/>
    </xf>
    <xf numFmtId="43" fontId="7" fillId="24" borderId="80" xfId="0" applyNumberFormat="1" applyFont="1" applyFill="1" applyBorder="1" applyAlignment="1">
      <alignment horizontal="right" wrapText="1"/>
    </xf>
    <xf numFmtId="4" fontId="3" fillId="24" borderId="82" xfId="0" applyNumberFormat="1" applyFont="1" applyFill="1" applyBorder="1"/>
    <xf numFmtId="43" fontId="7" fillId="24" borderId="14" xfId="0" applyNumberFormat="1" applyFont="1" applyFill="1" applyBorder="1" applyAlignment="1">
      <alignment horizontal="right" wrapText="1"/>
    </xf>
    <xf numFmtId="43" fontId="7" fillId="0" borderId="80" xfId="0" applyNumberFormat="1" applyFont="1" applyFill="1" applyBorder="1" applyAlignment="1">
      <alignment horizontal="right" wrapText="1"/>
    </xf>
    <xf numFmtId="43" fontId="3" fillId="0" borderId="80" xfId="0" applyNumberFormat="1" applyFont="1" applyFill="1" applyBorder="1" applyAlignment="1">
      <alignment horizontal="right" wrapText="1"/>
    </xf>
    <xf numFmtId="43" fontId="3" fillId="0" borderId="81" xfId="0" applyNumberFormat="1" applyFont="1" applyFill="1" applyBorder="1" applyAlignment="1">
      <alignment horizontal="right" wrapText="1"/>
    </xf>
    <xf numFmtId="43" fontId="7" fillId="24" borderId="81" xfId="0" applyNumberFormat="1" applyFont="1" applyFill="1" applyBorder="1" applyAlignment="1">
      <alignment horizontal="right" wrapText="1"/>
    </xf>
    <xf numFmtId="165" fontId="3" fillId="24" borderId="82" xfId="0" applyNumberFormat="1" applyFont="1" applyFill="1" applyBorder="1"/>
    <xf numFmtId="165" fontId="3" fillId="0" borderId="82" xfId="0" applyNumberFormat="1" applyFont="1" applyFill="1" applyBorder="1"/>
    <xf numFmtId="4" fontId="60" fillId="0" borderId="80" xfId="0" applyNumberFormat="1" applyFont="1" applyBorder="1"/>
    <xf numFmtId="4" fontId="3" fillId="0" borderId="80" xfId="0" applyNumberFormat="1" applyFont="1" applyBorder="1"/>
    <xf numFmtId="165" fontId="3" fillId="24" borderId="35" xfId="0" applyNumberFormat="1" applyFont="1" applyFill="1" applyBorder="1"/>
    <xf numFmtId="164" fontId="3" fillId="0" borderId="31" xfId="122" applyNumberFormat="1" applyFont="1" applyFill="1" applyBorder="1" applyAlignment="1">
      <alignment horizontal="right" vertical="top"/>
    </xf>
    <xf numFmtId="164" fontId="3" fillId="0" borderId="35" xfId="122" applyNumberFormat="1" applyFont="1" applyFill="1" applyBorder="1" applyAlignment="1">
      <alignment horizontal="right" vertical="top"/>
    </xf>
    <xf numFmtId="164" fontId="3" fillId="0" borderId="31" xfId="122" applyNumberFormat="1" applyFont="1" applyBorder="1" applyAlignment="1">
      <alignment horizontal="right" vertical="top"/>
    </xf>
    <xf numFmtId="164" fontId="3" fillId="0" borderId="35" xfId="122" applyNumberFormat="1" applyFont="1" applyBorder="1" applyAlignment="1">
      <alignment horizontal="right" vertical="top"/>
    </xf>
    <xf numFmtId="164" fontId="3" fillId="0" borderId="85" xfId="122" applyNumberFormat="1" applyFont="1" applyBorder="1" applyAlignment="1">
      <alignment horizontal="right" vertical="top"/>
    </xf>
    <xf numFmtId="167" fontId="3" fillId="0" borderId="25" xfId="0" applyNumberFormat="1" applyFont="1" applyFill="1" applyBorder="1" applyAlignment="1">
      <alignment horizontal="right" wrapText="1"/>
    </xf>
    <xf numFmtId="164" fontId="3" fillId="0" borderId="81" xfId="0" applyNumberFormat="1" applyFont="1" applyBorder="1"/>
    <xf numFmtId="164" fontId="3" fillId="0" borderId="80" xfId="0" applyNumberFormat="1" applyFont="1" applyBorder="1"/>
    <xf numFmtId="164" fontId="3" fillId="0" borderId="0" xfId="0" applyNumberFormat="1" applyFont="1"/>
    <xf numFmtId="164" fontId="3" fillId="0" borderId="19" xfId="0" applyNumberFormat="1" applyFont="1" applyBorder="1"/>
    <xf numFmtId="164" fontId="3" fillId="0" borderId="49" xfId="122" applyNumberFormat="1" applyFont="1" applyBorder="1" applyAlignment="1">
      <alignment horizontal="right" vertical="top"/>
    </xf>
    <xf numFmtId="164" fontId="3" fillId="0" borderId="94" xfId="122" applyNumberFormat="1" applyFont="1" applyBorder="1" applyAlignment="1">
      <alignment horizontal="right" vertical="top"/>
    </xf>
    <xf numFmtId="164" fontId="3" fillId="0" borderId="95" xfId="122" applyNumberFormat="1" applyFont="1" applyBorder="1" applyAlignment="1">
      <alignment horizontal="right" vertical="top"/>
    </xf>
    <xf numFmtId="165" fontId="3" fillId="24" borderId="93" xfId="0" applyNumberFormat="1" applyFont="1" applyFill="1" applyBorder="1"/>
    <xf numFmtId="164" fontId="3" fillId="0" borderId="36" xfId="122" applyNumberFormat="1" applyFont="1" applyBorder="1" applyAlignment="1">
      <alignment horizontal="right" vertical="top"/>
    </xf>
    <xf numFmtId="164" fontId="3" fillId="0" borderId="45" xfId="122" applyNumberFormat="1" applyFont="1" applyBorder="1" applyAlignment="1">
      <alignment horizontal="right" vertical="top"/>
    </xf>
    <xf numFmtId="43" fontId="3" fillId="0" borderId="86" xfId="0" applyNumberFormat="1" applyFont="1" applyFill="1" applyBorder="1" applyAlignment="1">
      <alignment horizontal="right" wrapText="1"/>
    </xf>
    <xf numFmtId="43" fontId="3" fillId="24" borderId="86" xfId="0" applyNumberFormat="1" applyFont="1" applyFill="1" applyBorder="1" applyAlignment="1">
      <alignment horizontal="right" wrapText="1"/>
    </xf>
    <xf numFmtId="43" fontId="3" fillId="24" borderId="93" xfId="0" applyNumberFormat="1" applyFont="1" applyFill="1" applyBorder="1" applyAlignment="1">
      <alignment horizontal="right" wrapText="1"/>
    </xf>
    <xf numFmtId="43" fontId="7" fillId="24" borderId="86" xfId="0" applyNumberFormat="1" applyFont="1" applyFill="1" applyBorder="1" applyAlignment="1">
      <alignment horizontal="right" wrapText="1"/>
    </xf>
    <xf numFmtId="169" fontId="3" fillId="0" borderId="0" xfId="0" applyNumberFormat="1" applyFont="1"/>
    <xf numFmtId="4" fontId="54" fillId="0" borderId="0" xfId="0" applyNumberFormat="1" applyFont="1" applyFill="1" applyAlignment="1">
      <alignment horizontal="right"/>
    </xf>
    <xf numFmtId="4" fontId="55" fillId="0" borderId="0" xfId="0" applyNumberFormat="1" applyFont="1"/>
    <xf numFmtId="4" fontId="55" fillId="0" borderId="0" xfId="0" applyNumberFormat="1" applyFont="1" applyFill="1" applyAlignment="1">
      <alignment horizontal="right"/>
    </xf>
    <xf numFmtId="0" fontId="55" fillId="0" borderId="0" xfId="0" applyNumberFormat="1" applyFont="1" applyFill="1" applyAlignment="1">
      <alignment horizontal="right"/>
    </xf>
    <xf numFmtId="43" fontId="55" fillId="0" borderId="0" xfId="0" applyNumberFormat="1" applyFont="1" applyFill="1" applyAlignment="1">
      <alignment horizontal="right"/>
    </xf>
    <xf numFmtId="4" fontId="3" fillId="0" borderId="80" xfId="0" applyNumberFormat="1" applyFont="1" applyFill="1" applyBorder="1"/>
    <xf numFmtId="4" fontId="7" fillId="0" borderId="80" xfId="0" applyNumberFormat="1" applyFont="1" applyFill="1" applyBorder="1"/>
    <xf numFmtId="164" fontId="3" fillId="0" borderId="96" xfId="0" quotePrefix="1" applyNumberFormat="1" applyFont="1" applyBorder="1"/>
    <xf numFmtId="4" fontId="7" fillId="0" borderId="96" xfId="0" applyNumberFormat="1" applyFont="1" applyBorder="1"/>
    <xf numFmtId="4" fontId="0" fillId="0" borderId="96" xfId="0" applyNumberFormat="1" applyBorder="1"/>
    <xf numFmtId="4" fontId="54" fillId="0" borderId="0" xfId="0" applyNumberFormat="1" applyFont="1"/>
    <xf numFmtId="164" fontId="0" fillId="0" borderId="96" xfId="0" applyNumberFormat="1" applyBorder="1"/>
    <xf numFmtId="0" fontId="34" fillId="24" borderId="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wrapText="1"/>
    </xf>
    <xf numFmtId="0" fontId="4" fillId="0" borderId="0" xfId="0" applyFont="1"/>
    <xf numFmtId="4" fontId="4" fillId="0" borderId="0" xfId="0" applyNumberFormat="1" applyFont="1"/>
    <xf numFmtId="0" fontId="61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 vertical="center" wrapText="1"/>
    </xf>
    <xf numFmtId="0" fontId="61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/>
    </xf>
    <xf numFmtId="4" fontId="61" fillId="24" borderId="14" xfId="0" applyNumberFormat="1" applyFont="1" applyFill="1" applyBorder="1" applyAlignment="1">
      <alignment horizontal="center" wrapText="1"/>
    </xf>
    <xf numFmtId="4" fontId="61" fillId="24" borderId="37" xfId="0" applyNumberFormat="1" applyFont="1" applyFill="1" applyBorder="1" applyAlignment="1">
      <alignment horizontal="center" wrapText="1"/>
    </xf>
    <xf numFmtId="0" fontId="61" fillId="24" borderId="22" xfId="0" applyFont="1" applyFill="1" applyBorder="1" applyAlignment="1">
      <alignment wrapText="1"/>
    </xf>
    <xf numFmtId="0" fontId="61" fillId="24" borderId="23" xfId="0" applyFont="1" applyFill="1" applyBorder="1" applyAlignment="1">
      <alignment wrapText="1"/>
    </xf>
    <xf numFmtId="43" fontId="61" fillId="24" borderId="23" xfId="0" applyNumberFormat="1" applyFont="1" applyFill="1" applyBorder="1" applyAlignment="1">
      <alignment horizontal="right" wrapText="1"/>
    </xf>
    <xf numFmtId="43" fontId="61" fillId="24" borderId="24" xfId="0" applyNumberFormat="1" applyFont="1" applyFill="1" applyBorder="1" applyAlignment="1">
      <alignment horizontal="right" wrapText="1"/>
    </xf>
    <xf numFmtId="0" fontId="4" fillId="24" borderId="17" xfId="0" applyFont="1" applyFill="1" applyBorder="1" applyAlignment="1">
      <alignment horizontal="left" wrapText="1"/>
    </xf>
    <xf numFmtId="0" fontId="4" fillId="24" borderId="18" xfId="0" applyFont="1" applyFill="1" applyBorder="1" applyAlignment="1">
      <alignment wrapText="1"/>
    </xf>
    <xf numFmtId="43" fontId="4" fillId="0" borderId="80" xfId="0" applyNumberFormat="1" applyFont="1" applyFill="1" applyBorder="1" applyAlignment="1">
      <alignment horizontal="right" wrapText="1"/>
    </xf>
    <xf numFmtId="43" fontId="4" fillId="0" borderId="86" xfId="0" applyNumberFormat="1" applyFont="1" applyFill="1" applyBorder="1" applyAlignment="1">
      <alignment horizontal="right" wrapText="1"/>
    </xf>
    <xf numFmtId="0" fontId="4" fillId="24" borderId="39" xfId="0" applyFont="1" applyFill="1" applyBorder="1" applyAlignment="1">
      <alignment wrapText="1"/>
    </xf>
    <xf numFmtId="43" fontId="4" fillId="24" borderId="80" xfId="0" applyNumberFormat="1" applyFont="1" applyFill="1" applyBorder="1" applyAlignment="1">
      <alignment horizontal="right" wrapText="1"/>
    </xf>
    <xf numFmtId="43" fontId="4" fillId="24" borderId="86" xfId="0" applyNumberFormat="1" applyFont="1" applyFill="1" applyBorder="1" applyAlignment="1">
      <alignment horizontal="right" wrapText="1"/>
    </xf>
    <xf numFmtId="43" fontId="4" fillId="0" borderId="0" xfId="0" applyNumberFormat="1" applyFont="1"/>
    <xf numFmtId="0" fontId="4" fillId="24" borderId="26" xfId="0" applyFont="1" applyFill="1" applyBorder="1" applyAlignment="1">
      <alignment horizontal="left" wrapText="1"/>
    </xf>
    <xf numFmtId="0" fontId="4" fillId="24" borderId="57" xfId="0" applyFont="1" applyFill="1" applyBorder="1" applyAlignment="1">
      <alignment wrapText="1"/>
    </xf>
    <xf numFmtId="43" fontId="4" fillId="24" borderId="81" xfId="0" applyNumberFormat="1" applyFont="1" applyFill="1" applyBorder="1" applyAlignment="1">
      <alignment horizontal="right" wrapText="1"/>
    </xf>
    <xf numFmtId="43" fontId="4" fillId="24" borderId="93" xfId="0" applyNumberFormat="1" applyFont="1" applyFill="1" applyBorder="1" applyAlignment="1">
      <alignment horizontal="right" wrapText="1"/>
    </xf>
    <xf numFmtId="0" fontId="61" fillId="24" borderId="17" xfId="0" applyFont="1" applyFill="1" applyBorder="1" applyAlignment="1">
      <alignment horizontal="left" wrapText="1"/>
    </xf>
    <xf numFmtId="0" fontId="61" fillId="24" borderId="18" xfId="0" applyFont="1" applyFill="1" applyBorder="1" applyAlignment="1">
      <alignment wrapText="1"/>
    </xf>
    <xf numFmtId="43" fontId="61" fillId="24" borderId="80" xfId="0" applyNumberFormat="1" applyFont="1" applyFill="1" applyBorder="1" applyAlignment="1">
      <alignment horizontal="right" wrapText="1"/>
    </xf>
    <xf numFmtId="43" fontId="61" fillId="24" borderId="86" xfId="0" applyNumberFormat="1" applyFont="1" applyFill="1" applyBorder="1" applyAlignment="1">
      <alignment horizontal="right" wrapText="1"/>
    </xf>
    <xf numFmtId="0" fontId="4" fillId="24" borderId="20" xfId="0" applyFont="1" applyFill="1" applyBorder="1" applyAlignment="1">
      <alignment horizontal="left" wrapText="1"/>
    </xf>
    <xf numFmtId="0" fontId="4" fillId="24" borderId="40" xfId="0" applyFont="1" applyFill="1" applyBorder="1" applyAlignment="1">
      <alignment wrapText="1"/>
    </xf>
    <xf numFmtId="43" fontId="4" fillId="24" borderId="19" xfId="0" applyNumberFormat="1" applyFont="1" applyFill="1" applyBorder="1" applyAlignment="1">
      <alignment horizontal="right" wrapText="1"/>
    </xf>
    <xf numFmtId="43" fontId="4" fillId="24" borderId="36" xfId="0" applyNumberFormat="1" applyFont="1" applyFill="1" applyBorder="1" applyAlignment="1">
      <alignment horizontal="right" wrapText="1"/>
    </xf>
    <xf numFmtId="43" fontId="61" fillId="24" borderId="21" xfId="0" applyNumberFormat="1" applyFont="1" applyFill="1" applyBorder="1" applyAlignment="1">
      <alignment horizontal="right" wrapText="1"/>
    </xf>
    <xf numFmtId="43" fontId="61" fillId="24" borderId="12" xfId="0" applyNumberFormat="1" applyFont="1" applyFill="1" applyBorder="1" applyAlignment="1">
      <alignment horizontal="right" wrapText="1"/>
    </xf>
    <xf numFmtId="4" fontId="62" fillId="0" borderId="0" xfId="0" applyNumberFormat="1" applyFont="1"/>
    <xf numFmtId="43" fontId="62" fillId="0" borderId="0" xfId="0" applyNumberFormat="1" applyFont="1"/>
    <xf numFmtId="43" fontId="4" fillId="0" borderId="0" xfId="0" applyNumberFormat="1" applyFont="1" applyAlignment="1">
      <alignment horizontal="right"/>
    </xf>
    <xf numFmtId="0" fontId="4" fillId="24" borderId="13" xfId="0" applyFont="1" applyFill="1" applyBorder="1" applyAlignment="1">
      <alignment horizontal="center"/>
    </xf>
    <xf numFmtId="0" fontId="61" fillId="24" borderId="30" xfId="0" applyFont="1" applyFill="1" applyBorder="1" applyAlignment="1">
      <alignment horizontal="left" wrapText="1"/>
    </xf>
    <xf numFmtId="0" fontId="61" fillId="24" borderId="14" xfId="0" applyFont="1" applyFill="1" applyBorder="1" applyAlignment="1">
      <alignment horizontal="left" wrapText="1"/>
    </xf>
    <xf numFmtId="43" fontId="61" fillId="24" borderId="53" xfId="0" applyNumberFormat="1" applyFont="1" applyFill="1" applyBorder="1" applyAlignment="1">
      <alignment horizontal="right" wrapText="1"/>
    </xf>
    <xf numFmtId="43" fontId="61" fillId="24" borderId="37" xfId="0" applyNumberFormat="1" applyFont="1" applyFill="1" applyBorder="1" applyAlignment="1">
      <alignment horizontal="right" wrapText="1"/>
    </xf>
    <xf numFmtId="4" fontId="61" fillId="0" borderId="0" xfId="0" applyNumberFormat="1" applyFont="1"/>
    <xf numFmtId="0" fontId="61" fillId="0" borderId="0" xfId="0" applyFont="1"/>
    <xf numFmtId="0" fontId="61" fillId="24" borderId="18" xfId="0" applyFont="1" applyFill="1" applyBorder="1" applyAlignment="1">
      <alignment horizontal="left" wrapText="1"/>
    </xf>
    <xf numFmtId="43" fontId="61" fillId="24" borderId="51" xfId="0" applyNumberFormat="1" applyFont="1" applyFill="1" applyBorder="1" applyAlignment="1">
      <alignment horizontal="right" wrapText="1"/>
    </xf>
    <xf numFmtId="43" fontId="61" fillId="0" borderId="55" xfId="0" applyNumberFormat="1" applyFont="1" applyFill="1" applyBorder="1" applyAlignment="1">
      <alignment horizontal="right" wrapText="1"/>
    </xf>
    <xf numFmtId="43" fontId="61" fillId="0" borderId="25" xfId="0" applyNumberFormat="1" applyFont="1" applyFill="1" applyBorder="1" applyAlignment="1">
      <alignment horizontal="right" wrapText="1"/>
    </xf>
    <xf numFmtId="0" fontId="4" fillId="24" borderId="17" xfId="0" applyFont="1" applyFill="1" applyBorder="1" applyAlignment="1">
      <alignment wrapText="1"/>
    </xf>
    <xf numFmtId="43" fontId="4" fillId="24" borderId="51" xfId="0" applyNumberFormat="1" applyFont="1" applyFill="1" applyBorder="1" applyAlignment="1">
      <alignment horizontal="right" wrapText="1"/>
    </xf>
    <xf numFmtId="43" fontId="4" fillId="0" borderId="25" xfId="0" applyNumberFormat="1" applyFont="1" applyFill="1" applyBorder="1" applyAlignment="1">
      <alignment horizontal="right" wrapText="1"/>
    </xf>
    <xf numFmtId="0" fontId="61" fillId="24" borderId="17" xfId="0" applyFont="1" applyFill="1" applyBorder="1" applyAlignment="1">
      <alignment wrapText="1"/>
    </xf>
    <xf numFmtId="0" fontId="4" fillId="24" borderId="26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43" fontId="4" fillId="24" borderId="59" xfId="0" applyNumberFormat="1" applyFont="1" applyFill="1" applyBorder="1" applyAlignment="1">
      <alignment horizontal="right" wrapText="1"/>
    </xf>
    <xf numFmtId="43" fontId="4" fillId="0" borderId="50" xfId="0" applyNumberFormat="1" applyFont="1" applyFill="1" applyBorder="1" applyAlignment="1">
      <alignment horizontal="right" wrapText="1"/>
    </xf>
    <xf numFmtId="0" fontId="61" fillId="24" borderId="26" xfId="0" applyFont="1" applyFill="1" applyBorder="1" applyAlignment="1">
      <alignment horizontal="left" wrapText="1"/>
    </xf>
    <xf numFmtId="0" fontId="61" fillId="24" borderId="27" xfId="0" applyFont="1" applyFill="1" applyBorder="1" applyAlignment="1">
      <alignment horizontal="left" wrapText="1"/>
    </xf>
    <xf numFmtId="43" fontId="61" fillId="24" borderId="59" xfId="0" applyNumberFormat="1" applyFont="1" applyFill="1" applyBorder="1" applyAlignment="1">
      <alignment horizontal="right" wrapText="1"/>
    </xf>
    <xf numFmtId="43" fontId="61" fillId="24" borderId="50" xfId="0" applyNumberFormat="1" applyFont="1" applyFill="1" applyBorder="1" applyAlignment="1">
      <alignment horizontal="right" wrapText="1"/>
    </xf>
    <xf numFmtId="0" fontId="61" fillId="24" borderId="54" xfId="0" applyFont="1" applyFill="1" applyBorder="1" applyAlignment="1">
      <alignment horizontal="left" wrapText="1"/>
    </xf>
    <xf numFmtId="0" fontId="61" fillId="24" borderId="21" xfId="0" applyFont="1" applyFill="1" applyBorder="1" applyAlignment="1">
      <alignment horizontal="left" wrapText="1"/>
    </xf>
    <xf numFmtId="43" fontId="61" fillId="24" borderId="13" xfId="0" applyNumberFormat="1" applyFont="1" applyFill="1" applyBorder="1" applyAlignment="1">
      <alignment horizontal="right" wrapText="1"/>
    </xf>
    <xf numFmtId="0" fontId="61" fillId="24" borderId="0" xfId="0" applyFont="1" applyFill="1" applyBorder="1" applyAlignment="1">
      <alignment horizontal="left" wrapText="1"/>
    </xf>
    <xf numFmtId="43" fontId="61" fillId="24" borderId="0" xfId="0" applyNumberFormat="1" applyFont="1" applyFill="1" applyBorder="1" applyAlignment="1">
      <alignment horizontal="right" wrapText="1"/>
    </xf>
    <xf numFmtId="0" fontId="61" fillId="24" borderId="13" xfId="0" applyFont="1" applyFill="1" applyBorder="1" applyAlignment="1">
      <alignment horizontal="center"/>
    </xf>
    <xf numFmtId="0" fontId="61" fillId="24" borderId="22" xfId="0" applyFont="1" applyFill="1" applyBorder="1"/>
    <xf numFmtId="0" fontId="61" fillId="24" borderId="38" xfId="0" applyNumberFormat="1" applyFont="1" applyFill="1" applyBorder="1" applyAlignment="1">
      <alignment wrapText="1"/>
    </xf>
    <xf numFmtId="4" fontId="61" fillId="24" borderId="16" xfId="0" applyNumberFormat="1" applyFont="1" applyFill="1" applyBorder="1"/>
    <xf numFmtId="4" fontId="61" fillId="24" borderId="24" xfId="0" applyNumberFormat="1" applyFont="1" applyFill="1" applyBorder="1"/>
    <xf numFmtId="0" fontId="4" fillId="24" borderId="17" xfId="0" applyFont="1" applyFill="1" applyBorder="1" applyAlignment="1">
      <alignment horizontal="left"/>
    </xf>
    <xf numFmtId="0" fontId="4" fillId="24" borderId="18" xfId="0" applyNumberFormat="1" applyFont="1" applyFill="1" applyBorder="1" applyAlignment="1">
      <alignment wrapText="1"/>
    </xf>
    <xf numFmtId="164" fontId="4" fillId="24" borderId="51" xfId="0" applyNumberFormat="1" applyFont="1" applyFill="1" applyBorder="1"/>
    <xf numFmtId="165" fontId="4" fillId="24" borderId="25" xfId="0" applyNumberFormat="1" applyFont="1" applyFill="1" applyBorder="1"/>
    <xf numFmtId="0" fontId="4" fillId="24" borderId="26" xfId="0" applyFont="1" applyFill="1" applyBorder="1" applyAlignment="1">
      <alignment horizontal="left"/>
    </xf>
    <xf numFmtId="0" fontId="4" fillId="24" borderId="27" xfId="0" applyNumberFormat="1" applyFont="1" applyFill="1" applyBorder="1" applyAlignment="1">
      <alignment wrapText="1"/>
    </xf>
    <xf numFmtId="164" fontId="4" fillId="24" borderId="59" xfId="0" applyNumberFormat="1" applyFont="1" applyFill="1" applyBorder="1"/>
    <xf numFmtId="165" fontId="4" fillId="0" borderId="25" xfId="0" applyNumberFormat="1" applyFont="1" applyFill="1" applyBorder="1"/>
    <xf numFmtId="0" fontId="61" fillId="24" borderId="17" xfId="0" applyFont="1" applyFill="1" applyBorder="1"/>
    <xf numFmtId="0" fontId="61" fillId="24" borderId="39" xfId="0" applyNumberFormat="1" applyFont="1" applyFill="1" applyBorder="1" applyAlignment="1">
      <alignment wrapText="1"/>
    </xf>
    <xf numFmtId="4" fontId="4" fillId="24" borderId="58" xfId="0" applyNumberFormat="1" applyFont="1" applyFill="1" applyBorder="1"/>
    <xf numFmtId="165" fontId="4" fillId="24" borderId="51" xfId="0" applyNumberFormat="1" applyFont="1" applyFill="1" applyBorder="1"/>
    <xf numFmtId="0" fontId="4" fillId="24" borderId="20" xfId="0" applyFont="1" applyFill="1" applyBorder="1" applyAlignment="1">
      <alignment horizontal="left"/>
    </xf>
    <xf numFmtId="0" fontId="4" fillId="24" borderId="19" xfId="0" applyNumberFormat="1" applyFont="1" applyFill="1" applyBorder="1" applyAlignment="1">
      <alignment wrapText="1"/>
    </xf>
    <xf numFmtId="165" fontId="4" fillId="24" borderId="52" xfId="0" applyNumberFormat="1" applyFont="1" applyFill="1" applyBorder="1"/>
    <xf numFmtId="165" fontId="4" fillId="0" borderId="36" xfId="0" applyNumberFormat="1" applyFont="1" applyFill="1" applyBorder="1"/>
    <xf numFmtId="0" fontId="4" fillId="24" borderId="0" xfId="0" applyFont="1" applyFill="1" applyBorder="1" applyAlignment="1">
      <alignment horizontal="left"/>
    </xf>
    <xf numFmtId="0" fontId="4" fillId="24" borderId="0" xfId="0" applyNumberFormat="1" applyFont="1" applyFill="1" applyBorder="1" applyAlignment="1">
      <alignment wrapText="1"/>
    </xf>
    <xf numFmtId="165" fontId="4" fillId="24" borderId="0" xfId="0" applyNumberFormat="1" applyFont="1" applyFill="1" applyBorder="1"/>
    <xf numFmtId="0" fontId="61" fillId="24" borderId="29" xfId="0" applyFont="1" applyFill="1" applyBorder="1" applyAlignment="1">
      <alignment horizontal="left" wrapText="1"/>
    </xf>
    <xf numFmtId="0" fontId="61" fillId="24" borderId="14" xfId="0" applyNumberFormat="1" applyFont="1" applyFill="1" applyBorder="1" applyAlignment="1">
      <alignment wrapText="1"/>
    </xf>
    <xf numFmtId="4" fontId="61" fillId="24" borderId="14" xfId="0" applyNumberFormat="1" applyFont="1" applyFill="1" applyBorder="1" applyAlignment="1">
      <alignment horizontal="right" wrapText="1"/>
    </xf>
    <xf numFmtId="10" fontId="61" fillId="24" borderId="15" xfId="37" applyNumberFormat="1" applyFont="1" applyFill="1" applyBorder="1"/>
    <xf numFmtId="4" fontId="4" fillId="24" borderId="27" xfId="0" applyNumberFormat="1" applyFont="1" applyFill="1" applyBorder="1"/>
    <xf numFmtId="10" fontId="4" fillId="24" borderId="28" xfId="37" applyNumberFormat="1" applyFont="1" applyFill="1" applyBorder="1"/>
    <xf numFmtId="4" fontId="4" fillId="24" borderId="18" xfId="0" applyNumberFormat="1" applyFont="1" applyFill="1" applyBorder="1"/>
    <xf numFmtId="10" fontId="4" fillId="24" borderId="31" xfId="37" applyNumberFormat="1" applyFont="1" applyFill="1" applyBorder="1"/>
    <xf numFmtId="4" fontId="4" fillId="24" borderId="80" xfId="0" applyNumberFormat="1" applyFont="1" applyFill="1" applyBorder="1"/>
    <xf numFmtId="0" fontId="4" fillId="24" borderId="32" xfId="0" applyFont="1" applyFill="1" applyBorder="1" applyAlignment="1">
      <alignment horizontal="left"/>
    </xf>
    <xf numFmtId="0" fontId="4" fillId="24" borderId="33" xfId="0" applyNumberFormat="1" applyFont="1" applyFill="1" applyBorder="1" applyAlignment="1">
      <alignment wrapText="1"/>
    </xf>
    <xf numFmtId="4" fontId="4" fillId="24" borderId="33" xfId="0" applyNumberFormat="1" applyFont="1" applyFill="1" applyBorder="1"/>
    <xf numFmtId="10" fontId="4" fillId="24" borderId="34" xfId="37" applyNumberFormat="1" applyFont="1" applyFill="1" applyBorder="1"/>
    <xf numFmtId="0" fontId="61" fillId="24" borderId="17" xfId="0" applyFont="1" applyFill="1" applyBorder="1" applyAlignment="1">
      <alignment horizontal="left"/>
    </xf>
    <xf numFmtId="0" fontId="61" fillId="24" borderId="18" xfId="0" applyNumberFormat="1" applyFont="1" applyFill="1" applyBorder="1" applyAlignment="1">
      <alignment wrapText="1"/>
    </xf>
    <xf numFmtId="4" fontId="61" fillId="24" borderId="18" xfId="0" applyNumberFormat="1" applyFont="1" applyFill="1" applyBorder="1"/>
    <xf numFmtId="10" fontId="61" fillId="24" borderId="31" xfId="37" applyNumberFormat="1" applyFont="1" applyFill="1" applyBorder="1"/>
    <xf numFmtId="0" fontId="61" fillId="24" borderId="60" xfId="0" applyFont="1" applyFill="1" applyBorder="1" applyAlignment="1">
      <alignment horizontal="left"/>
    </xf>
    <xf numFmtId="0" fontId="61" fillId="24" borderId="61" xfId="0" applyNumberFormat="1" applyFont="1" applyFill="1" applyBorder="1" applyAlignment="1">
      <alignment wrapText="1"/>
    </xf>
    <xf numFmtId="4" fontId="61" fillId="24" borderId="61" xfId="0" applyNumberFormat="1" applyFont="1" applyFill="1" applyBorder="1"/>
    <xf numFmtId="10" fontId="61" fillId="24" borderId="62" xfId="37" applyNumberFormat="1" applyFont="1" applyFill="1" applyBorder="1"/>
    <xf numFmtId="0" fontId="61" fillId="24" borderId="32" xfId="0" applyFont="1" applyFill="1" applyBorder="1" applyAlignment="1">
      <alignment horizontal="left"/>
    </xf>
    <xf numFmtId="0" fontId="61" fillId="24" borderId="33" xfId="0" applyNumberFormat="1" applyFont="1" applyFill="1" applyBorder="1" applyAlignment="1">
      <alignment wrapText="1"/>
    </xf>
    <xf numFmtId="4" fontId="61" fillId="24" borderId="33" xfId="0" applyNumberFormat="1" applyFont="1" applyFill="1" applyBorder="1"/>
    <xf numFmtId="10" fontId="61" fillId="24" borderId="34" xfId="37" applyNumberFormat="1" applyFont="1" applyFill="1" applyBorder="1"/>
    <xf numFmtId="4" fontId="4" fillId="24" borderId="19" xfId="0" applyNumberFormat="1" applyFont="1" applyFill="1" applyBorder="1"/>
    <xf numFmtId="10" fontId="4" fillId="24" borderId="35" xfId="37" applyNumberFormat="1" applyFont="1" applyFill="1" applyBorder="1"/>
    <xf numFmtId="0" fontId="3" fillId="0" borderId="18" xfId="0" applyFont="1" applyFill="1" applyBorder="1" applyAlignment="1">
      <alignment wrapText="1"/>
    </xf>
    <xf numFmtId="164" fontId="3" fillId="0" borderId="85" xfId="122" applyNumberFormat="1" applyFont="1" applyFill="1" applyBorder="1" applyAlignment="1">
      <alignment horizontal="right" vertical="top"/>
    </xf>
    <xf numFmtId="164" fontId="3" fillId="0" borderId="85" xfId="0" applyNumberFormat="1" applyFont="1" applyFill="1" applyBorder="1"/>
    <xf numFmtId="165" fontId="3" fillId="0" borderId="86" xfId="0" applyNumberFormat="1" applyFont="1" applyFill="1" applyBorder="1"/>
    <xf numFmtId="4" fontId="4" fillId="0" borderId="0" xfId="0" applyNumberFormat="1" applyFont="1" applyFill="1"/>
    <xf numFmtId="0" fontId="7" fillId="24" borderId="29" xfId="0" applyFont="1" applyFill="1" applyBorder="1" applyAlignment="1">
      <alignment horizontal="center" wrapText="1"/>
    </xf>
    <xf numFmtId="0" fontId="7" fillId="24" borderId="53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/>
    </xf>
    <xf numFmtId="0" fontId="34" fillId="24" borderId="0" xfId="0" applyFont="1" applyFill="1" applyBorder="1" applyAlignment="1">
      <alignment horizontal="left"/>
    </xf>
    <xf numFmtId="0" fontId="34" fillId="24" borderId="0" xfId="0" applyFont="1" applyFill="1" applyBorder="1" applyAlignment="1">
      <alignment horizontal="left" vertical="center" wrapText="1"/>
    </xf>
    <xf numFmtId="0" fontId="5" fillId="24" borderId="47" xfId="0" applyFont="1" applyFill="1" applyBorder="1" applyAlignment="1">
      <alignment horizontal="center" wrapText="1"/>
    </xf>
    <xf numFmtId="0" fontId="5" fillId="24" borderId="0" xfId="0" applyFont="1" applyFill="1" applyBorder="1" applyAlignment="1">
      <alignment horizontal="center" wrapText="1"/>
    </xf>
    <xf numFmtId="0" fontId="5" fillId="24" borderId="0" xfId="0" applyFont="1" applyFill="1" applyAlignment="1">
      <alignment horizontal="center" wrapText="1"/>
    </xf>
    <xf numFmtId="0" fontId="0" fillId="0" borderId="0" xfId="0" applyAlignment="1"/>
    <xf numFmtId="0" fontId="0" fillId="0" borderId="47" xfId="0" applyBorder="1" applyAlignment="1">
      <alignment horizontal="center" wrapText="1"/>
    </xf>
    <xf numFmtId="0" fontId="7" fillId="24" borderId="10" xfId="0" applyFont="1" applyFill="1" applyBorder="1" applyAlignment="1">
      <alignment wrapText="1"/>
    </xf>
    <xf numFmtId="0" fontId="7" fillId="24" borderId="11" xfId="0" applyFont="1" applyFill="1" applyBorder="1" applyAlignment="1">
      <alignment wrapText="1"/>
    </xf>
    <xf numFmtId="0" fontId="7" fillId="24" borderId="54" xfId="0" applyFont="1" applyFill="1" applyBorder="1" applyAlignment="1">
      <alignment wrapText="1"/>
    </xf>
    <xf numFmtId="0" fontId="7" fillId="24" borderId="56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47" xfId="0" applyBorder="1" applyAlignment="1">
      <alignment wrapText="1"/>
    </xf>
    <xf numFmtId="0" fontId="3" fillId="0" borderId="0" xfId="0" applyFont="1" applyAlignment="1">
      <alignment wrapText="1"/>
    </xf>
    <xf numFmtId="0" fontId="3" fillId="0" borderId="47" xfId="0" applyFont="1" applyBorder="1" applyAlignment="1">
      <alignment wrapText="1"/>
    </xf>
    <xf numFmtId="0" fontId="3" fillId="0" borderId="47" xfId="0" applyFont="1" applyBorder="1" applyAlignment="1">
      <alignment horizontal="center" wrapText="1"/>
    </xf>
    <xf numFmtId="0" fontId="3" fillId="0" borderId="0" xfId="0" applyFont="1" applyAlignment="1"/>
    <xf numFmtId="0" fontId="61" fillId="24" borderId="0" xfId="0" applyFont="1" applyFill="1" applyAlignment="1">
      <alignment horizontal="center" wrapText="1"/>
    </xf>
    <xf numFmtId="0" fontId="4" fillId="0" borderId="0" xfId="0" applyFont="1" applyAlignment="1"/>
    <xf numFmtId="0" fontId="61" fillId="24" borderId="47" xfId="0" applyFont="1" applyFill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61" fillId="24" borderId="29" xfId="0" applyFont="1" applyFill="1" applyBorder="1" applyAlignment="1">
      <alignment horizontal="center" wrapText="1"/>
    </xf>
    <xf numFmtId="0" fontId="61" fillId="24" borderId="53" xfId="0" applyFont="1" applyFill="1" applyBorder="1" applyAlignment="1">
      <alignment horizontal="center" wrapText="1"/>
    </xf>
    <xf numFmtId="0" fontId="61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 vertical="center" wrapText="1"/>
    </xf>
    <xf numFmtId="0" fontId="61" fillId="24" borderId="0" xfId="0" applyFont="1" applyFill="1" applyBorder="1" applyAlignment="1">
      <alignment horizontal="center" wrapText="1"/>
    </xf>
    <xf numFmtId="0" fontId="61" fillId="24" borderId="54" xfId="0" applyFont="1" applyFill="1" applyBorder="1" applyAlignment="1">
      <alignment wrapText="1"/>
    </xf>
    <xf numFmtId="0" fontId="61" fillId="24" borderId="56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47" xfId="0" applyFont="1" applyBorder="1" applyAlignment="1">
      <alignment wrapText="1"/>
    </xf>
    <xf numFmtId="0" fontId="7" fillId="24" borderId="10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horizontal="center" wrapText="1"/>
    </xf>
    <xf numFmtId="0" fontId="7" fillId="24" borderId="13" xfId="0" applyFont="1" applyFill="1" applyBorder="1" applyAlignment="1">
      <alignment wrapText="1"/>
    </xf>
    <xf numFmtId="10" fontId="0" fillId="0" borderId="0" xfId="0" applyNumberFormat="1"/>
  </cellXfs>
  <cellStyles count="127">
    <cellStyle name="=D:\WINNT\SYSTEM32\COMMAND.COM" xfId="102"/>
    <cellStyle name="20% - Accent1" xfId="57"/>
    <cellStyle name="20% - Accent2" xfId="58"/>
    <cellStyle name="20% - Accent3" xfId="59"/>
    <cellStyle name="20% - Accent4" xfId="60"/>
    <cellStyle name="20% - Accent5" xfId="61"/>
    <cellStyle name="20% - Accent6" xfId="62"/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ccent1" xfId="69"/>
    <cellStyle name="60% - Accent2" xfId="70"/>
    <cellStyle name="60% - Accent3" xfId="71"/>
    <cellStyle name="60% - Accent4" xfId="72"/>
    <cellStyle name="60% - Accent5" xfId="73"/>
    <cellStyle name="60% - Accent6" xfId="74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ccent1" xfId="75"/>
    <cellStyle name="Accent2" xfId="76"/>
    <cellStyle name="Accent3" xfId="77"/>
    <cellStyle name="Accent4" xfId="78"/>
    <cellStyle name="Accent5" xfId="79"/>
    <cellStyle name="Accent6" xfId="80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Bad" xfId="81"/>
    <cellStyle name="Calculation" xfId="82"/>
    <cellStyle name="Check Cell" xfId="83"/>
    <cellStyle name="Dane wejściowe" xfId="25" builtinId="20" customBuiltin="1"/>
    <cellStyle name="Dane wejściowe 2" xfId="49"/>
    <cellStyle name="Dane wejściowe 2 2" xfId="55"/>
    <cellStyle name="Dane wejściowe 2 2 2" xfId="103"/>
    <cellStyle name="Dane wejściowe 2 3" xfId="113"/>
    <cellStyle name="Dane wejściowe 3" xfId="118"/>
    <cellStyle name="Dane wyjściowe" xfId="26" builtinId="21" customBuiltin="1"/>
    <cellStyle name="Dane wyjściowe 2" xfId="48"/>
    <cellStyle name="Dane wyjściowe 2 2" xfId="54"/>
    <cellStyle name="Dane wyjściowe 2 2 2" xfId="104"/>
    <cellStyle name="Dane wyjściowe 2 3" xfId="114"/>
    <cellStyle name="Dane wyjściowe 3" xfId="109"/>
    <cellStyle name="Dobre" xfId="27" builtinId="26" customBuiltin="1"/>
    <cellStyle name="Explanatory Text" xfId="84"/>
    <cellStyle name="Good" xfId="85"/>
    <cellStyle name="Heading 1" xfId="86"/>
    <cellStyle name="Heading 2" xfId="87"/>
    <cellStyle name="Heading 3" xfId="88"/>
    <cellStyle name="Heading 4" xfId="89"/>
    <cellStyle name="Input" xfId="90"/>
    <cellStyle name="Komórka połączona" xfId="28" builtinId="24" customBuiltin="1"/>
    <cellStyle name="Komórka zaznaczona" xfId="29" builtinId="23" customBuiltin="1"/>
    <cellStyle name="Linked Cell" xfId="9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" xfId="92"/>
    <cellStyle name="Neutralne" xfId="34" builtinId="28" customBuiltin="1"/>
    <cellStyle name="Normalny" xfId="0" builtinId="0"/>
    <cellStyle name="Normalny 2" xfId="44"/>
    <cellStyle name="Normalny 2 2" xfId="124"/>
    <cellStyle name="Normalny 3" xfId="50"/>
    <cellStyle name="Normalny 3 2" xfId="123"/>
    <cellStyle name="Normalny 4" xfId="56"/>
    <cellStyle name="Normalny 4 2" xfId="112"/>
    <cellStyle name="Normalny 5" xfId="98"/>
    <cellStyle name="Normalny 5 2" xfId="119"/>
    <cellStyle name="Normalny 6" xfId="101"/>
    <cellStyle name="Normalny 7" xfId="121"/>
    <cellStyle name="Normalny 8" xfId="125"/>
    <cellStyle name="Normalny_Arkusz1" xfId="35"/>
    <cellStyle name="Normalny_Arkusz1 2" xfId="122"/>
    <cellStyle name="Note" xfId="93"/>
    <cellStyle name="Note 2" xfId="99"/>
    <cellStyle name="Note 2 2" xfId="120"/>
    <cellStyle name="Note 3" xfId="100"/>
    <cellStyle name="Obliczenia" xfId="36" builtinId="22" customBuiltin="1"/>
    <cellStyle name="Obliczenia 2" xfId="47"/>
    <cellStyle name="Obliczenia 2 2" xfId="53"/>
    <cellStyle name="Obliczenia 2 2 2" xfId="105"/>
    <cellStyle name="Obliczenia 2 3" xfId="115"/>
    <cellStyle name="Obliczenia 3" xfId="117"/>
    <cellStyle name="Output" xfId="94"/>
    <cellStyle name="Procentowy" xfId="37" builtinId="5"/>
    <cellStyle name="Procentowy 2" xfId="126"/>
    <cellStyle name="Suma" xfId="38" builtinId="25" customBuiltin="1"/>
    <cellStyle name="Suma 2" xfId="46"/>
    <cellStyle name="Suma 2 2" xfId="52"/>
    <cellStyle name="Suma 2 2 2" xfId="106"/>
    <cellStyle name="Suma 2 3" xfId="108"/>
    <cellStyle name="Suma 3" xfId="116"/>
    <cellStyle name="Tekst objaśnienia" xfId="39" builtinId="53" customBuiltin="1"/>
    <cellStyle name="Tekst ostrzeżenia" xfId="40" builtinId="11" customBuiltin="1"/>
    <cellStyle name="Title" xfId="95"/>
    <cellStyle name="Total" xfId="96"/>
    <cellStyle name="Tytuł" xfId="41" builtinId="15" customBuiltin="1"/>
    <cellStyle name="Uwaga" xfId="42" builtinId="10" customBuiltin="1"/>
    <cellStyle name="Uwaga 2" xfId="45"/>
    <cellStyle name="Uwaga 2 2" xfId="51"/>
    <cellStyle name="Uwaga 2 2 2" xfId="107"/>
    <cellStyle name="Uwaga 2 3" xfId="111"/>
    <cellStyle name="Uwaga 3" xfId="110"/>
    <cellStyle name="Warning Text" xfId="97"/>
    <cellStyle name="Złe" xfId="43" builtinId="27" customBuiltin="1"/>
  </cellStyles>
  <dxfs count="0"/>
  <tableStyles count="0" defaultTableStyle="TableStyleMedium9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75" Type="http://schemas.openxmlformats.org/officeDocument/2006/relationships/sharedStrings" Target="sharedStrings.xml"/><Relationship Id="rId170" Type="http://schemas.openxmlformats.org/officeDocument/2006/relationships/worksheet" Target="worksheets/sheet170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calcChain" Target="calcChain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styles" Target="style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W81"/>
  <sheetViews>
    <sheetView zoomScale="80" zoomScaleNormal="80" workbookViewId="0">
      <selection activeCell="J21" sqref="J21:K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1.140625" customWidth="1"/>
    <col min="9" max="9" width="15.28515625" customWidth="1"/>
    <col min="10" max="10" width="15.140625" customWidth="1"/>
    <col min="11" max="11" width="19.5703125" customWidth="1"/>
    <col min="12" max="12" width="15.85546875" customWidth="1"/>
    <col min="20" max="20" width="15.85546875" bestFit="1" customWidth="1"/>
    <col min="22" max="22" width="16" bestFit="1" customWidth="1"/>
    <col min="23" max="23" width="13.1406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2"/>
      <c r="C4" s="92"/>
      <c r="D4" s="92"/>
      <c r="E4" s="92"/>
    </row>
    <row r="5" spans="2:12" ht="14.25">
      <c r="B5" s="496" t="s">
        <v>1</v>
      </c>
      <c r="C5" s="496"/>
      <c r="D5" s="496"/>
      <c r="E5" s="496"/>
    </row>
    <row r="6" spans="2:12" ht="14.25" customHeight="1">
      <c r="B6" s="497" t="s">
        <v>84</v>
      </c>
      <c r="C6" s="497"/>
      <c r="D6" s="497"/>
      <c r="E6" s="497"/>
    </row>
    <row r="7" spans="2:12" ht="14.25">
      <c r="B7" s="186"/>
      <c r="C7" s="186"/>
      <c r="D7" s="186"/>
      <c r="E7" s="186"/>
    </row>
    <row r="8" spans="2:12" ht="12.75" customHeight="1">
      <c r="B8" s="499" t="s">
        <v>18</v>
      </c>
      <c r="C8" s="499"/>
      <c r="D8" s="499"/>
      <c r="E8" s="499"/>
    </row>
    <row r="9" spans="2:12" ht="15.75" customHeight="1" thickBot="1">
      <c r="B9" s="498" t="s">
        <v>103</v>
      </c>
      <c r="C9" s="498"/>
      <c r="D9" s="498"/>
      <c r="E9" s="498"/>
    </row>
    <row r="10" spans="2:12" ht="13.5" thickBot="1">
      <c r="B10" s="187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214" t="s">
        <v>109</v>
      </c>
      <c r="D11" s="283">
        <v>195733005.50999999</v>
      </c>
      <c r="E11" s="284">
        <f>SUM(E12:E14)</f>
        <v>184827701.01999998</v>
      </c>
    </row>
    <row r="12" spans="2:12">
      <c r="B12" s="113" t="s">
        <v>4</v>
      </c>
      <c r="C12" s="71" t="s">
        <v>5</v>
      </c>
      <c r="D12" s="329">
        <v>195733005.50999999</v>
      </c>
      <c r="E12" s="353">
        <f>192942064.4+742683.51+20.35-8864935.29</f>
        <v>184819832.97</v>
      </c>
      <c r="G12" s="190"/>
    </row>
    <row r="13" spans="2:12" ht="12.75" customHeight="1">
      <c r="B13" s="113" t="s">
        <v>6</v>
      </c>
      <c r="C13" s="71" t="s">
        <v>7</v>
      </c>
      <c r="D13" s="322"/>
      <c r="E13" s="354">
        <v>2.89</v>
      </c>
      <c r="G13" s="76"/>
    </row>
    <row r="14" spans="2:12">
      <c r="B14" s="113" t="s">
        <v>8</v>
      </c>
      <c r="C14" s="71" t="s">
        <v>10</v>
      </c>
      <c r="D14" s="322">
        <v>0</v>
      </c>
      <c r="E14" s="354">
        <f>E15</f>
        <v>7865.16</v>
      </c>
      <c r="G14" s="70"/>
    </row>
    <row r="15" spans="2:12">
      <c r="B15" s="113" t="s">
        <v>106</v>
      </c>
      <c r="C15" s="71" t="s">
        <v>11</v>
      </c>
      <c r="D15" s="322">
        <v>0</v>
      </c>
      <c r="E15" s="354">
        <v>7865.16</v>
      </c>
      <c r="G15" s="70"/>
    </row>
    <row r="16" spans="2:12">
      <c r="B16" s="114" t="s">
        <v>107</v>
      </c>
      <c r="C16" s="98" t="s">
        <v>12</v>
      </c>
      <c r="D16" s="324"/>
      <c r="E16" s="355"/>
    </row>
    <row r="17" spans="2:12">
      <c r="B17" s="9" t="s">
        <v>13</v>
      </c>
      <c r="C17" s="248" t="s">
        <v>65</v>
      </c>
      <c r="D17" s="325">
        <v>1562387.54</v>
      </c>
      <c r="E17" s="356">
        <f>E18</f>
        <v>315557.90000000002</v>
      </c>
    </row>
    <row r="18" spans="2:12">
      <c r="B18" s="113" t="s">
        <v>4</v>
      </c>
      <c r="C18" s="71" t="s">
        <v>11</v>
      </c>
      <c r="D18" s="324">
        <v>1562387.54</v>
      </c>
      <c r="E18" s="355">
        <v>315557.90000000002</v>
      </c>
    </row>
    <row r="19" spans="2:12" ht="15" customHeight="1">
      <c r="B19" s="113" t="s">
        <v>6</v>
      </c>
      <c r="C19" s="71" t="s">
        <v>108</v>
      </c>
      <c r="D19" s="322"/>
      <c r="E19" s="354"/>
    </row>
    <row r="20" spans="2:12" ht="13.5" thickBot="1">
      <c r="B20" s="115" t="s">
        <v>8</v>
      </c>
      <c r="C20" s="72" t="s">
        <v>14</v>
      </c>
      <c r="D20" s="285"/>
      <c r="E20" s="286"/>
      <c r="G20" s="70"/>
    </row>
    <row r="21" spans="2:12" ht="13.5" customHeight="1" thickBot="1">
      <c r="B21" s="503" t="s">
        <v>110</v>
      </c>
      <c r="C21" s="504"/>
      <c r="D21" s="287">
        <v>194170617.97</v>
      </c>
      <c r="E21" s="155">
        <f>E11-E17</f>
        <v>184512143.11999997</v>
      </c>
      <c r="F21" s="83"/>
      <c r="G21" s="83"/>
      <c r="H21" s="176"/>
      <c r="J21" s="253"/>
      <c r="K21" s="176"/>
    </row>
    <row r="22" spans="2:12">
      <c r="B22" s="3"/>
      <c r="C22" s="7"/>
      <c r="D22" s="8"/>
      <c r="E22" s="8"/>
      <c r="G22" s="76"/>
    </row>
    <row r="23" spans="2:12" ht="14.25" customHeight="1">
      <c r="B23" s="499" t="s">
        <v>104</v>
      </c>
      <c r="C23" s="499"/>
      <c r="D23" s="499"/>
      <c r="E23" s="499"/>
      <c r="G23" s="76"/>
    </row>
    <row r="24" spans="2:12" ht="16.5" customHeight="1" thickBot="1">
      <c r="B24" s="498" t="s">
        <v>105</v>
      </c>
      <c r="C24" s="498"/>
      <c r="D24" s="498"/>
      <c r="E24" s="498"/>
    </row>
    <row r="25" spans="2:12" ht="13.5" thickBot="1">
      <c r="B25" s="187"/>
      <c r="C25" s="5" t="s">
        <v>2</v>
      </c>
      <c r="D25" s="73" t="s">
        <v>125</v>
      </c>
      <c r="E25" s="29" t="s">
        <v>145</v>
      </c>
    </row>
    <row r="26" spans="2:12">
      <c r="B26" s="102" t="s">
        <v>15</v>
      </c>
      <c r="C26" s="103" t="s">
        <v>16</v>
      </c>
      <c r="D26" s="296">
        <v>227118285.27999997</v>
      </c>
      <c r="E26" s="297">
        <f>D21</f>
        <v>194170617.97</v>
      </c>
      <c r="F26" s="167"/>
      <c r="G26" s="178"/>
    </row>
    <row r="27" spans="2:12">
      <c r="B27" s="9" t="s">
        <v>17</v>
      </c>
      <c r="C27" s="10" t="s">
        <v>111</v>
      </c>
      <c r="D27" s="298">
        <v>-19688554.609999999</v>
      </c>
      <c r="E27" s="263">
        <f>E28-E32</f>
        <v>-9367330.6600000001</v>
      </c>
      <c r="F27" s="169"/>
      <c r="G27" s="358"/>
      <c r="H27" s="359"/>
      <c r="I27" s="359"/>
      <c r="J27" s="359"/>
      <c r="K27" s="70"/>
      <c r="L27" s="70"/>
    </row>
    <row r="28" spans="2:12">
      <c r="B28" s="9" t="s">
        <v>18</v>
      </c>
      <c r="C28" s="10" t="s">
        <v>19</v>
      </c>
      <c r="D28" s="298">
        <v>3328659</v>
      </c>
      <c r="E28" s="264">
        <f>SUM(E29:E31)</f>
        <v>3987587.75</v>
      </c>
      <c r="F28" s="169"/>
      <c r="G28" s="358"/>
      <c r="H28" s="359"/>
      <c r="I28" s="359"/>
      <c r="J28" s="359"/>
    </row>
    <row r="29" spans="2:12">
      <c r="B29" s="111" t="s">
        <v>4</v>
      </c>
      <c r="C29" s="6" t="s">
        <v>20</v>
      </c>
      <c r="D29" s="299">
        <v>2544756.7999999998</v>
      </c>
      <c r="E29" s="265">
        <v>2464932.84</v>
      </c>
      <c r="F29" s="169"/>
      <c r="G29" s="360"/>
      <c r="H29" s="359"/>
      <c r="I29" s="359"/>
      <c r="J29" s="359"/>
    </row>
    <row r="30" spans="2:12">
      <c r="B30" s="111" t="s">
        <v>6</v>
      </c>
      <c r="C30" s="6" t="s">
        <v>21</v>
      </c>
      <c r="D30" s="299"/>
      <c r="E30" s="265"/>
      <c r="F30" s="169"/>
      <c r="G30" s="360"/>
      <c r="H30" s="359"/>
      <c r="I30" s="359"/>
      <c r="J30" s="359"/>
    </row>
    <row r="31" spans="2:12">
      <c r="B31" s="111" t="s">
        <v>8</v>
      </c>
      <c r="C31" s="6" t="s">
        <v>22</v>
      </c>
      <c r="D31" s="299">
        <v>783902.20000000007</v>
      </c>
      <c r="E31" s="265">
        <v>1522654.91</v>
      </c>
      <c r="F31" s="169"/>
      <c r="G31" s="360"/>
      <c r="H31" s="359"/>
      <c r="I31" s="359"/>
      <c r="J31" s="359"/>
    </row>
    <row r="32" spans="2:12">
      <c r="B32" s="99" t="s">
        <v>23</v>
      </c>
      <c r="C32" s="11" t="s">
        <v>24</v>
      </c>
      <c r="D32" s="298">
        <v>23017213.609999999</v>
      </c>
      <c r="E32" s="264">
        <f>SUM(E33:E39)</f>
        <v>13354918.41</v>
      </c>
      <c r="F32" s="169"/>
      <c r="G32" s="358"/>
      <c r="H32" s="359"/>
      <c r="I32" s="359"/>
      <c r="J32" s="359"/>
    </row>
    <row r="33" spans="2:23">
      <c r="B33" s="111" t="s">
        <v>4</v>
      </c>
      <c r="C33" s="6" t="s">
        <v>25</v>
      </c>
      <c r="D33" s="299">
        <v>21461487.699999999</v>
      </c>
      <c r="E33" s="265">
        <f>13939480.07-1877042.67</f>
        <v>12062437.4</v>
      </c>
      <c r="F33" s="169"/>
      <c r="G33" s="360"/>
      <c r="H33" s="359"/>
      <c r="I33" s="359"/>
      <c r="J33" s="359"/>
    </row>
    <row r="34" spans="2:23">
      <c r="B34" s="111" t="s">
        <v>6</v>
      </c>
      <c r="C34" s="6" t="s">
        <v>26</v>
      </c>
      <c r="D34" s="299"/>
      <c r="E34" s="265"/>
      <c r="F34" s="169"/>
      <c r="G34" s="360"/>
      <c r="H34" s="359"/>
      <c r="I34" s="359"/>
      <c r="J34" s="359"/>
    </row>
    <row r="35" spans="2:23">
      <c r="B35" s="111" t="s">
        <v>8</v>
      </c>
      <c r="C35" s="6" t="s">
        <v>27</v>
      </c>
      <c r="D35" s="299">
        <v>965716.3</v>
      </c>
      <c r="E35" s="265">
        <v>773334.17999999993</v>
      </c>
      <c r="F35" s="169"/>
      <c r="G35" s="360"/>
      <c r="H35" s="359"/>
      <c r="I35" s="359"/>
      <c r="J35" s="359"/>
    </row>
    <row r="36" spans="2:23">
      <c r="B36" s="111" t="s">
        <v>9</v>
      </c>
      <c r="C36" s="6" t="s">
        <v>28</v>
      </c>
      <c r="D36" s="299"/>
      <c r="E36" s="265"/>
      <c r="F36" s="169"/>
      <c r="G36" s="360"/>
      <c r="H36" s="359"/>
      <c r="I36" s="359"/>
      <c r="J36" s="359"/>
    </row>
    <row r="37" spans="2:23" ht="25.5">
      <c r="B37" s="111" t="s">
        <v>29</v>
      </c>
      <c r="C37" s="6" t="s">
        <v>30</v>
      </c>
      <c r="D37" s="299"/>
      <c r="E37" s="265"/>
      <c r="F37" s="169"/>
      <c r="G37" s="361"/>
      <c r="H37" s="359"/>
      <c r="I37" s="359"/>
      <c r="J37" s="359"/>
      <c r="T37" s="357">
        <f>177697141.37/22.3484</f>
        <v>7951224.3100177189</v>
      </c>
    </row>
    <row r="38" spans="2:23">
      <c r="B38" s="111" t="s">
        <v>31</v>
      </c>
      <c r="C38" s="6" t="s">
        <v>32</v>
      </c>
      <c r="D38" s="299"/>
      <c r="E38" s="265"/>
      <c r="F38" s="169"/>
      <c r="G38" s="361"/>
      <c r="H38" s="359"/>
      <c r="I38" s="359"/>
      <c r="J38" s="359"/>
      <c r="T38" s="210">
        <f>15680789.11/25.1598</f>
        <v>623247.76468811359</v>
      </c>
    </row>
    <row r="39" spans="2:23">
      <c r="B39" s="112" t="s">
        <v>33</v>
      </c>
      <c r="C39" s="12" t="s">
        <v>34</v>
      </c>
      <c r="D39" s="300">
        <v>590009.61</v>
      </c>
      <c r="E39" s="266">
        <f>507116.81+12030.02</f>
        <v>519146.83</v>
      </c>
      <c r="F39" s="169"/>
      <c r="G39" s="362"/>
      <c r="H39" s="359"/>
      <c r="I39" s="359"/>
      <c r="J39" s="359"/>
      <c r="T39" s="76">
        <f>SUM(T37:T38)</f>
        <v>8574472.0747058317</v>
      </c>
      <c r="V39" s="70">
        <f>E21/22.3484</f>
        <v>8256167.9189561652</v>
      </c>
      <c r="W39" s="70">
        <f>V39-T39</f>
        <v>-318304.1557496665</v>
      </c>
    </row>
    <row r="40" spans="2:23" ht="13.5" thickBot="1">
      <c r="B40" s="104" t="s">
        <v>35</v>
      </c>
      <c r="C40" s="105" t="s">
        <v>36</v>
      </c>
      <c r="D40" s="301">
        <v>245741.66</v>
      </c>
      <c r="E40" s="302">
        <v>-291144.19</v>
      </c>
      <c r="F40" s="167"/>
      <c r="G40" s="168"/>
      <c r="H40" s="76"/>
    </row>
    <row r="41" spans="2:23" ht="13.5" thickBot="1">
      <c r="B41" s="106" t="s">
        <v>37</v>
      </c>
      <c r="C41" s="107" t="s">
        <v>38</v>
      </c>
      <c r="D41" s="303">
        <v>207675472.32999995</v>
      </c>
      <c r="E41" s="267">
        <f>E26+E27+E40</f>
        <v>184512143.12</v>
      </c>
      <c r="F41" s="171"/>
      <c r="G41" s="172"/>
    </row>
    <row r="42" spans="2:23" ht="13.5" customHeight="1">
      <c r="B42" s="100"/>
      <c r="C42" s="100"/>
      <c r="D42" s="101"/>
      <c r="E42" s="101"/>
      <c r="F42" s="83"/>
      <c r="G42" s="70"/>
    </row>
    <row r="43" spans="2:23" ht="13.5">
      <c r="B43" s="500" t="s">
        <v>60</v>
      </c>
      <c r="C43" s="501"/>
      <c r="D43" s="501"/>
      <c r="E43" s="501"/>
      <c r="G43" s="76"/>
    </row>
    <row r="44" spans="2:23" ht="19.5" customHeight="1" thickBot="1">
      <c r="B44" s="498" t="s">
        <v>121</v>
      </c>
      <c r="C44" s="502"/>
      <c r="D44" s="502"/>
      <c r="E44" s="502"/>
      <c r="G44" s="76"/>
    </row>
    <row r="45" spans="2:23" ht="13.5" thickBot="1">
      <c r="B45" s="4"/>
      <c r="C45" s="30" t="s">
        <v>39</v>
      </c>
      <c r="D45" s="73" t="s">
        <v>125</v>
      </c>
      <c r="E45" s="29" t="s">
        <v>145</v>
      </c>
      <c r="G45" s="76"/>
    </row>
    <row r="46" spans="2:23">
      <c r="B46" s="13" t="s">
        <v>18</v>
      </c>
      <c r="C46" s="31" t="s">
        <v>112</v>
      </c>
      <c r="D46" s="173"/>
      <c r="E46" s="174"/>
      <c r="G46" s="210"/>
    </row>
    <row r="47" spans="2:23">
      <c r="B47" s="109" t="s">
        <v>4</v>
      </c>
      <c r="C47" s="15" t="s">
        <v>40</v>
      </c>
      <c r="D47" s="288">
        <v>10073175.2467</v>
      </c>
      <c r="E47" s="289">
        <v>8601364.3599500004</v>
      </c>
      <c r="G47" s="210"/>
    </row>
    <row r="48" spans="2:23">
      <c r="B48" s="130" t="s">
        <v>6</v>
      </c>
      <c r="C48" s="22" t="s">
        <v>41</v>
      </c>
      <c r="D48" s="290">
        <v>9196208.6968099996</v>
      </c>
      <c r="E48" s="268">
        <v>8256167.9189561652</v>
      </c>
      <c r="G48" s="166"/>
    </row>
    <row r="49" spans="2:9">
      <c r="B49" s="127" t="s">
        <v>23</v>
      </c>
      <c r="C49" s="131" t="s">
        <v>113</v>
      </c>
      <c r="D49" s="291"/>
      <c r="E49" s="175"/>
    </row>
    <row r="50" spans="2:9">
      <c r="B50" s="109" t="s">
        <v>4</v>
      </c>
      <c r="C50" s="15" t="s">
        <v>40</v>
      </c>
      <c r="D50" s="288">
        <v>22.5468414593803</v>
      </c>
      <c r="E50" s="292">
        <v>22.574397484430001</v>
      </c>
      <c r="G50" s="239"/>
    </row>
    <row r="51" spans="2:9">
      <c r="B51" s="109" t="s">
        <v>6</v>
      </c>
      <c r="C51" s="15" t="s">
        <v>114</v>
      </c>
      <c r="D51" s="293">
        <v>22.381699999999999</v>
      </c>
      <c r="E51" s="294">
        <v>20.301200000000001</v>
      </c>
      <c r="G51" s="190"/>
    </row>
    <row r="52" spans="2:9">
      <c r="B52" s="109" t="s">
        <v>8</v>
      </c>
      <c r="C52" s="15" t="s">
        <v>115</v>
      </c>
      <c r="D52" s="293">
        <v>22.582699999999999</v>
      </c>
      <c r="E52" s="294">
        <v>22.393699999999999</v>
      </c>
    </row>
    <row r="53" spans="2:9" ht="13.5" thickBot="1">
      <c r="B53" s="110" t="s">
        <v>9</v>
      </c>
      <c r="C53" s="17" t="s">
        <v>41</v>
      </c>
      <c r="D53" s="295">
        <v>22.582727206065201</v>
      </c>
      <c r="E53" s="269">
        <v>22.348400000000002</v>
      </c>
    </row>
    <row r="54" spans="2:9">
      <c r="B54" s="116"/>
      <c r="C54" s="117"/>
      <c r="D54" s="118"/>
      <c r="E54" s="118"/>
    </row>
    <row r="55" spans="2:9" ht="13.5">
      <c r="B55" s="500" t="s">
        <v>62</v>
      </c>
      <c r="C55" s="501"/>
      <c r="D55" s="501"/>
      <c r="E55" s="501"/>
    </row>
    <row r="56" spans="2:9" ht="15.75" customHeight="1" thickBot="1">
      <c r="B56" s="498" t="s">
        <v>116</v>
      </c>
      <c r="C56" s="502"/>
      <c r="D56" s="502"/>
      <c r="E56" s="502"/>
    </row>
    <row r="57" spans="2:9" ht="23.25" thickBot="1">
      <c r="B57" s="493" t="s">
        <v>42</v>
      </c>
      <c r="C57" s="494"/>
      <c r="D57" s="18" t="s">
        <v>122</v>
      </c>
      <c r="E57" s="19" t="s">
        <v>117</v>
      </c>
    </row>
    <row r="58" spans="2:9">
      <c r="B58" s="20" t="s">
        <v>18</v>
      </c>
      <c r="C58" s="133" t="s">
        <v>43</v>
      </c>
      <c r="D58" s="134">
        <f>D59+D69</f>
        <v>76401408.569999993</v>
      </c>
      <c r="E58" s="32">
        <f>D58/E21</f>
        <v>0.41407252269738853</v>
      </c>
    </row>
    <row r="59" spans="2:9" ht="25.5">
      <c r="B59" s="130" t="s">
        <v>4</v>
      </c>
      <c r="C59" s="22" t="s">
        <v>44</v>
      </c>
      <c r="D59" s="86">
        <v>75658704.709999993</v>
      </c>
      <c r="E59" s="87">
        <f>D59/E21</f>
        <v>0.4100472924472745</v>
      </c>
    </row>
    <row r="60" spans="2:9" ht="25.5">
      <c r="B60" s="109" t="s">
        <v>6</v>
      </c>
      <c r="C60" s="15" t="s">
        <v>45</v>
      </c>
      <c r="D60" s="84">
        <v>0</v>
      </c>
      <c r="E60" s="85">
        <v>0</v>
      </c>
    </row>
    <row r="61" spans="2:9">
      <c r="B61" s="109" t="s">
        <v>8</v>
      </c>
      <c r="C61" s="203" t="s">
        <v>46</v>
      </c>
      <c r="D61" s="84">
        <v>108418424.40000001</v>
      </c>
      <c r="E61" s="85">
        <f>D61/E21</f>
        <v>0.58759506321211941</v>
      </c>
      <c r="G61" s="76"/>
      <c r="H61" s="76"/>
      <c r="I61" s="76"/>
    </row>
    <row r="62" spans="2:9">
      <c r="B62" s="109" t="s">
        <v>9</v>
      </c>
      <c r="C62" s="15" t="s">
        <v>47</v>
      </c>
      <c r="D62" s="84">
        <v>0</v>
      </c>
      <c r="E62" s="85">
        <v>0</v>
      </c>
      <c r="G62" s="76"/>
      <c r="H62" s="76"/>
      <c r="I62" s="76"/>
    </row>
    <row r="63" spans="2:9">
      <c r="B63" s="109" t="s">
        <v>29</v>
      </c>
      <c r="C63" s="15" t="s">
        <v>48</v>
      </c>
      <c r="D63" s="84">
        <v>0</v>
      </c>
      <c r="E63" s="85">
        <v>0</v>
      </c>
      <c r="G63" s="76"/>
      <c r="H63" s="76"/>
      <c r="I63" s="76"/>
    </row>
    <row r="64" spans="2:9">
      <c r="B64" s="130" t="s">
        <v>31</v>
      </c>
      <c r="C64" s="22" t="s">
        <v>49</v>
      </c>
      <c r="D64" s="86">
        <v>0</v>
      </c>
      <c r="E64" s="87">
        <v>0</v>
      </c>
      <c r="G64" s="169"/>
      <c r="H64" s="169"/>
      <c r="I64" s="169"/>
    </row>
    <row r="65" spans="2:9" ht="13.5" customHeight="1">
      <c r="B65" s="130" t="s">
        <v>33</v>
      </c>
      <c r="C65" s="22" t="s">
        <v>118</v>
      </c>
      <c r="D65" s="86">
        <v>0</v>
      </c>
      <c r="E65" s="87">
        <v>0</v>
      </c>
    </row>
    <row r="66" spans="2:9">
      <c r="B66" s="130" t="s">
        <v>50</v>
      </c>
      <c r="C66" s="22" t="s">
        <v>51</v>
      </c>
      <c r="D66" s="86">
        <v>0</v>
      </c>
      <c r="E66" s="87">
        <v>0</v>
      </c>
      <c r="I66" s="76"/>
    </row>
    <row r="67" spans="2:9">
      <c r="B67" s="109" t="s">
        <v>52</v>
      </c>
      <c r="C67" s="15" t="s">
        <v>53</v>
      </c>
      <c r="D67" s="84">
        <v>0</v>
      </c>
      <c r="E67" s="85">
        <v>0</v>
      </c>
      <c r="I67" s="76"/>
    </row>
    <row r="68" spans="2:9">
      <c r="B68" s="109" t="s">
        <v>54</v>
      </c>
      <c r="C68" s="15" t="s">
        <v>55</v>
      </c>
      <c r="D68" s="84">
        <v>0</v>
      </c>
      <c r="E68" s="85">
        <v>0</v>
      </c>
      <c r="I68" s="76"/>
    </row>
    <row r="69" spans="2:9">
      <c r="B69" s="109" t="s">
        <v>56</v>
      </c>
      <c r="C69" s="15" t="s">
        <v>57</v>
      </c>
      <c r="D69" s="320">
        <v>742703.86</v>
      </c>
      <c r="E69" s="85">
        <f>D69/E21</f>
        <v>4.0252302501140669E-3</v>
      </c>
    </row>
    <row r="70" spans="2:9">
      <c r="B70" s="136" t="s">
        <v>58</v>
      </c>
      <c r="C70" s="120" t="s">
        <v>59</v>
      </c>
      <c r="D70" s="121">
        <v>0</v>
      </c>
      <c r="E70" s="122">
        <v>0</v>
      </c>
    </row>
    <row r="71" spans="2:9">
      <c r="B71" s="137" t="s">
        <v>23</v>
      </c>
      <c r="C71" s="128" t="s">
        <v>61</v>
      </c>
      <c r="D71" s="129">
        <f>E13</f>
        <v>2.89</v>
      </c>
      <c r="E71" s="69">
        <f>D71/E21</f>
        <v>1.5662925762671618E-8</v>
      </c>
    </row>
    <row r="72" spans="2:9">
      <c r="B72" s="138" t="s">
        <v>60</v>
      </c>
      <c r="C72" s="124" t="s">
        <v>63</v>
      </c>
      <c r="D72" s="125">
        <f>E14</f>
        <v>7865.16</v>
      </c>
      <c r="E72" s="126">
        <f>D72/E21</f>
        <v>4.2626787955548196E-5</v>
      </c>
    </row>
    <row r="73" spans="2:9">
      <c r="B73" s="139" t="s">
        <v>62</v>
      </c>
      <c r="C73" s="24" t="s">
        <v>65</v>
      </c>
      <c r="D73" s="25">
        <f>E17</f>
        <v>315557.90000000002</v>
      </c>
      <c r="E73" s="26">
        <f>D73/E21</f>
        <v>1.710228360389119E-3</v>
      </c>
    </row>
    <row r="74" spans="2:9">
      <c r="B74" s="137" t="s">
        <v>64</v>
      </c>
      <c r="C74" s="128" t="s">
        <v>66</v>
      </c>
      <c r="D74" s="129">
        <f>D58+D71+D72-D73</f>
        <v>76093718.719999984</v>
      </c>
      <c r="E74" s="69">
        <f>E58+E72-E73+E61</f>
        <v>0.99999998433707438</v>
      </c>
    </row>
    <row r="75" spans="2:9">
      <c r="B75" s="109" t="s">
        <v>4</v>
      </c>
      <c r="C75" s="15" t="s">
        <v>67</v>
      </c>
      <c r="D75" s="84">
        <f>D74</f>
        <v>76093718.719999984</v>
      </c>
      <c r="E75" s="85">
        <f>E74</f>
        <v>0.99999998433707438</v>
      </c>
    </row>
    <row r="76" spans="2:9">
      <c r="B76" s="109" t="s">
        <v>6</v>
      </c>
      <c r="C76" s="15" t="s">
        <v>119</v>
      </c>
      <c r="D76" s="84">
        <v>0</v>
      </c>
      <c r="E76" s="85">
        <v>0</v>
      </c>
    </row>
    <row r="77" spans="2:9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9">
      <c r="B78" s="1"/>
      <c r="C78" s="1"/>
      <c r="D78" s="2"/>
      <c r="E78" s="2"/>
    </row>
    <row r="79" spans="2:9">
      <c r="B79" s="1"/>
      <c r="C79" s="1"/>
      <c r="D79" s="2"/>
      <c r="E79" s="2"/>
    </row>
    <row r="80" spans="2:9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7:C57"/>
    <mergeCell ref="B2:E2"/>
    <mergeCell ref="B3:E3"/>
    <mergeCell ref="B5:E5"/>
    <mergeCell ref="B6:E6"/>
    <mergeCell ref="B9:E9"/>
    <mergeCell ref="B8:E8"/>
    <mergeCell ref="B23:E23"/>
    <mergeCell ref="B24:E24"/>
    <mergeCell ref="B43:E43"/>
    <mergeCell ref="B44:E44"/>
    <mergeCell ref="B55:E55"/>
    <mergeCell ref="B56:E56"/>
    <mergeCell ref="B21:C21"/>
  </mergeCells>
  <phoneticPr fontId="9" type="noConversion"/>
  <pageMargins left="0.47244094488188981" right="0.74803149606299213" top="0.47244094488188981" bottom="0.47244094488188981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L81"/>
  <sheetViews>
    <sheetView zoomScale="80" zoomScaleNormal="80" workbookViewId="0">
      <selection activeCell="C32" sqref="C3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1.7109375" customWidth="1"/>
    <col min="9" max="9" width="13.28515625" customWidth="1"/>
    <col min="10" max="10" width="13.5703125" customWidth="1"/>
    <col min="11" max="11" width="15.2851562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2"/>
      <c r="C4" s="92"/>
      <c r="D4" s="92"/>
      <c r="E4" s="92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90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3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16879503.780000001</v>
      </c>
      <c r="E11" s="284">
        <f>SUM(E12:E14)</f>
        <v>17547557.499999996</v>
      </c>
    </row>
    <row r="12" spans="2:12">
      <c r="B12" s="113" t="s">
        <v>4</v>
      </c>
      <c r="C12" s="6" t="s">
        <v>5</v>
      </c>
      <c r="D12" s="329">
        <v>16833052.57</v>
      </c>
      <c r="E12" s="353">
        <f>17443216.38+197167.08+5.4-143012.15</f>
        <v>17497376.709999997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>
        <v>46451.21</v>
      </c>
      <c r="E14" s="354">
        <f>E15</f>
        <v>50180.79</v>
      </c>
    </row>
    <row r="15" spans="2:12">
      <c r="B15" s="113" t="s">
        <v>106</v>
      </c>
      <c r="C15" s="71" t="s">
        <v>11</v>
      </c>
      <c r="D15" s="322">
        <v>46451.21</v>
      </c>
      <c r="E15" s="354">
        <v>50180.79</v>
      </c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>
        <v>48433.15</v>
      </c>
      <c r="E17" s="356">
        <f>E18</f>
        <v>32222.55</v>
      </c>
    </row>
    <row r="18" spans="2:11">
      <c r="B18" s="113" t="s">
        <v>4</v>
      </c>
      <c r="C18" s="6" t="s">
        <v>11</v>
      </c>
      <c r="D18" s="324">
        <v>48433.15</v>
      </c>
      <c r="E18" s="355">
        <v>32222.55</v>
      </c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16831070.630000003</v>
      </c>
      <c r="E21" s="155">
        <f>E11-E17</f>
        <v>17515334.949999996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5.75">
      <c r="B23" s="499"/>
      <c r="C23" s="507"/>
      <c r="D23" s="507"/>
      <c r="E23" s="507"/>
      <c r="G23" s="76"/>
    </row>
    <row r="24" spans="2:11" ht="18" customHeight="1" thickBot="1">
      <c r="B24" s="498" t="s">
        <v>105</v>
      </c>
      <c r="C24" s="508"/>
      <c r="D24" s="508"/>
      <c r="E24" s="508"/>
    </row>
    <row r="25" spans="2:11" ht="13.5" thickBot="1">
      <c r="B25" s="93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18485904.960000001</v>
      </c>
      <c r="E26" s="270">
        <f>D21</f>
        <v>16831070.630000003</v>
      </c>
      <c r="G26" s="80"/>
    </row>
    <row r="27" spans="2:11">
      <c r="B27" s="9" t="s">
        <v>17</v>
      </c>
      <c r="C27" s="10" t="s">
        <v>111</v>
      </c>
      <c r="D27" s="226">
        <v>306306.97999999975</v>
      </c>
      <c r="E27" s="263">
        <f>E28-E32</f>
        <v>104587.50000000023</v>
      </c>
      <c r="F27" s="76"/>
      <c r="G27" s="160"/>
      <c r="H27" s="359"/>
      <c r="I27" s="359"/>
      <c r="J27" s="359"/>
    </row>
    <row r="28" spans="2:11">
      <c r="B28" s="9" t="s">
        <v>18</v>
      </c>
      <c r="C28" s="10" t="s">
        <v>19</v>
      </c>
      <c r="D28" s="226">
        <v>2034626.52</v>
      </c>
      <c r="E28" s="264">
        <f>SUM(E29:E31)</f>
        <v>1643402.2600000002</v>
      </c>
      <c r="F28" s="76"/>
      <c r="G28" s="160"/>
      <c r="H28" s="359"/>
      <c r="I28" s="359"/>
      <c r="J28" s="359"/>
    </row>
    <row r="29" spans="2:11">
      <c r="B29" s="111" t="s">
        <v>4</v>
      </c>
      <c r="C29" s="6" t="s">
        <v>20</v>
      </c>
      <c r="D29" s="227">
        <v>1744887.29</v>
      </c>
      <c r="E29" s="265">
        <v>1484273.9400000002</v>
      </c>
      <c r="F29" s="76"/>
      <c r="G29" s="160"/>
      <c r="H29" s="359"/>
      <c r="I29" s="359"/>
      <c r="J29" s="359"/>
    </row>
    <row r="30" spans="2:11">
      <c r="B30" s="111" t="s">
        <v>6</v>
      </c>
      <c r="C30" s="6" t="s">
        <v>21</v>
      </c>
      <c r="D30" s="227"/>
      <c r="E30" s="265"/>
      <c r="F30" s="76"/>
      <c r="G30" s="160"/>
      <c r="H30" s="359"/>
      <c r="I30" s="359"/>
      <c r="J30" s="359"/>
    </row>
    <row r="31" spans="2:11">
      <c r="B31" s="111" t="s">
        <v>8</v>
      </c>
      <c r="C31" s="6" t="s">
        <v>22</v>
      </c>
      <c r="D31" s="227">
        <v>289739.23</v>
      </c>
      <c r="E31" s="265">
        <v>159128.32000000001</v>
      </c>
      <c r="F31" s="76"/>
      <c r="G31" s="160"/>
      <c r="H31" s="359"/>
      <c r="I31" s="359"/>
      <c r="J31" s="359"/>
    </row>
    <row r="32" spans="2:11">
      <c r="B32" s="99" t="s">
        <v>23</v>
      </c>
      <c r="C32" s="11" t="s">
        <v>24</v>
      </c>
      <c r="D32" s="226">
        <v>1728319.5400000003</v>
      </c>
      <c r="E32" s="264">
        <f>SUM(E33:E39)</f>
        <v>1538814.76</v>
      </c>
      <c r="F32" s="76"/>
      <c r="G32" s="160"/>
      <c r="H32" s="359"/>
      <c r="I32" s="359"/>
      <c r="J32" s="359"/>
    </row>
    <row r="33" spans="2:10">
      <c r="B33" s="111" t="s">
        <v>4</v>
      </c>
      <c r="C33" s="6" t="s">
        <v>25</v>
      </c>
      <c r="D33" s="227">
        <v>1356608.9000000001</v>
      </c>
      <c r="E33" s="265">
        <f>1046756.87-41623.57</f>
        <v>1005133.3</v>
      </c>
      <c r="F33" s="76"/>
      <c r="G33" s="160"/>
      <c r="H33" s="359"/>
      <c r="I33" s="359"/>
      <c r="J33" s="359"/>
    </row>
    <row r="34" spans="2:10">
      <c r="B34" s="111" t="s">
        <v>6</v>
      </c>
      <c r="C34" s="6" t="s">
        <v>26</v>
      </c>
      <c r="D34" s="227"/>
      <c r="E34" s="265"/>
      <c r="F34" s="76"/>
      <c r="G34" s="160"/>
      <c r="H34" s="359"/>
      <c r="I34" s="359"/>
      <c r="J34" s="359"/>
    </row>
    <row r="35" spans="2:10">
      <c r="B35" s="111" t="s">
        <v>8</v>
      </c>
      <c r="C35" s="6" t="s">
        <v>27</v>
      </c>
      <c r="D35" s="227">
        <v>253182.13</v>
      </c>
      <c r="E35" s="265">
        <v>238587.22999999998</v>
      </c>
      <c r="F35" s="76"/>
      <c r="G35" s="160"/>
      <c r="H35" s="359"/>
      <c r="I35" s="359"/>
      <c r="J35" s="359"/>
    </row>
    <row r="36" spans="2:10">
      <c r="B36" s="111" t="s">
        <v>9</v>
      </c>
      <c r="C36" s="6" t="s">
        <v>28</v>
      </c>
      <c r="D36" s="227"/>
      <c r="E36" s="265"/>
      <c r="F36" s="76"/>
      <c r="G36" s="160"/>
      <c r="H36" s="359"/>
      <c r="I36" s="359"/>
      <c r="J36" s="359"/>
    </row>
    <row r="37" spans="2:10" ht="25.5">
      <c r="B37" s="111" t="s">
        <v>29</v>
      </c>
      <c r="C37" s="6" t="s">
        <v>30</v>
      </c>
      <c r="D37" s="227"/>
      <c r="E37" s="265"/>
      <c r="F37" s="76"/>
      <c r="G37" s="160"/>
      <c r="H37" s="359"/>
      <c r="I37" s="359"/>
      <c r="J37" s="359"/>
    </row>
    <row r="38" spans="2:10">
      <c r="B38" s="111" t="s">
        <v>31</v>
      </c>
      <c r="C38" s="6" t="s">
        <v>32</v>
      </c>
      <c r="D38" s="227"/>
      <c r="E38" s="265"/>
      <c r="F38" s="76"/>
      <c r="G38" s="160"/>
      <c r="H38" s="359"/>
      <c r="I38" s="359"/>
      <c r="J38" s="359"/>
    </row>
    <row r="39" spans="2:10">
      <c r="B39" s="112" t="s">
        <v>33</v>
      </c>
      <c r="C39" s="12" t="s">
        <v>34</v>
      </c>
      <c r="D39" s="228">
        <v>118528.51</v>
      </c>
      <c r="E39" s="266">
        <v>295094.23</v>
      </c>
      <c r="F39" s="76"/>
      <c r="G39" s="160"/>
      <c r="H39" s="359"/>
      <c r="I39" s="359"/>
      <c r="J39" s="359"/>
    </row>
    <row r="40" spans="2:10" ht="13.5" thickBot="1">
      <c r="B40" s="104" t="s">
        <v>35</v>
      </c>
      <c r="C40" s="105" t="s">
        <v>36</v>
      </c>
      <c r="D40" s="229">
        <v>-1672441.01</v>
      </c>
      <c r="E40" s="271">
        <v>579676.81999999995</v>
      </c>
      <c r="G40" s="80"/>
    </row>
    <row r="41" spans="2:10" ht="13.5" thickBot="1">
      <c r="B41" s="106" t="s">
        <v>37</v>
      </c>
      <c r="C41" s="107" t="s">
        <v>38</v>
      </c>
      <c r="D41" s="230">
        <v>17119770.93</v>
      </c>
      <c r="E41" s="155">
        <f>E26+E27+E40</f>
        <v>17515334.950000003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7.25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3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1597461.52211</v>
      </c>
      <c r="E47" s="79">
        <v>1617609.36784</v>
      </c>
      <c r="G47" s="210"/>
    </row>
    <row r="48" spans="2:10">
      <c r="B48" s="130" t="s">
        <v>6</v>
      </c>
      <c r="C48" s="22" t="s">
        <v>41</v>
      </c>
      <c r="D48" s="232">
        <v>1622094.65411</v>
      </c>
      <c r="E48" s="317">
        <v>1627849.4906968526</v>
      </c>
      <c r="G48" s="213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11.572050221037401</v>
      </c>
      <c r="E50" s="79">
        <v>10.4049042770367</v>
      </c>
      <c r="G50" s="239"/>
    </row>
    <row r="51" spans="2:7">
      <c r="B51" s="109" t="s">
        <v>6</v>
      </c>
      <c r="C51" s="15" t="s">
        <v>114</v>
      </c>
      <c r="D51" s="311">
        <v>10.403499999999999</v>
      </c>
      <c r="E51" s="81">
        <v>10.185700000000001</v>
      </c>
      <c r="G51" s="190"/>
    </row>
    <row r="52" spans="2:7" ht="12.75" customHeight="1">
      <c r="B52" s="109" t="s">
        <v>8</v>
      </c>
      <c r="C52" s="15" t="s">
        <v>115</v>
      </c>
      <c r="D52" s="311">
        <v>12.1831</v>
      </c>
      <c r="E52" s="81">
        <v>11.3018</v>
      </c>
    </row>
    <row r="53" spans="2:7" ht="13.5" thickBot="1">
      <c r="B53" s="110" t="s">
        <v>9</v>
      </c>
      <c r="C53" s="17" t="s">
        <v>41</v>
      </c>
      <c r="D53" s="235">
        <v>10.554113403094499</v>
      </c>
      <c r="E53" s="272">
        <v>10.7598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SUM(D59:D70)</f>
        <v>17497376.710000001</v>
      </c>
      <c r="E58" s="32">
        <f>D58/E21</f>
        <v>0.99897471329830356</v>
      </c>
    </row>
    <row r="59" spans="2:7" ht="25.5">
      <c r="B59" s="21" t="s">
        <v>4</v>
      </c>
      <c r="C59" s="22" t="s">
        <v>44</v>
      </c>
      <c r="D59" s="86">
        <v>0</v>
      </c>
      <c r="E59" s="87">
        <v>0</v>
      </c>
    </row>
    <row r="60" spans="2:7" ht="24" customHeight="1">
      <c r="B60" s="14" t="s">
        <v>6</v>
      </c>
      <c r="C60" s="15" t="s">
        <v>45</v>
      </c>
      <c r="D60" s="84">
        <v>0</v>
      </c>
      <c r="E60" s="85">
        <v>0</v>
      </c>
    </row>
    <row r="61" spans="2:7">
      <c r="B61" s="14" t="s">
        <v>8</v>
      </c>
      <c r="C61" s="15" t="s">
        <v>46</v>
      </c>
      <c r="D61" s="84">
        <v>0</v>
      </c>
      <c r="E61" s="85">
        <v>0</v>
      </c>
    </row>
    <row r="62" spans="2:7">
      <c r="B62" s="14" t="s">
        <v>9</v>
      </c>
      <c r="C62" s="15" t="s">
        <v>47</v>
      </c>
      <c r="D62" s="84">
        <v>0</v>
      </c>
      <c r="E62" s="85">
        <v>0</v>
      </c>
    </row>
    <row r="63" spans="2:7">
      <c r="B63" s="14" t="s">
        <v>29</v>
      </c>
      <c r="C63" s="15" t="s">
        <v>48</v>
      </c>
      <c r="D63" s="84">
        <v>0</v>
      </c>
      <c r="E63" s="85">
        <v>0</v>
      </c>
    </row>
    <row r="64" spans="2:7">
      <c r="B64" s="21" t="s">
        <v>31</v>
      </c>
      <c r="C64" s="22" t="s">
        <v>49</v>
      </c>
      <c r="D64" s="314">
        <f>17443216.38-143012.15</f>
        <v>17300204.23</v>
      </c>
      <c r="E64" s="87">
        <f>D64/E21</f>
        <v>0.98771757887507627</v>
      </c>
    </row>
    <row r="65" spans="2:5">
      <c r="B65" s="21" t="s">
        <v>33</v>
      </c>
      <c r="C65" s="22" t="s">
        <v>118</v>
      </c>
      <c r="D65" s="86">
        <v>0</v>
      </c>
      <c r="E65" s="87">
        <v>0</v>
      </c>
    </row>
    <row r="66" spans="2:5">
      <c r="B66" s="21" t="s">
        <v>50</v>
      </c>
      <c r="C66" s="22" t="s">
        <v>51</v>
      </c>
      <c r="D66" s="86">
        <v>0</v>
      </c>
      <c r="E66" s="87">
        <v>0</v>
      </c>
    </row>
    <row r="67" spans="2:5">
      <c r="B67" s="14" t="s">
        <v>52</v>
      </c>
      <c r="C67" s="15" t="s">
        <v>53</v>
      </c>
      <c r="D67" s="84">
        <v>0</v>
      </c>
      <c r="E67" s="85">
        <v>0</v>
      </c>
    </row>
    <row r="68" spans="2:5">
      <c r="B68" s="14" t="s">
        <v>54</v>
      </c>
      <c r="C68" s="15" t="s">
        <v>55</v>
      </c>
      <c r="D68" s="84">
        <v>0</v>
      </c>
      <c r="E68" s="85">
        <v>0</v>
      </c>
    </row>
    <row r="69" spans="2:5">
      <c r="B69" s="14" t="s">
        <v>56</v>
      </c>
      <c r="C69" s="15" t="s">
        <v>57</v>
      </c>
      <c r="D69" s="334">
        <v>197172.47999999998</v>
      </c>
      <c r="E69" s="85">
        <f>D69/E21</f>
        <v>1.1257134423227233E-2</v>
      </c>
    </row>
    <row r="70" spans="2:5">
      <c r="B70" s="119" t="s">
        <v>58</v>
      </c>
      <c r="C70" s="120" t="s">
        <v>59</v>
      </c>
      <c r="D70" s="121">
        <v>0</v>
      </c>
      <c r="E70" s="122">
        <v>0</v>
      </c>
    </row>
    <row r="71" spans="2:5">
      <c r="B71" s="127" t="s">
        <v>23</v>
      </c>
      <c r="C71" s="128" t="s">
        <v>61</v>
      </c>
      <c r="D71" s="129">
        <f>E13</f>
        <v>0</v>
      </c>
      <c r="E71" s="69">
        <v>0</v>
      </c>
    </row>
    <row r="72" spans="2:5">
      <c r="B72" s="123" t="s">
        <v>60</v>
      </c>
      <c r="C72" s="124" t="s">
        <v>63</v>
      </c>
      <c r="D72" s="125">
        <f>E14</f>
        <v>50180.79</v>
      </c>
      <c r="E72" s="126">
        <f>D72/E21</f>
        <v>2.8649631961505831E-3</v>
      </c>
    </row>
    <row r="73" spans="2:5">
      <c r="B73" s="23" t="s">
        <v>62</v>
      </c>
      <c r="C73" s="24" t="s">
        <v>65</v>
      </c>
      <c r="D73" s="25">
        <f>E17</f>
        <v>32222.55</v>
      </c>
      <c r="E73" s="26">
        <f>D73/E21</f>
        <v>1.8396764944537934E-3</v>
      </c>
    </row>
    <row r="74" spans="2:5">
      <c r="B74" s="127" t="s">
        <v>64</v>
      </c>
      <c r="C74" s="128" t="s">
        <v>66</v>
      </c>
      <c r="D74" s="129">
        <f>D58+D71+D72-D73</f>
        <v>17515334.949999999</v>
      </c>
      <c r="E74" s="69">
        <f>E58+E72-E73</f>
        <v>1.0000000000000004</v>
      </c>
    </row>
    <row r="75" spans="2:5">
      <c r="B75" s="14" t="s">
        <v>4</v>
      </c>
      <c r="C75" s="15" t="s">
        <v>67</v>
      </c>
      <c r="D75" s="84">
        <f>D74</f>
        <v>17515334.949999999</v>
      </c>
      <c r="E75" s="85">
        <f>E74</f>
        <v>1.0000000000000004</v>
      </c>
    </row>
    <row r="76" spans="2:5">
      <c r="B76" s="14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6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0"/>
  <dimension ref="A1:L81"/>
  <sheetViews>
    <sheetView zoomScale="80" zoomScaleNormal="80" workbookViewId="0">
      <selection activeCell="I27" sqref="I2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275</v>
      </c>
      <c r="C6" s="497"/>
      <c r="D6" s="497"/>
      <c r="E6" s="497"/>
    </row>
    <row r="7" spans="2:12" ht="14.25">
      <c r="B7" s="220"/>
      <c r="C7" s="220"/>
      <c r="D7" s="220"/>
      <c r="E7" s="22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221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/>
      <c r="E11" s="284"/>
    </row>
    <row r="12" spans="2:12">
      <c r="B12" s="191" t="s">
        <v>4</v>
      </c>
      <c r="C12" s="192" t="s">
        <v>5</v>
      </c>
      <c r="D12" s="329"/>
      <c r="E12" s="353"/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/>
      <c r="E21" s="155"/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6775.97</v>
      </c>
      <c r="E26" s="270"/>
      <c r="G26" s="80"/>
    </row>
    <row r="27" spans="2:11">
      <c r="B27" s="9" t="s">
        <v>17</v>
      </c>
      <c r="C27" s="10" t="s">
        <v>111</v>
      </c>
      <c r="D27" s="226">
        <v>-6782.41</v>
      </c>
      <c r="E27" s="263"/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/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6782.41</v>
      </c>
      <c r="E32" s="264"/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7.64</v>
      </c>
      <c r="E35" s="265"/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38.89</v>
      </c>
      <c r="E37" s="265"/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6735.88</v>
      </c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6.44</v>
      </c>
      <c r="E40" s="271"/>
      <c r="G40" s="80"/>
    </row>
    <row r="41" spans="2:10" ht="13.5" thickBot="1">
      <c r="B41" s="106" t="s">
        <v>37</v>
      </c>
      <c r="C41" s="107" t="s">
        <v>38</v>
      </c>
      <c r="D41" s="230">
        <v>0</v>
      </c>
      <c r="E41" s="155"/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58.509390000000003</v>
      </c>
      <c r="E47" s="156"/>
      <c r="G47" s="76"/>
    </row>
    <row r="48" spans="2:10">
      <c r="B48" s="204" t="s">
        <v>6</v>
      </c>
      <c r="C48" s="205" t="s">
        <v>41</v>
      </c>
      <c r="D48" s="232"/>
      <c r="E48" s="156"/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115.81</v>
      </c>
      <c r="E50" s="156"/>
      <c r="G50" s="190"/>
    </row>
    <row r="51" spans="2:7">
      <c r="B51" s="202" t="s">
        <v>6</v>
      </c>
      <c r="C51" s="203" t="s">
        <v>114</v>
      </c>
      <c r="D51" s="234">
        <v>115.81</v>
      </c>
      <c r="E51" s="156"/>
      <c r="G51" s="190"/>
    </row>
    <row r="52" spans="2:7">
      <c r="B52" s="202" t="s">
        <v>8</v>
      </c>
      <c r="C52" s="203" t="s">
        <v>115</v>
      </c>
      <c r="D52" s="234">
        <v>116.45</v>
      </c>
      <c r="E52" s="81"/>
    </row>
    <row r="53" spans="2:7" ht="13.5" thickBot="1">
      <c r="B53" s="206" t="s">
        <v>9</v>
      </c>
      <c r="C53" s="207" t="s">
        <v>41</v>
      </c>
      <c r="D53" s="235"/>
      <c r="E53" s="272"/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0</v>
      </c>
      <c r="E58" s="32">
        <v>0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0</v>
      </c>
      <c r="E64" s="87">
        <v>0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0</v>
      </c>
      <c r="E74" s="69">
        <f>E58+E72-E73</f>
        <v>0</v>
      </c>
    </row>
    <row r="75" spans="2:5">
      <c r="B75" s="109" t="s">
        <v>4</v>
      </c>
      <c r="C75" s="15" t="s">
        <v>67</v>
      </c>
      <c r="D75" s="84">
        <f>D74</f>
        <v>0</v>
      </c>
      <c r="E75" s="85">
        <f>E74</f>
        <v>0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1"/>
  <dimension ref="A1:L81"/>
  <sheetViews>
    <sheetView zoomScale="80" zoomScaleNormal="80" workbookViewId="0">
      <selection activeCell="G19" sqref="G19:N5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9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204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33899.839999999997</v>
      </c>
      <c r="E11" s="284">
        <f>SUM(E12:E14)</f>
        <v>33585.69</v>
      </c>
    </row>
    <row r="12" spans="2:12">
      <c r="B12" s="191" t="s">
        <v>4</v>
      </c>
      <c r="C12" s="192" t="s">
        <v>5</v>
      </c>
      <c r="D12" s="329">
        <v>33899.839999999997</v>
      </c>
      <c r="E12" s="353">
        <v>33585.69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33899.839999999997</v>
      </c>
      <c r="E21" s="155">
        <f>E11-E17</f>
        <v>33585.69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81884.33</v>
      </c>
      <c r="E26" s="270">
        <f>D21</f>
        <v>33899.839999999997</v>
      </c>
      <c r="G26" s="80"/>
    </row>
    <row r="27" spans="2:11">
      <c r="B27" s="9" t="s">
        <v>17</v>
      </c>
      <c r="C27" s="10" t="s">
        <v>111</v>
      </c>
      <c r="D27" s="226">
        <v>-34159.189999999995</v>
      </c>
      <c r="E27" s="263">
        <f>E28-E32</f>
        <v>-2672.4900000000002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2694.37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2694.37</v>
      </c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36853.56</v>
      </c>
      <c r="E32" s="264">
        <f>SUM(E33:E39)</f>
        <v>2672.4900000000002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12415.03</v>
      </c>
      <c r="E33" s="265">
        <v>2033.72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160.16</v>
      </c>
      <c r="E35" s="265">
        <v>312.33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598.76</v>
      </c>
      <c r="E37" s="265">
        <v>326.44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23679.61</v>
      </c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-6428.3</v>
      </c>
      <c r="E40" s="271">
        <v>2358.34</v>
      </c>
      <c r="G40" s="80"/>
    </row>
    <row r="41" spans="2:10" ht="13.5" thickBot="1">
      <c r="B41" s="106" t="s">
        <v>37</v>
      </c>
      <c r="C41" s="107" t="s">
        <v>38</v>
      </c>
      <c r="D41" s="230">
        <v>41296.840000000004</v>
      </c>
      <c r="E41" s="155">
        <f>E26+E27+E40</f>
        <v>33585.689999999995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719.92550000000006</v>
      </c>
      <c r="E47" s="156">
        <v>399.85660000000001</v>
      </c>
      <c r="G47" s="76"/>
    </row>
    <row r="48" spans="2:10">
      <c r="B48" s="204" t="s">
        <v>6</v>
      </c>
      <c r="C48" s="205" t="s">
        <v>41</v>
      </c>
      <c r="D48" s="232">
        <v>406.70510000000002</v>
      </c>
      <c r="E48" s="156">
        <v>370.09030000000001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113.74</v>
      </c>
      <c r="E50" s="156">
        <v>84.78</v>
      </c>
      <c r="G50" s="190"/>
    </row>
    <row r="51" spans="2:7">
      <c r="B51" s="202" t="s">
        <v>6</v>
      </c>
      <c r="C51" s="203" t="s">
        <v>114</v>
      </c>
      <c r="D51" s="234">
        <v>100.83</v>
      </c>
      <c r="E51" s="81">
        <v>84.44</v>
      </c>
      <c r="G51" s="190"/>
    </row>
    <row r="52" spans="2:7">
      <c r="B52" s="202" t="s">
        <v>8</v>
      </c>
      <c r="C52" s="203" t="s">
        <v>115</v>
      </c>
      <c r="D52" s="234">
        <v>117.6</v>
      </c>
      <c r="E52" s="81">
        <v>94.02</v>
      </c>
    </row>
    <row r="53" spans="2:7" ht="12.75" customHeight="1" thickBot="1">
      <c r="B53" s="206" t="s">
        <v>9</v>
      </c>
      <c r="C53" s="207" t="s">
        <v>41</v>
      </c>
      <c r="D53" s="235">
        <v>101.54</v>
      </c>
      <c r="E53" s="272">
        <v>90.75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33585.69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33585.69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33585.69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33585.69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2">
    <pageSetUpPr fitToPage="1"/>
  </sheetPr>
  <dimension ref="A1:L81"/>
  <sheetViews>
    <sheetView zoomScale="80" zoomScaleNormal="80" workbookViewId="0">
      <selection activeCell="H41" sqref="H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" customWidth="1"/>
    <col min="12" max="12" width="12.42578125" bestFit="1" customWidth="1"/>
  </cols>
  <sheetData>
    <row r="1" spans="2:12" customFormat="1">
      <c r="B1" s="1"/>
      <c r="C1" s="1"/>
      <c r="D1" s="2"/>
      <c r="E1" s="2"/>
    </row>
    <row r="2" spans="2:12" customFormat="1" ht="15.75">
      <c r="B2" s="495" t="s">
        <v>0</v>
      </c>
      <c r="C2" s="495"/>
      <c r="D2" s="495"/>
      <c r="E2" s="495"/>
      <c r="L2" s="76"/>
    </row>
    <row r="3" spans="2:12" customFormat="1" ht="15.75">
      <c r="B3" s="495" t="s">
        <v>144</v>
      </c>
      <c r="C3" s="495"/>
      <c r="D3" s="495"/>
      <c r="E3" s="495"/>
    </row>
    <row r="4" spans="2:12" customFormat="1" ht="15">
      <c r="B4" s="148"/>
      <c r="C4" s="148"/>
      <c r="D4" s="148"/>
      <c r="E4" s="148"/>
    </row>
    <row r="5" spans="2:12" customFormat="1" ht="21" customHeight="1">
      <c r="B5" s="496" t="s">
        <v>1</v>
      </c>
      <c r="C5" s="496"/>
      <c r="D5" s="496"/>
      <c r="E5" s="496"/>
    </row>
    <row r="6" spans="2:12" customFormat="1" ht="14.25">
      <c r="B6" s="497" t="s">
        <v>276</v>
      </c>
      <c r="C6" s="497"/>
      <c r="D6" s="497"/>
      <c r="E6" s="497"/>
    </row>
    <row r="7" spans="2:12" customFormat="1" ht="14.25">
      <c r="B7" s="146"/>
      <c r="C7" s="146"/>
      <c r="D7" s="146"/>
      <c r="E7" s="146"/>
    </row>
    <row r="8" spans="2:12" customFormat="1" ht="13.5">
      <c r="B8" s="499" t="s">
        <v>18</v>
      </c>
      <c r="C8" s="501"/>
      <c r="D8" s="501"/>
      <c r="E8" s="501"/>
    </row>
    <row r="9" spans="2:12" customFormat="1" ht="16.5" thickBot="1">
      <c r="B9" s="498" t="s">
        <v>103</v>
      </c>
      <c r="C9" s="498"/>
      <c r="D9" s="498"/>
      <c r="E9" s="498"/>
    </row>
    <row r="10" spans="2:12" customFormat="1" ht="13.5" thickBot="1">
      <c r="B10" s="147"/>
      <c r="C10" s="82" t="s">
        <v>2</v>
      </c>
      <c r="D10" s="73" t="s">
        <v>127</v>
      </c>
      <c r="E10" s="29" t="s">
        <v>145</v>
      </c>
    </row>
    <row r="11" spans="2:12" customFormat="1">
      <c r="B11" s="97" t="s">
        <v>3</v>
      </c>
      <c r="C11" s="135" t="s">
        <v>109</v>
      </c>
      <c r="D11" s="283">
        <v>4223.03</v>
      </c>
      <c r="E11" s="284">
        <f>SUM(E12:E14)</f>
        <v>4439.28</v>
      </c>
    </row>
    <row r="12" spans="2:12" customFormat="1">
      <c r="B12" s="191" t="s">
        <v>4</v>
      </c>
      <c r="C12" s="192" t="s">
        <v>5</v>
      </c>
      <c r="D12" s="329">
        <v>4223.03</v>
      </c>
      <c r="E12" s="353">
        <v>4439.28</v>
      </c>
    </row>
    <row r="13" spans="2:12" customFormat="1">
      <c r="B13" s="191" t="s">
        <v>6</v>
      </c>
      <c r="C13" s="193" t="s">
        <v>7</v>
      </c>
      <c r="D13" s="322"/>
      <c r="E13" s="354"/>
    </row>
    <row r="14" spans="2:12" customFormat="1">
      <c r="B14" s="191" t="s">
        <v>8</v>
      </c>
      <c r="C14" s="193" t="s">
        <v>10</v>
      </c>
      <c r="D14" s="322"/>
      <c r="E14" s="354"/>
      <c r="G14" s="70"/>
    </row>
    <row r="15" spans="2:12" customFormat="1">
      <c r="B15" s="191" t="s">
        <v>106</v>
      </c>
      <c r="C15" s="193" t="s">
        <v>11</v>
      </c>
      <c r="D15" s="322"/>
      <c r="E15" s="354"/>
    </row>
    <row r="16" spans="2:12" customFormat="1">
      <c r="B16" s="194" t="s">
        <v>107</v>
      </c>
      <c r="C16" s="195" t="s">
        <v>12</v>
      </c>
      <c r="D16" s="324"/>
      <c r="E16" s="355"/>
    </row>
    <row r="17" spans="2:11" customFormat="1">
      <c r="B17" s="9" t="s">
        <v>13</v>
      </c>
      <c r="C17" s="11" t="s">
        <v>65</v>
      </c>
      <c r="D17" s="325"/>
      <c r="E17" s="356"/>
    </row>
    <row r="18" spans="2:11" customFormat="1">
      <c r="B18" s="191" t="s">
        <v>4</v>
      </c>
      <c r="C18" s="192" t="s">
        <v>11</v>
      </c>
      <c r="D18" s="324"/>
      <c r="E18" s="355"/>
    </row>
    <row r="19" spans="2:11" customFormat="1" ht="15" customHeight="1">
      <c r="B19" s="191" t="s">
        <v>6</v>
      </c>
      <c r="C19" s="193" t="s">
        <v>108</v>
      </c>
      <c r="D19" s="322"/>
      <c r="E19" s="354"/>
    </row>
    <row r="20" spans="2:11" customFormat="1" ht="13.5" thickBot="1">
      <c r="B20" s="196" t="s">
        <v>8</v>
      </c>
      <c r="C20" s="197" t="s">
        <v>14</v>
      </c>
      <c r="D20" s="285"/>
      <c r="E20" s="286"/>
    </row>
    <row r="21" spans="2:11" customFormat="1" ht="13.5" thickBot="1">
      <c r="B21" s="505" t="s">
        <v>110</v>
      </c>
      <c r="C21" s="506"/>
      <c r="D21" s="287">
        <v>4223.03</v>
      </c>
      <c r="E21" s="155">
        <f>E11-E17</f>
        <v>4439.28</v>
      </c>
      <c r="F21" s="83"/>
      <c r="G21" s="83"/>
      <c r="H21" s="176"/>
      <c r="J21" s="254"/>
      <c r="K21" s="70"/>
    </row>
    <row r="22" spans="2:11" customFormat="1">
      <c r="B22" s="3"/>
      <c r="C22" s="7"/>
      <c r="D22" s="8"/>
      <c r="E22" s="8"/>
      <c r="G22" s="169"/>
    </row>
    <row r="23" spans="2:11" customFormat="1" ht="13.5">
      <c r="B23" s="499" t="s">
        <v>104</v>
      </c>
      <c r="C23" s="509"/>
      <c r="D23" s="509"/>
      <c r="E23" s="509"/>
      <c r="G23" s="76"/>
    </row>
    <row r="24" spans="2:11" customFormat="1" ht="15.75" customHeight="1" thickBot="1">
      <c r="B24" s="498" t="s">
        <v>105</v>
      </c>
      <c r="C24" s="510"/>
      <c r="D24" s="510"/>
      <c r="E24" s="510"/>
    </row>
    <row r="25" spans="2:11" customFormat="1" ht="13.5" thickBot="1">
      <c r="B25" s="244"/>
      <c r="C25" s="198" t="s">
        <v>2</v>
      </c>
      <c r="D25" s="73" t="s">
        <v>125</v>
      </c>
      <c r="E25" s="29" t="s">
        <v>145</v>
      </c>
    </row>
    <row r="26" spans="2:11" customFormat="1">
      <c r="B26" s="102" t="s">
        <v>15</v>
      </c>
      <c r="C26" s="103" t="s">
        <v>16</v>
      </c>
      <c r="D26" s="225">
        <v>23977.95</v>
      </c>
      <c r="E26" s="270">
        <f>D21</f>
        <v>4223.03</v>
      </c>
      <c r="G26" s="80"/>
    </row>
    <row r="27" spans="2:11" customFormat="1">
      <c r="B27" s="9" t="s">
        <v>17</v>
      </c>
      <c r="C27" s="10" t="s">
        <v>111</v>
      </c>
      <c r="D27" s="226">
        <v>-231.11999999999998</v>
      </c>
      <c r="E27" s="263">
        <f>E28-E32</f>
        <v>0</v>
      </c>
      <c r="F27" s="76"/>
      <c r="G27" s="80"/>
      <c r="H27" s="76"/>
      <c r="I27" s="76"/>
      <c r="J27" s="76"/>
    </row>
    <row r="28" spans="2:11" customFormat="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76"/>
      <c r="H28" s="76"/>
      <c r="I28" s="76"/>
      <c r="J28" s="76"/>
    </row>
    <row r="29" spans="2:11" customFormat="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 customFormat="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 customFormat="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 customFormat="1">
      <c r="B32" s="99" t="s">
        <v>23</v>
      </c>
      <c r="C32" s="11" t="s">
        <v>24</v>
      </c>
      <c r="D32" s="226">
        <v>231.11999999999998</v>
      </c>
      <c r="E32" s="264">
        <f>SUM(E33:E39)</f>
        <v>0</v>
      </c>
      <c r="F32" s="76"/>
      <c r="G32" s="80"/>
      <c r="H32" s="76"/>
      <c r="I32" s="76"/>
      <c r="J32" s="76"/>
    </row>
    <row r="33" spans="2:10" customFormat="1">
      <c r="B33" s="199" t="s">
        <v>4</v>
      </c>
      <c r="C33" s="192" t="s">
        <v>25</v>
      </c>
      <c r="D33" s="227"/>
      <c r="E33" s="265"/>
      <c r="F33" s="76"/>
      <c r="G33" s="76"/>
      <c r="H33" s="76"/>
      <c r="I33" s="76"/>
      <c r="J33" s="76"/>
    </row>
    <row r="34" spans="2:10" customFormat="1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 customFormat="1">
      <c r="B35" s="199" t="s">
        <v>8</v>
      </c>
      <c r="C35" s="192" t="s">
        <v>27</v>
      </c>
      <c r="D35" s="227">
        <v>7.7</v>
      </c>
      <c r="E35" s="265"/>
      <c r="F35" s="76"/>
      <c r="G35" s="76"/>
      <c r="H35" s="76"/>
      <c r="I35" s="76"/>
      <c r="J35" s="76"/>
    </row>
    <row r="36" spans="2:10" customFormat="1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customFormat="1" ht="25.5">
      <c r="B37" s="199" t="s">
        <v>29</v>
      </c>
      <c r="C37" s="192" t="s">
        <v>30</v>
      </c>
      <c r="D37" s="227">
        <v>223.42</v>
      </c>
      <c r="E37" s="265"/>
      <c r="F37" s="76"/>
      <c r="G37" s="76"/>
      <c r="H37" s="76"/>
      <c r="I37" s="76"/>
      <c r="J37" s="76"/>
    </row>
    <row r="38" spans="2:10" customFormat="1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 customFormat="1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customFormat="1" ht="13.5" thickBot="1">
      <c r="B40" s="104" t="s">
        <v>35</v>
      </c>
      <c r="C40" s="105" t="s">
        <v>36</v>
      </c>
      <c r="D40" s="229">
        <v>-3482.96</v>
      </c>
      <c r="E40" s="271">
        <v>216.25</v>
      </c>
      <c r="G40" s="80"/>
    </row>
    <row r="41" spans="2:10" customFormat="1" ht="13.5" thickBot="1">
      <c r="B41" s="106" t="s">
        <v>37</v>
      </c>
      <c r="C41" s="107" t="s">
        <v>38</v>
      </c>
      <c r="D41" s="230">
        <v>20263.870000000003</v>
      </c>
      <c r="E41" s="155">
        <f>E26+E27+E40</f>
        <v>4439.28</v>
      </c>
      <c r="F41" s="83"/>
      <c r="G41" s="80"/>
    </row>
    <row r="42" spans="2:10" customFormat="1">
      <c r="B42" s="100"/>
      <c r="C42" s="100"/>
      <c r="D42" s="101"/>
      <c r="E42" s="101"/>
      <c r="F42" s="83"/>
      <c r="G42" s="70"/>
    </row>
    <row r="43" spans="2:10" customFormat="1" ht="13.5">
      <c r="B43" s="500" t="s">
        <v>60</v>
      </c>
      <c r="C43" s="512"/>
      <c r="D43" s="512"/>
      <c r="E43" s="512"/>
      <c r="G43" s="76"/>
    </row>
    <row r="44" spans="2:10" customFormat="1" ht="18" customHeight="1" thickBot="1">
      <c r="B44" s="498" t="s">
        <v>121</v>
      </c>
      <c r="C44" s="511"/>
      <c r="D44" s="511"/>
      <c r="E44" s="511"/>
      <c r="G44" s="76"/>
    </row>
    <row r="45" spans="2:10" customFormat="1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 customFormat="1">
      <c r="B46" s="13" t="s">
        <v>18</v>
      </c>
      <c r="C46" s="31" t="s">
        <v>112</v>
      </c>
      <c r="D46" s="108"/>
      <c r="E46" s="28"/>
      <c r="G46" s="76"/>
    </row>
    <row r="47" spans="2:10" customFormat="1">
      <c r="B47" s="202" t="s">
        <v>4</v>
      </c>
      <c r="C47" s="203" t="s">
        <v>40</v>
      </c>
      <c r="D47" s="231">
        <v>160.4091</v>
      </c>
      <c r="E47" s="156">
        <v>37.220399999999998</v>
      </c>
      <c r="G47" s="76"/>
    </row>
    <row r="48" spans="2:10" customFormat="1">
      <c r="B48" s="204" t="s">
        <v>6</v>
      </c>
      <c r="C48" s="205" t="s">
        <v>41</v>
      </c>
      <c r="D48" s="232">
        <v>158.8451</v>
      </c>
      <c r="E48" s="156">
        <v>37.220399999999998</v>
      </c>
      <c r="G48" s="76"/>
    </row>
    <row r="49" spans="2:7" customFormat="1">
      <c r="B49" s="127" t="s">
        <v>23</v>
      </c>
      <c r="C49" s="131" t="s">
        <v>113</v>
      </c>
      <c r="D49" s="233"/>
      <c r="E49" s="156"/>
    </row>
    <row r="50" spans="2:7" customFormat="1">
      <c r="B50" s="202" t="s">
        <v>4</v>
      </c>
      <c r="C50" s="203" t="s">
        <v>40</v>
      </c>
      <c r="D50" s="231">
        <v>149.47999999999999</v>
      </c>
      <c r="E50" s="156">
        <v>113.46</v>
      </c>
      <c r="G50" s="190"/>
    </row>
    <row r="51" spans="2:7" customFormat="1">
      <c r="B51" s="202" t="s">
        <v>6</v>
      </c>
      <c r="C51" s="203" t="s">
        <v>114</v>
      </c>
      <c r="D51" s="234">
        <v>126.56</v>
      </c>
      <c r="E51" s="81">
        <v>112.19</v>
      </c>
      <c r="G51" s="190"/>
    </row>
    <row r="52" spans="2:7" customFormat="1">
      <c r="B52" s="202" t="s">
        <v>8</v>
      </c>
      <c r="C52" s="203" t="s">
        <v>115</v>
      </c>
      <c r="D52" s="234">
        <v>156.93</v>
      </c>
      <c r="E52" s="81">
        <v>123.7</v>
      </c>
    </row>
    <row r="53" spans="2:7" customFormat="1" ht="13.5" customHeight="1" thickBot="1">
      <c r="B53" s="206" t="s">
        <v>9</v>
      </c>
      <c r="C53" s="207" t="s">
        <v>41</v>
      </c>
      <c r="D53" s="235">
        <v>127.57</v>
      </c>
      <c r="E53" s="272">
        <v>119.27</v>
      </c>
    </row>
    <row r="54" spans="2:7" customFormat="1">
      <c r="B54" s="116"/>
      <c r="C54" s="117"/>
      <c r="D54" s="118"/>
      <c r="E54" s="118"/>
    </row>
    <row r="55" spans="2:7" customFormat="1" ht="13.5">
      <c r="B55" s="500" t="s">
        <v>62</v>
      </c>
      <c r="C55" s="501"/>
      <c r="D55" s="501"/>
      <c r="E55" s="501"/>
    </row>
    <row r="56" spans="2:7" customFormat="1" ht="17.25" customHeight="1" thickBot="1">
      <c r="B56" s="498" t="s">
        <v>116</v>
      </c>
      <c r="C56" s="502"/>
      <c r="D56" s="502"/>
      <c r="E56" s="502"/>
    </row>
    <row r="57" spans="2:7" customFormat="1" ht="23.25" thickBot="1">
      <c r="B57" s="493" t="s">
        <v>42</v>
      </c>
      <c r="C57" s="494"/>
      <c r="D57" s="18" t="s">
        <v>122</v>
      </c>
      <c r="E57" s="19" t="s">
        <v>117</v>
      </c>
    </row>
    <row r="58" spans="2:7" customFormat="1">
      <c r="B58" s="20" t="s">
        <v>18</v>
      </c>
      <c r="C58" s="133" t="s">
        <v>43</v>
      </c>
      <c r="D58" s="134">
        <f>D64</f>
        <v>4439.28</v>
      </c>
      <c r="E58" s="32">
        <f>D58/E21</f>
        <v>1</v>
      </c>
    </row>
    <row r="59" spans="2:7" customFormat="1" ht="25.5">
      <c r="B59" s="130" t="s">
        <v>4</v>
      </c>
      <c r="C59" s="22" t="s">
        <v>44</v>
      </c>
      <c r="D59" s="86">
        <v>0</v>
      </c>
      <c r="E59" s="87">
        <v>0</v>
      </c>
    </row>
    <row r="60" spans="2:7" customFormat="1" ht="25.5">
      <c r="B60" s="109" t="s">
        <v>6</v>
      </c>
      <c r="C60" s="15" t="s">
        <v>45</v>
      </c>
      <c r="D60" s="84">
        <v>0</v>
      </c>
      <c r="E60" s="85">
        <v>0</v>
      </c>
    </row>
    <row r="61" spans="2:7" customFormat="1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 customFormat="1">
      <c r="B62" s="109" t="s">
        <v>9</v>
      </c>
      <c r="C62" s="15" t="s">
        <v>47</v>
      </c>
      <c r="D62" s="84">
        <v>0</v>
      </c>
      <c r="E62" s="85">
        <v>0</v>
      </c>
    </row>
    <row r="63" spans="2:7" customFormat="1">
      <c r="B63" s="109" t="s">
        <v>29</v>
      </c>
      <c r="C63" s="15" t="s">
        <v>48</v>
      </c>
      <c r="D63" s="84">
        <v>0</v>
      </c>
      <c r="E63" s="85">
        <v>0</v>
      </c>
    </row>
    <row r="64" spans="2:7" customFormat="1">
      <c r="B64" s="130" t="s">
        <v>31</v>
      </c>
      <c r="C64" s="22" t="s">
        <v>49</v>
      </c>
      <c r="D64" s="86">
        <f>E21</f>
        <v>4439.28</v>
      </c>
      <c r="E64" s="87">
        <f>E58</f>
        <v>1</v>
      </c>
    </row>
    <row r="65" spans="2:5" customFormat="1">
      <c r="B65" s="130" t="s">
        <v>33</v>
      </c>
      <c r="C65" s="22" t="s">
        <v>118</v>
      </c>
      <c r="D65" s="86">
        <v>0</v>
      </c>
      <c r="E65" s="87">
        <v>0</v>
      </c>
    </row>
    <row r="66" spans="2:5" customFormat="1">
      <c r="B66" s="130" t="s">
        <v>50</v>
      </c>
      <c r="C66" s="22" t="s">
        <v>51</v>
      </c>
      <c r="D66" s="86">
        <v>0</v>
      </c>
      <c r="E66" s="87">
        <v>0</v>
      </c>
    </row>
    <row r="67" spans="2:5" customFormat="1">
      <c r="B67" s="109" t="s">
        <v>52</v>
      </c>
      <c r="C67" s="15" t="s">
        <v>53</v>
      </c>
      <c r="D67" s="84">
        <v>0</v>
      </c>
      <c r="E67" s="85">
        <v>0</v>
      </c>
    </row>
    <row r="68" spans="2:5" customFormat="1">
      <c r="B68" s="109" t="s">
        <v>54</v>
      </c>
      <c r="C68" s="15" t="s">
        <v>55</v>
      </c>
      <c r="D68" s="84">
        <v>0</v>
      </c>
      <c r="E68" s="85">
        <v>0</v>
      </c>
    </row>
    <row r="69" spans="2:5" customFormat="1">
      <c r="B69" s="109" t="s">
        <v>56</v>
      </c>
      <c r="C69" s="15" t="s">
        <v>57</v>
      </c>
      <c r="D69" s="320">
        <v>0</v>
      </c>
      <c r="E69" s="85">
        <v>0</v>
      </c>
    </row>
    <row r="70" spans="2:5" customFormat="1">
      <c r="B70" s="136" t="s">
        <v>58</v>
      </c>
      <c r="C70" s="120" t="s">
        <v>59</v>
      </c>
      <c r="D70" s="121">
        <v>0</v>
      </c>
      <c r="E70" s="122">
        <v>0</v>
      </c>
    </row>
    <row r="71" spans="2:5" customFormat="1">
      <c r="B71" s="137" t="s">
        <v>23</v>
      </c>
      <c r="C71" s="128" t="s">
        <v>61</v>
      </c>
      <c r="D71" s="129">
        <v>0</v>
      </c>
      <c r="E71" s="69">
        <v>0</v>
      </c>
    </row>
    <row r="72" spans="2:5" customFormat="1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 customFormat="1">
      <c r="B73" s="139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37" t="s">
        <v>64</v>
      </c>
      <c r="C74" s="128" t="s">
        <v>66</v>
      </c>
      <c r="D74" s="129">
        <f>D58</f>
        <v>4439.28</v>
      </c>
      <c r="E74" s="69">
        <f>E58+E72-E73</f>
        <v>1</v>
      </c>
    </row>
    <row r="75" spans="2:5" customFormat="1">
      <c r="B75" s="109" t="s">
        <v>4</v>
      </c>
      <c r="C75" s="15" t="s">
        <v>67</v>
      </c>
      <c r="D75" s="84">
        <f>D74</f>
        <v>4439.28</v>
      </c>
      <c r="E75" s="85">
        <f>E74</f>
        <v>1</v>
      </c>
    </row>
    <row r="76" spans="2:5" customFormat="1">
      <c r="B76" s="109" t="s">
        <v>6</v>
      </c>
      <c r="C76" s="15" t="s">
        <v>119</v>
      </c>
      <c r="D76" s="84">
        <v>0</v>
      </c>
      <c r="E76" s="85">
        <v>0</v>
      </c>
    </row>
    <row r="77" spans="2:5" customFormat="1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zoomScale="80" zoomScaleNormal="80" workbookViewId="0">
      <selection activeCell="E42" sqref="E4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28515625" customWidth="1"/>
    <col min="12" max="12" width="12.42578125" bestFit="1" customWidth="1"/>
  </cols>
  <sheetData>
    <row r="1" spans="2:12" customFormat="1">
      <c r="B1" s="1"/>
      <c r="C1" s="1"/>
      <c r="D1" s="2"/>
      <c r="E1" s="2"/>
    </row>
    <row r="2" spans="2:12" customFormat="1" ht="15.75">
      <c r="B2" s="495" t="s">
        <v>0</v>
      </c>
      <c r="C2" s="495"/>
      <c r="D2" s="495"/>
      <c r="E2" s="495"/>
      <c r="L2" s="76"/>
    </row>
    <row r="3" spans="2:12" customFormat="1" ht="15.75">
      <c r="B3" s="495" t="s">
        <v>144</v>
      </c>
      <c r="C3" s="495"/>
      <c r="D3" s="495"/>
      <c r="E3" s="495"/>
    </row>
    <row r="4" spans="2:12" customFormat="1" ht="15">
      <c r="B4" s="154"/>
      <c r="C4" s="154"/>
      <c r="D4" s="154"/>
      <c r="E4" s="154"/>
    </row>
    <row r="5" spans="2:12" customFormat="1" ht="21" customHeight="1">
      <c r="B5" s="496" t="s">
        <v>1</v>
      </c>
      <c r="C5" s="496"/>
      <c r="D5" s="496"/>
      <c r="E5" s="496"/>
    </row>
    <row r="6" spans="2:12" customFormat="1" ht="14.25">
      <c r="B6" s="497" t="s">
        <v>205</v>
      </c>
      <c r="C6" s="497"/>
      <c r="D6" s="497"/>
      <c r="E6" s="497"/>
    </row>
    <row r="7" spans="2:12" customFormat="1" ht="14.25">
      <c r="B7" s="255"/>
      <c r="C7" s="255"/>
      <c r="D7" s="255"/>
      <c r="E7" s="255"/>
    </row>
    <row r="8" spans="2:12" customFormat="1" ht="13.5">
      <c r="B8" s="499" t="s">
        <v>18</v>
      </c>
      <c r="C8" s="501"/>
      <c r="D8" s="501"/>
      <c r="E8" s="501"/>
    </row>
    <row r="9" spans="2:12" customFormat="1" ht="16.5" thickBot="1">
      <c r="B9" s="498" t="s">
        <v>103</v>
      </c>
      <c r="C9" s="498"/>
      <c r="D9" s="498"/>
      <c r="E9" s="498"/>
    </row>
    <row r="10" spans="2:12" customFormat="1" ht="13.5" thickBot="1">
      <c r="B10" s="256"/>
      <c r="C10" s="82" t="s">
        <v>2</v>
      </c>
      <c r="D10" s="73" t="s">
        <v>127</v>
      </c>
      <c r="E10" s="29" t="s">
        <v>145</v>
      </c>
    </row>
    <row r="11" spans="2:12" customFormat="1">
      <c r="B11" s="97" t="s">
        <v>3</v>
      </c>
      <c r="C11" s="135" t="s">
        <v>109</v>
      </c>
      <c r="D11" s="283">
        <v>21548.05</v>
      </c>
      <c r="E11" s="284"/>
    </row>
    <row r="12" spans="2:12" customFormat="1">
      <c r="B12" s="191" t="s">
        <v>4</v>
      </c>
      <c r="C12" s="192" t="s">
        <v>5</v>
      </c>
      <c r="D12" s="329">
        <v>21548.05</v>
      </c>
      <c r="E12" s="353"/>
    </row>
    <row r="13" spans="2:12" customFormat="1">
      <c r="B13" s="191" t="s">
        <v>6</v>
      </c>
      <c r="C13" s="193" t="s">
        <v>7</v>
      </c>
      <c r="D13" s="322"/>
      <c r="E13" s="354"/>
    </row>
    <row r="14" spans="2:12" customFormat="1">
      <c r="B14" s="191" t="s">
        <v>8</v>
      </c>
      <c r="C14" s="193" t="s">
        <v>10</v>
      </c>
      <c r="D14" s="322"/>
      <c r="E14" s="354"/>
      <c r="G14" s="70"/>
    </row>
    <row r="15" spans="2:12" customFormat="1">
      <c r="B15" s="191" t="s">
        <v>106</v>
      </c>
      <c r="C15" s="193" t="s">
        <v>11</v>
      </c>
      <c r="D15" s="322"/>
      <c r="E15" s="354"/>
    </row>
    <row r="16" spans="2:12" customFormat="1">
      <c r="B16" s="194" t="s">
        <v>107</v>
      </c>
      <c r="C16" s="195" t="s">
        <v>12</v>
      </c>
      <c r="D16" s="324"/>
      <c r="E16" s="355"/>
    </row>
    <row r="17" spans="2:11" customFormat="1">
      <c r="B17" s="9" t="s">
        <v>13</v>
      </c>
      <c r="C17" s="11" t="s">
        <v>65</v>
      </c>
      <c r="D17" s="325"/>
      <c r="E17" s="356"/>
    </row>
    <row r="18" spans="2:11" customFormat="1">
      <c r="B18" s="191" t="s">
        <v>4</v>
      </c>
      <c r="C18" s="192" t="s">
        <v>11</v>
      </c>
      <c r="D18" s="324"/>
      <c r="E18" s="355"/>
    </row>
    <row r="19" spans="2:11" customFormat="1" ht="15" customHeight="1">
      <c r="B19" s="191" t="s">
        <v>6</v>
      </c>
      <c r="C19" s="193" t="s">
        <v>108</v>
      </c>
      <c r="D19" s="322"/>
      <c r="E19" s="354"/>
    </row>
    <row r="20" spans="2:11" customFormat="1" ht="13.5" thickBot="1">
      <c r="B20" s="196" t="s">
        <v>8</v>
      </c>
      <c r="C20" s="197" t="s">
        <v>14</v>
      </c>
      <c r="D20" s="285"/>
      <c r="E20" s="286"/>
    </row>
    <row r="21" spans="2:11" customFormat="1" ht="13.5" thickBot="1">
      <c r="B21" s="505" t="s">
        <v>110</v>
      </c>
      <c r="C21" s="506"/>
      <c r="D21" s="287">
        <v>21548.05</v>
      </c>
      <c r="E21" s="155"/>
      <c r="F21" s="83"/>
      <c r="G21" s="83"/>
      <c r="H21" s="176"/>
      <c r="J21" s="254"/>
      <c r="K21" s="70"/>
    </row>
    <row r="22" spans="2:11" customFormat="1">
      <c r="B22" s="3"/>
      <c r="C22" s="7"/>
      <c r="D22" s="8"/>
      <c r="E22" s="8"/>
      <c r="G22" s="169"/>
    </row>
    <row r="23" spans="2:11" customFormat="1" ht="13.5">
      <c r="B23" s="499" t="s">
        <v>104</v>
      </c>
      <c r="C23" s="509"/>
      <c r="D23" s="509"/>
      <c r="E23" s="509"/>
      <c r="G23" s="76"/>
    </row>
    <row r="24" spans="2:11" customFormat="1" ht="15.75" customHeight="1" thickBot="1">
      <c r="B24" s="498" t="s">
        <v>105</v>
      </c>
      <c r="C24" s="510"/>
      <c r="D24" s="510"/>
      <c r="E24" s="510"/>
    </row>
    <row r="25" spans="2:11" customFormat="1" ht="13.5" thickBot="1">
      <c r="B25" s="256"/>
      <c r="C25" s="198" t="s">
        <v>2</v>
      </c>
      <c r="D25" s="73" t="s">
        <v>125</v>
      </c>
      <c r="E25" s="29" t="s">
        <v>145</v>
      </c>
    </row>
    <row r="26" spans="2:11" customFormat="1">
      <c r="B26" s="102" t="s">
        <v>15</v>
      </c>
      <c r="C26" s="103" t="s">
        <v>16</v>
      </c>
      <c r="D26" s="225">
        <v>0</v>
      </c>
      <c r="E26" s="270">
        <f>D21</f>
        <v>21548.05</v>
      </c>
      <c r="G26" s="80"/>
    </row>
    <row r="27" spans="2:11" customFormat="1">
      <c r="B27" s="9" t="s">
        <v>17</v>
      </c>
      <c r="C27" s="10" t="s">
        <v>111</v>
      </c>
      <c r="D27" s="226">
        <v>26812.170000000002</v>
      </c>
      <c r="E27" s="263">
        <f>E28-E32</f>
        <v>-21253.66</v>
      </c>
      <c r="F27" s="76"/>
      <c r="G27" s="80"/>
      <c r="H27" s="76"/>
      <c r="I27" s="76"/>
      <c r="J27" s="76"/>
    </row>
    <row r="28" spans="2:11" customFormat="1">
      <c r="B28" s="9" t="s">
        <v>18</v>
      </c>
      <c r="C28" s="10" t="s">
        <v>19</v>
      </c>
      <c r="D28" s="226">
        <v>26932.45</v>
      </c>
      <c r="E28" s="264">
        <f>SUM(E29:E31)</f>
        <v>0</v>
      </c>
      <c r="F28" s="76"/>
      <c r="G28" s="76"/>
      <c r="H28" s="76"/>
      <c r="I28" s="76"/>
      <c r="J28" s="76"/>
    </row>
    <row r="29" spans="2:11" customFormat="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 customFormat="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 customFormat="1">
      <c r="B31" s="199" t="s">
        <v>8</v>
      </c>
      <c r="C31" s="192" t="s">
        <v>22</v>
      </c>
      <c r="D31" s="227">
        <v>26932.45</v>
      </c>
      <c r="E31" s="265"/>
      <c r="F31" s="76"/>
      <c r="G31" s="76"/>
      <c r="H31" s="76"/>
      <c r="I31" s="76"/>
      <c r="J31" s="76"/>
    </row>
    <row r="32" spans="2:11" customFormat="1">
      <c r="B32" s="99" t="s">
        <v>23</v>
      </c>
      <c r="C32" s="11" t="s">
        <v>24</v>
      </c>
      <c r="D32" s="226">
        <v>120.28</v>
      </c>
      <c r="E32" s="264">
        <f>SUM(E33:E39)</f>
        <v>21253.66</v>
      </c>
      <c r="F32" s="76"/>
      <c r="G32" s="80"/>
      <c r="H32" s="76"/>
      <c r="I32" s="76"/>
      <c r="J32" s="76"/>
    </row>
    <row r="33" spans="2:10" customFormat="1">
      <c r="B33" s="199" t="s">
        <v>4</v>
      </c>
      <c r="C33" s="192" t="s">
        <v>25</v>
      </c>
      <c r="D33" s="227"/>
      <c r="E33" s="265"/>
      <c r="F33" s="76"/>
      <c r="G33" s="76"/>
      <c r="H33" s="76"/>
      <c r="I33" s="76"/>
      <c r="J33" s="76"/>
    </row>
    <row r="34" spans="2:10" customFormat="1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 customFormat="1">
      <c r="B35" s="199" t="s">
        <v>8</v>
      </c>
      <c r="C35" s="192" t="s">
        <v>27</v>
      </c>
      <c r="D35" s="227">
        <v>7.53</v>
      </c>
      <c r="E35" s="265">
        <v>40.619999999999997</v>
      </c>
      <c r="F35" s="76"/>
      <c r="G35" s="76"/>
      <c r="H35" s="76"/>
      <c r="I35" s="76"/>
      <c r="J35" s="76"/>
    </row>
    <row r="36" spans="2:10" customFormat="1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customFormat="1" ht="25.5">
      <c r="B37" s="199" t="s">
        <v>29</v>
      </c>
      <c r="C37" s="192" t="s">
        <v>30</v>
      </c>
      <c r="D37" s="227">
        <v>112.75</v>
      </c>
      <c r="E37" s="265">
        <v>243.44</v>
      </c>
      <c r="F37" s="76"/>
      <c r="G37" s="76"/>
      <c r="H37" s="76"/>
      <c r="I37" s="76"/>
      <c r="J37" s="76"/>
    </row>
    <row r="38" spans="2:10" customFormat="1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 customFormat="1">
      <c r="B39" s="200" t="s">
        <v>33</v>
      </c>
      <c r="C39" s="201" t="s">
        <v>34</v>
      </c>
      <c r="D39" s="228"/>
      <c r="E39" s="266">
        <v>20969.599999999999</v>
      </c>
      <c r="F39" s="76"/>
      <c r="G39" s="76"/>
      <c r="H39" s="76"/>
      <c r="I39" s="76"/>
      <c r="J39" s="76"/>
    </row>
    <row r="40" spans="2:10" customFormat="1" ht="13.5" thickBot="1">
      <c r="B40" s="104" t="s">
        <v>35</v>
      </c>
      <c r="C40" s="105" t="s">
        <v>36</v>
      </c>
      <c r="D40" s="229">
        <v>-1138.3399999999999</v>
      </c>
      <c r="E40" s="271">
        <v>-294.39</v>
      </c>
      <c r="G40" s="80"/>
    </row>
    <row r="41" spans="2:10" customFormat="1" ht="13.5" thickBot="1">
      <c r="B41" s="106" t="s">
        <v>37</v>
      </c>
      <c r="C41" s="107" t="s">
        <v>38</v>
      </c>
      <c r="D41" s="230">
        <v>25673.83</v>
      </c>
      <c r="E41" s="155" t="s">
        <v>123</v>
      </c>
      <c r="F41" s="83"/>
      <c r="G41" s="80"/>
    </row>
    <row r="42" spans="2:10" customFormat="1">
      <c r="B42" s="100"/>
      <c r="C42" s="100"/>
      <c r="D42" s="101"/>
      <c r="E42" s="101"/>
      <c r="F42" s="83"/>
      <c r="G42" s="70"/>
    </row>
    <row r="43" spans="2:10" customFormat="1" ht="13.5">
      <c r="B43" s="500" t="s">
        <v>60</v>
      </c>
      <c r="C43" s="512"/>
      <c r="D43" s="512"/>
      <c r="E43" s="512"/>
      <c r="G43" s="76"/>
    </row>
    <row r="44" spans="2:10" customFormat="1" ht="18" customHeight="1" thickBot="1">
      <c r="B44" s="498" t="s">
        <v>121</v>
      </c>
      <c r="C44" s="511"/>
      <c r="D44" s="511"/>
      <c r="E44" s="511"/>
      <c r="G44" s="76"/>
    </row>
    <row r="45" spans="2:10" customFormat="1" ht="13.5" thickBot="1">
      <c r="B45" s="256"/>
      <c r="C45" s="30" t="s">
        <v>39</v>
      </c>
      <c r="D45" s="73" t="s">
        <v>125</v>
      </c>
      <c r="E45" s="29" t="s">
        <v>145</v>
      </c>
      <c r="G45" s="76"/>
    </row>
    <row r="46" spans="2:10" customFormat="1">
      <c r="B46" s="13" t="s">
        <v>18</v>
      </c>
      <c r="C46" s="31" t="s">
        <v>112</v>
      </c>
      <c r="D46" s="108"/>
      <c r="E46" s="28"/>
      <c r="G46" s="76"/>
    </row>
    <row r="47" spans="2:10" customFormat="1">
      <c r="B47" s="202" t="s">
        <v>4</v>
      </c>
      <c r="C47" s="203" t="s">
        <v>40</v>
      </c>
      <c r="D47" s="231">
        <v>160.4091</v>
      </c>
      <c r="E47" s="156">
        <v>199.22380000000001</v>
      </c>
      <c r="G47" s="76"/>
    </row>
    <row r="48" spans="2:10" customFormat="1">
      <c r="B48" s="204" t="s">
        <v>6</v>
      </c>
      <c r="C48" s="205" t="s">
        <v>41</v>
      </c>
      <c r="D48" s="232">
        <v>201.28440000000001</v>
      </c>
      <c r="E48" s="156"/>
      <c r="G48" s="76"/>
    </row>
    <row r="49" spans="2:7" customFormat="1">
      <c r="B49" s="127" t="s">
        <v>23</v>
      </c>
      <c r="C49" s="131" t="s">
        <v>113</v>
      </c>
      <c r="D49" s="233"/>
      <c r="E49" s="156"/>
    </row>
    <row r="50" spans="2:7" customFormat="1">
      <c r="B50" s="202" t="s">
        <v>4</v>
      </c>
      <c r="C50" s="203" t="s">
        <v>40</v>
      </c>
      <c r="D50" s="231">
        <v>149.47999999999999</v>
      </c>
      <c r="E50" s="156">
        <v>108.16</v>
      </c>
      <c r="G50" s="190"/>
    </row>
    <row r="51" spans="2:7" customFormat="1">
      <c r="B51" s="202" t="s">
        <v>6</v>
      </c>
      <c r="C51" s="203" t="s">
        <v>114</v>
      </c>
      <c r="D51" s="234">
        <v>127.35</v>
      </c>
      <c r="E51" s="81">
        <v>105.31</v>
      </c>
      <c r="G51" s="190"/>
    </row>
    <row r="52" spans="2:7" customFormat="1">
      <c r="B52" s="202" t="s">
        <v>8</v>
      </c>
      <c r="C52" s="203" t="s">
        <v>115</v>
      </c>
      <c r="D52" s="234">
        <v>136.74</v>
      </c>
      <c r="E52" s="81">
        <v>109.28</v>
      </c>
    </row>
    <row r="53" spans="2:7" customFormat="1" ht="13.5" customHeight="1" thickBot="1">
      <c r="B53" s="206" t="s">
        <v>9</v>
      </c>
      <c r="C53" s="207" t="s">
        <v>41</v>
      </c>
      <c r="D53" s="235">
        <v>127.55</v>
      </c>
      <c r="E53" s="272"/>
    </row>
    <row r="54" spans="2:7" customFormat="1">
      <c r="B54" s="116"/>
      <c r="C54" s="117"/>
      <c r="D54" s="118"/>
      <c r="E54" s="118"/>
    </row>
    <row r="55" spans="2:7" customFormat="1" ht="13.5">
      <c r="B55" s="500" t="s">
        <v>62</v>
      </c>
      <c r="C55" s="501"/>
      <c r="D55" s="501"/>
      <c r="E55" s="501"/>
    </row>
    <row r="56" spans="2:7" customFormat="1" ht="17.25" customHeight="1" thickBot="1">
      <c r="B56" s="498" t="s">
        <v>116</v>
      </c>
      <c r="C56" s="502"/>
      <c r="D56" s="502"/>
      <c r="E56" s="502"/>
    </row>
    <row r="57" spans="2:7" customFormat="1" ht="23.25" thickBot="1">
      <c r="B57" s="493" t="s">
        <v>42</v>
      </c>
      <c r="C57" s="494"/>
      <c r="D57" s="18" t="s">
        <v>122</v>
      </c>
      <c r="E57" s="19" t="s">
        <v>117</v>
      </c>
    </row>
    <row r="58" spans="2:7" customFormat="1">
      <c r="B58" s="20" t="s">
        <v>18</v>
      </c>
      <c r="C58" s="133" t="s">
        <v>43</v>
      </c>
      <c r="D58" s="134">
        <f>D64</f>
        <v>0</v>
      </c>
      <c r="E58" s="32">
        <v>0</v>
      </c>
    </row>
    <row r="59" spans="2:7" customFormat="1" ht="25.5">
      <c r="B59" s="130" t="s">
        <v>4</v>
      </c>
      <c r="C59" s="22" t="s">
        <v>44</v>
      </c>
      <c r="D59" s="86">
        <v>0</v>
      </c>
      <c r="E59" s="87">
        <v>0</v>
      </c>
    </row>
    <row r="60" spans="2:7" customFormat="1" ht="25.5">
      <c r="B60" s="109" t="s">
        <v>6</v>
      </c>
      <c r="C60" s="15" t="s">
        <v>45</v>
      </c>
      <c r="D60" s="84">
        <v>0</v>
      </c>
      <c r="E60" s="85">
        <v>0</v>
      </c>
    </row>
    <row r="61" spans="2:7" customFormat="1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 customFormat="1">
      <c r="B62" s="109" t="s">
        <v>9</v>
      </c>
      <c r="C62" s="15" t="s">
        <v>47</v>
      </c>
      <c r="D62" s="84">
        <v>0</v>
      </c>
      <c r="E62" s="85">
        <v>0</v>
      </c>
    </row>
    <row r="63" spans="2:7" customFormat="1">
      <c r="B63" s="109" t="s">
        <v>29</v>
      </c>
      <c r="C63" s="15" t="s">
        <v>48</v>
      </c>
      <c r="D63" s="84">
        <v>0</v>
      </c>
      <c r="E63" s="85">
        <v>0</v>
      </c>
    </row>
    <row r="64" spans="2:7" customFormat="1">
      <c r="B64" s="130" t="s">
        <v>31</v>
      </c>
      <c r="C64" s="22" t="s">
        <v>49</v>
      </c>
      <c r="D64" s="86">
        <f>E21</f>
        <v>0</v>
      </c>
      <c r="E64" s="87">
        <f>E58</f>
        <v>0</v>
      </c>
    </row>
    <row r="65" spans="2:5" customFormat="1">
      <c r="B65" s="130" t="s">
        <v>33</v>
      </c>
      <c r="C65" s="22" t="s">
        <v>118</v>
      </c>
      <c r="D65" s="86">
        <v>0</v>
      </c>
      <c r="E65" s="87">
        <v>0</v>
      </c>
    </row>
    <row r="66" spans="2:5" customFormat="1">
      <c r="B66" s="130" t="s">
        <v>50</v>
      </c>
      <c r="C66" s="22" t="s">
        <v>51</v>
      </c>
      <c r="D66" s="86">
        <v>0</v>
      </c>
      <c r="E66" s="87">
        <v>0</v>
      </c>
    </row>
    <row r="67" spans="2:5" customFormat="1">
      <c r="B67" s="109" t="s">
        <v>52</v>
      </c>
      <c r="C67" s="15" t="s">
        <v>53</v>
      </c>
      <c r="D67" s="84">
        <v>0</v>
      </c>
      <c r="E67" s="85">
        <v>0</v>
      </c>
    </row>
    <row r="68" spans="2:5" customFormat="1">
      <c r="B68" s="109" t="s">
        <v>54</v>
      </c>
      <c r="C68" s="15" t="s">
        <v>55</v>
      </c>
      <c r="D68" s="84">
        <v>0</v>
      </c>
      <c r="E68" s="85">
        <v>0</v>
      </c>
    </row>
    <row r="69" spans="2:5" customFormat="1">
      <c r="B69" s="109" t="s">
        <v>56</v>
      </c>
      <c r="C69" s="15" t="s">
        <v>57</v>
      </c>
      <c r="D69" s="320">
        <v>0</v>
      </c>
      <c r="E69" s="85">
        <v>0</v>
      </c>
    </row>
    <row r="70" spans="2:5" customFormat="1">
      <c r="B70" s="136" t="s">
        <v>58</v>
      </c>
      <c r="C70" s="120" t="s">
        <v>59</v>
      </c>
      <c r="D70" s="121">
        <v>0</v>
      </c>
      <c r="E70" s="122">
        <v>0</v>
      </c>
    </row>
    <row r="71" spans="2:5" customFormat="1">
      <c r="B71" s="137" t="s">
        <v>23</v>
      </c>
      <c r="C71" s="128" t="s">
        <v>61</v>
      </c>
      <c r="D71" s="129">
        <v>0</v>
      </c>
      <c r="E71" s="69">
        <v>0</v>
      </c>
    </row>
    <row r="72" spans="2:5" customFormat="1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 customFormat="1">
      <c r="B73" s="139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37" t="s">
        <v>64</v>
      </c>
      <c r="C74" s="128" t="s">
        <v>66</v>
      </c>
      <c r="D74" s="129">
        <f>D58</f>
        <v>0</v>
      </c>
      <c r="E74" s="69">
        <f>E58+E72-E73</f>
        <v>0</v>
      </c>
    </row>
    <row r="75" spans="2:5" customFormat="1">
      <c r="B75" s="109" t="s">
        <v>4</v>
      </c>
      <c r="C75" s="15" t="s">
        <v>67</v>
      </c>
      <c r="D75" s="84">
        <f>D74</f>
        <v>0</v>
      </c>
      <c r="E75" s="85">
        <f>E74</f>
        <v>0</v>
      </c>
    </row>
    <row r="76" spans="2:5" customFormat="1">
      <c r="B76" s="109" t="s">
        <v>6</v>
      </c>
      <c r="C76" s="15" t="s">
        <v>119</v>
      </c>
      <c r="D76" s="84">
        <v>0</v>
      </c>
      <c r="E76" s="85">
        <v>0</v>
      </c>
    </row>
    <row r="77" spans="2:5" customFormat="1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3"/>
  <dimension ref="A1:L81"/>
  <sheetViews>
    <sheetView zoomScale="80" zoomScaleNormal="80" workbookViewId="0">
      <selection activeCell="G17" sqref="G17:K4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206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53480.71</v>
      </c>
      <c r="E11" s="284">
        <f>SUM(E12:E14)</f>
        <v>58740.29</v>
      </c>
    </row>
    <row r="12" spans="2:12">
      <c r="B12" s="191" t="s">
        <v>4</v>
      </c>
      <c r="C12" s="192" t="s">
        <v>5</v>
      </c>
      <c r="D12" s="329">
        <v>53480.71</v>
      </c>
      <c r="E12" s="353">
        <v>58740.29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53480.71</v>
      </c>
      <c r="E21" s="155">
        <f>E11-E17</f>
        <v>58740.29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62665.32</v>
      </c>
      <c r="E26" s="270">
        <f>D21</f>
        <v>53480.71</v>
      </c>
      <c r="G26" s="80"/>
    </row>
    <row r="27" spans="2:11">
      <c r="B27" s="9" t="s">
        <v>17</v>
      </c>
      <c r="C27" s="10" t="s">
        <v>111</v>
      </c>
      <c r="D27" s="226">
        <v>24751.190000000002</v>
      </c>
      <c r="E27" s="263">
        <f>E28-E32</f>
        <v>-306.10999999999967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43722.560000000005</v>
      </c>
      <c r="E28" s="264">
        <f>SUM(E29:E31)</f>
        <v>5946.9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9849.76</v>
      </c>
      <c r="E29" s="265">
        <v>5448.44</v>
      </c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33872.800000000003</v>
      </c>
      <c r="E31" s="265">
        <v>498.46</v>
      </c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18971.370000000003</v>
      </c>
      <c r="E32" s="264">
        <f>SUM(E33:E39)</f>
        <v>6253.0099999999993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2411.48</v>
      </c>
      <c r="E33" s="265">
        <v>171.3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266.74</v>
      </c>
      <c r="E35" s="265">
        <v>169.47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541.97</v>
      </c>
      <c r="E37" s="265">
        <v>421.51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15751.18</v>
      </c>
      <c r="E39" s="266">
        <v>5490.73</v>
      </c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-7486.69</v>
      </c>
      <c r="E40" s="271">
        <v>5565.69</v>
      </c>
      <c r="G40" s="80"/>
    </row>
    <row r="41" spans="2:10" ht="13.5" thickBot="1">
      <c r="B41" s="106" t="s">
        <v>37</v>
      </c>
      <c r="C41" s="107" t="s">
        <v>38</v>
      </c>
      <c r="D41" s="230">
        <v>79929.820000000007</v>
      </c>
      <c r="E41" s="155">
        <f>E26+E27+E40</f>
        <v>58740.29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7942.3720000000003</v>
      </c>
      <c r="E47" s="156">
        <v>8330.3289999999997</v>
      </c>
      <c r="G47" s="76"/>
    </row>
    <row r="48" spans="2:10">
      <c r="B48" s="204" t="s">
        <v>6</v>
      </c>
      <c r="C48" s="205" t="s">
        <v>41</v>
      </c>
      <c r="D48" s="232">
        <v>10743.254999999999</v>
      </c>
      <c r="E48" s="156">
        <v>8261.6440000000002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7.89</v>
      </c>
      <c r="E50" s="156">
        <v>6.42</v>
      </c>
      <c r="G50" s="190"/>
    </row>
    <row r="51" spans="2:7">
      <c r="B51" s="202" t="s">
        <v>6</v>
      </c>
      <c r="C51" s="203" t="s">
        <v>114</v>
      </c>
      <c r="D51" s="234">
        <v>7.34</v>
      </c>
      <c r="E51" s="81">
        <v>6.38</v>
      </c>
      <c r="G51" s="190"/>
    </row>
    <row r="52" spans="2:7">
      <c r="B52" s="202" t="s">
        <v>8</v>
      </c>
      <c r="C52" s="203" t="s">
        <v>115</v>
      </c>
      <c r="D52" s="234">
        <v>8.6999999999999993</v>
      </c>
      <c r="E52" s="81">
        <v>7.29</v>
      </c>
    </row>
    <row r="53" spans="2:7" ht="13.5" customHeight="1" thickBot="1">
      <c r="B53" s="206" t="s">
        <v>9</v>
      </c>
      <c r="C53" s="207" t="s">
        <v>41</v>
      </c>
      <c r="D53" s="235">
        <v>7.44</v>
      </c>
      <c r="E53" s="272">
        <v>7.11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58740.29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58740.29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58740.29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58740.29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4"/>
  <dimension ref="A1:L81"/>
  <sheetViews>
    <sheetView zoomScale="80" zoomScaleNormal="80" workbookViewId="0">
      <selection activeCell="J10" sqref="J1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207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32188.18</v>
      </c>
      <c r="E11" s="284">
        <f>SUM(E12:E14)</f>
        <v>28100.93</v>
      </c>
    </row>
    <row r="12" spans="2:12">
      <c r="B12" s="191" t="s">
        <v>4</v>
      </c>
      <c r="C12" s="192" t="s">
        <v>5</v>
      </c>
      <c r="D12" s="329">
        <v>32188.18</v>
      </c>
      <c r="E12" s="353">
        <v>28100.93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32188.18</v>
      </c>
      <c r="E21" s="155">
        <f>E11-E17</f>
        <v>28100.93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51498.74</v>
      </c>
      <c r="E26" s="270">
        <f>D21</f>
        <v>32188.18</v>
      </c>
      <c r="G26" s="80"/>
    </row>
    <row r="27" spans="2:11">
      <c r="B27" s="9" t="s">
        <v>17</v>
      </c>
      <c r="C27" s="10" t="s">
        <v>111</v>
      </c>
      <c r="D27" s="226">
        <v>-13957.369999999999</v>
      </c>
      <c r="E27" s="263">
        <f>E28-E32</f>
        <v>-6445.14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13957.369999999999</v>
      </c>
      <c r="E32" s="264">
        <f>SUM(E33:E39)</f>
        <v>6445.14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13462.57</v>
      </c>
      <c r="E33" s="265">
        <v>6100.86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147.74</v>
      </c>
      <c r="E35" s="265">
        <v>120.35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347.06</v>
      </c>
      <c r="E37" s="265">
        <v>223.93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-973.44</v>
      </c>
      <c r="E40" s="271">
        <v>2357.89</v>
      </c>
      <c r="G40" s="80"/>
    </row>
    <row r="41" spans="2:10" ht="13.5" thickBot="1">
      <c r="B41" s="106" t="s">
        <v>37</v>
      </c>
      <c r="C41" s="107" t="s">
        <v>38</v>
      </c>
      <c r="D41" s="230">
        <v>36567.929999999993</v>
      </c>
      <c r="E41" s="155">
        <f>E26+E27+E40</f>
        <v>28100.93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4826.4989999999998</v>
      </c>
      <c r="E47" s="156">
        <v>3241.509</v>
      </c>
      <c r="G47" s="76"/>
    </row>
    <row r="48" spans="2:10">
      <c r="B48" s="204" t="s">
        <v>6</v>
      </c>
      <c r="C48" s="205" t="s">
        <v>41</v>
      </c>
      <c r="D48" s="232">
        <v>3499.3229999999999</v>
      </c>
      <c r="E48" s="156">
        <v>2628.712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10.67</v>
      </c>
      <c r="E50" s="156">
        <v>9.93</v>
      </c>
      <c r="G50" s="190"/>
    </row>
    <row r="51" spans="2:7">
      <c r="B51" s="202" t="s">
        <v>6</v>
      </c>
      <c r="C51" s="203" t="s">
        <v>114</v>
      </c>
      <c r="D51" s="234">
        <v>10.32</v>
      </c>
      <c r="E51" s="156">
        <v>9.93</v>
      </c>
      <c r="G51" s="190"/>
    </row>
    <row r="52" spans="2:7">
      <c r="B52" s="202" t="s">
        <v>8</v>
      </c>
      <c r="C52" s="203" t="s">
        <v>115</v>
      </c>
      <c r="D52" s="234">
        <v>10.87</v>
      </c>
      <c r="E52" s="81">
        <v>10.73</v>
      </c>
    </row>
    <row r="53" spans="2:7" ht="12.75" customHeight="1" thickBot="1">
      <c r="B53" s="206" t="s">
        <v>9</v>
      </c>
      <c r="C53" s="207" t="s">
        <v>41</v>
      </c>
      <c r="D53" s="235">
        <v>10.45</v>
      </c>
      <c r="E53" s="272">
        <v>10.69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28100.93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28100.93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28100.93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28100.93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5"/>
  <dimension ref="A1:L81"/>
  <sheetViews>
    <sheetView zoomScale="80" zoomScaleNormal="80" workbookViewId="0">
      <selection activeCell="G16" sqref="G16:K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208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2341979.71</v>
      </c>
      <c r="E11" s="284">
        <f>SUM(E12:E14)</f>
        <v>2415797.37</v>
      </c>
    </row>
    <row r="12" spans="2:12">
      <c r="B12" s="191" t="s">
        <v>4</v>
      </c>
      <c r="C12" s="192" t="s">
        <v>5</v>
      </c>
      <c r="D12" s="329">
        <v>2341979.71</v>
      </c>
      <c r="E12" s="353">
        <v>2415797.37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2341979.71</v>
      </c>
      <c r="E21" s="155">
        <f>E11-E17</f>
        <v>2415797.37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4421637.0599999996</v>
      </c>
      <c r="E26" s="270">
        <f>D21</f>
        <v>2341979.71</v>
      </c>
      <c r="G26" s="80"/>
    </row>
    <row r="27" spans="2:11">
      <c r="B27" s="9" t="s">
        <v>17</v>
      </c>
      <c r="C27" s="10" t="s">
        <v>111</v>
      </c>
      <c r="D27" s="226">
        <v>-1825987.23</v>
      </c>
      <c r="E27" s="263">
        <f>E28-E32</f>
        <v>-71350.66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1825987.23</v>
      </c>
      <c r="E32" s="264">
        <f>SUM(E33:E39)</f>
        <v>71350.66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695068.11</v>
      </c>
      <c r="E33" s="265">
        <v>49744.22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2499.6799999999998</v>
      </c>
      <c r="E35" s="265">
        <v>2455.66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29812.51</v>
      </c>
      <c r="E37" s="265">
        <v>19150.78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1098606.93</v>
      </c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-122580.37</v>
      </c>
      <c r="E40" s="271">
        <v>145168.32000000001</v>
      </c>
      <c r="G40" s="80"/>
    </row>
    <row r="41" spans="2:10" ht="13.5" thickBot="1">
      <c r="B41" s="106" t="s">
        <v>37</v>
      </c>
      <c r="C41" s="107" t="s">
        <v>38</v>
      </c>
      <c r="D41" s="230">
        <v>2473069.4599999995</v>
      </c>
      <c r="E41" s="155">
        <f>E26+E27+E40</f>
        <v>2415797.3699999996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237978.31299999999</v>
      </c>
      <c r="E47" s="156">
        <v>133067.02900000001</v>
      </c>
      <c r="G47" s="76"/>
    </row>
    <row r="48" spans="2:10">
      <c r="B48" s="204" t="s">
        <v>6</v>
      </c>
      <c r="C48" s="205" t="s">
        <v>41</v>
      </c>
      <c r="D48" s="232">
        <v>138160.30499999999</v>
      </c>
      <c r="E48" s="156">
        <v>129187.02499999999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18.579999999999998</v>
      </c>
      <c r="E50" s="156">
        <v>17.600000000000001</v>
      </c>
      <c r="G50" s="190"/>
    </row>
    <row r="51" spans="2:7">
      <c r="B51" s="202" t="s">
        <v>6</v>
      </c>
      <c r="C51" s="203" t="s">
        <v>114</v>
      </c>
      <c r="D51" s="234">
        <v>17.89</v>
      </c>
      <c r="E51" s="156">
        <v>17.580000000000002</v>
      </c>
      <c r="G51" s="190"/>
    </row>
    <row r="52" spans="2:7">
      <c r="B52" s="202" t="s">
        <v>8</v>
      </c>
      <c r="C52" s="203" t="s">
        <v>115</v>
      </c>
      <c r="D52" s="234">
        <v>18.66</v>
      </c>
      <c r="E52" s="81">
        <v>18.7</v>
      </c>
    </row>
    <row r="53" spans="2:7" ht="12.75" customHeight="1" thickBot="1">
      <c r="B53" s="206" t="s">
        <v>9</v>
      </c>
      <c r="C53" s="207" t="s">
        <v>41</v>
      </c>
      <c r="D53" s="235">
        <v>17.899999999999999</v>
      </c>
      <c r="E53" s="272">
        <v>18.7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8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2415797.37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2415797.37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2415797.37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2415797.37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6">
    <pageSetUpPr fitToPage="1"/>
  </sheetPr>
  <dimension ref="A1:L81"/>
  <sheetViews>
    <sheetView zoomScale="80" zoomScaleNormal="80" workbookViewId="0">
      <selection activeCell="G17" sqref="G17:K4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277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390879.69</v>
      </c>
      <c r="E11" s="284">
        <f>SUM(E12:E14)</f>
        <v>371349.51</v>
      </c>
    </row>
    <row r="12" spans="2:12">
      <c r="B12" s="191" t="s">
        <v>4</v>
      </c>
      <c r="C12" s="192" t="s">
        <v>5</v>
      </c>
      <c r="D12" s="329">
        <v>390879.69</v>
      </c>
      <c r="E12" s="353">
        <v>371349.51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390879.69</v>
      </c>
      <c r="E21" s="155">
        <f>E11-E17</f>
        <v>371349.51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293037.65000000002</v>
      </c>
      <c r="E26" s="270">
        <f>D21</f>
        <v>390879.69</v>
      </c>
      <c r="G26" s="80"/>
    </row>
    <row r="27" spans="2:11">
      <c r="B27" s="9" t="s">
        <v>17</v>
      </c>
      <c r="C27" s="10" t="s">
        <v>111</v>
      </c>
      <c r="D27" s="226">
        <v>130001.29999999999</v>
      </c>
      <c r="E27" s="263">
        <f>E28-E32</f>
        <v>-22263.829999999998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173407.65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173407.65</v>
      </c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43406.350000000006</v>
      </c>
      <c r="E32" s="264">
        <f>SUM(E33:E39)</f>
        <v>22263.829999999998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39787.11</v>
      </c>
      <c r="E33" s="265">
        <v>18692.439999999999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1014.83</v>
      </c>
      <c r="E35" s="265">
        <v>897.93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2604.41</v>
      </c>
      <c r="E37" s="265">
        <v>2673.46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3564.6</v>
      </c>
      <c r="E40" s="271">
        <v>2733.65</v>
      </c>
      <c r="G40" s="80"/>
    </row>
    <row r="41" spans="2:10" ht="13.5" thickBot="1">
      <c r="B41" s="106" t="s">
        <v>37</v>
      </c>
      <c r="C41" s="107" t="s">
        <v>38</v>
      </c>
      <c r="D41" s="230">
        <v>426603.55</v>
      </c>
      <c r="E41" s="155">
        <f>E26+E27+E40</f>
        <v>371349.51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23727.744999999999</v>
      </c>
      <c r="E47" s="156">
        <v>31096.236000000001</v>
      </c>
      <c r="G47" s="76"/>
    </row>
    <row r="48" spans="2:10">
      <c r="B48" s="204" t="s">
        <v>6</v>
      </c>
      <c r="C48" s="205" t="s">
        <v>41</v>
      </c>
      <c r="D48" s="232">
        <v>34210.389000000003</v>
      </c>
      <c r="E48" s="156">
        <v>29332.505000000001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12.35</v>
      </c>
      <c r="E50" s="156">
        <v>12.57</v>
      </c>
      <c r="G50" s="190"/>
    </row>
    <row r="51" spans="2:7">
      <c r="B51" s="202" t="s">
        <v>6</v>
      </c>
      <c r="C51" s="203" t="s">
        <v>114</v>
      </c>
      <c r="D51" s="234">
        <v>12.35</v>
      </c>
      <c r="E51" s="156">
        <v>12.56</v>
      </c>
      <c r="G51" s="190"/>
    </row>
    <row r="52" spans="2:7">
      <c r="B52" s="202" t="s">
        <v>8</v>
      </c>
      <c r="C52" s="203" t="s">
        <v>115</v>
      </c>
      <c r="D52" s="234">
        <v>12.47</v>
      </c>
      <c r="E52" s="81">
        <v>12.66</v>
      </c>
    </row>
    <row r="53" spans="2:7" ht="13.5" customHeight="1" thickBot="1">
      <c r="B53" s="206" t="s">
        <v>9</v>
      </c>
      <c r="C53" s="207" t="s">
        <v>41</v>
      </c>
      <c r="D53" s="235">
        <v>12.47</v>
      </c>
      <c r="E53" s="272">
        <v>12.66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371349.51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371349.51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371349.51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371349.51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7"/>
  <dimension ref="A1:L81"/>
  <sheetViews>
    <sheetView zoomScale="80" zoomScaleNormal="80" workbookViewId="0">
      <selection activeCell="G18" sqref="G18:L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209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772365.77</v>
      </c>
      <c r="E11" s="284">
        <f>SUM(E12:E14)</f>
        <v>839704.3</v>
      </c>
    </row>
    <row r="12" spans="2:12">
      <c r="B12" s="191" t="s">
        <v>4</v>
      </c>
      <c r="C12" s="192" t="s">
        <v>5</v>
      </c>
      <c r="D12" s="329">
        <v>772365.77</v>
      </c>
      <c r="E12" s="353">
        <v>839704.3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772365.77</v>
      </c>
      <c r="E21" s="155">
        <f>E11-E17</f>
        <v>839704.3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868336.04</v>
      </c>
      <c r="E26" s="270">
        <f>D21</f>
        <v>772365.77</v>
      </c>
      <c r="G26" s="80"/>
    </row>
    <row r="27" spans="2:11">
      <c r="B27" s="9" t="s">
        <v>17</v>
      </c>
      <c r="C27" s="10" t="s">
        <v>111</v>
      </c>
      <c r="D27" s="226">
        <v>-6860.62</v>
      </c>
      <c r="E27" s="263">
        <f>E28-E32</f>
        <v>-6708.0700000000006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6860.62</v>
      </c>
      <c r="E32" s="264">
        <f>SUM(E33:E39)</f>
        <v>6708.0700000000006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26.33</v>
      </c>
      <c r="E35" s="265">
        <v>97.39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6834.29</v>
      </c>
      <c r="E37" s="265">
        <v>6610.68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-17327.900000000001</v>
      </c>
      <c r="E40" s="271">
        <v>74046.600000000006</v>
      </c>
      <c r="G40" s="80"/>
    </row>
    <row r="41" spans="2:10" ht="13.5" thickBot="1">
      <c r="B41" s="106" t="s">
        <v>37</v>
      </c>
      <c r="C41" s="107" t="s">
        <v>38</v>
      </c>
      <c r="D41" s="230">
        <v>844147.52</v>
      </c>
      <c r="E41" s="155">
        <f>E26+E27+E40</f>
        <v>839704.3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72482.14</v>
      </c>
      <c r="E47" s="156">
        <v>71317.245999999999</v>
      </c>
      <c r="G47" s="76"/>
    </row>
    <row r="48" spans="2:10">
      <c r="B48" s="204" t="s">
        <v>6</v>
      </c>
      <c r="C48" s="205" t="s">
        <v>41</v>
      </c>
      <c r="D48" s="232">
        <v>71903.536999999997</v>
      </c>
      <c r="E48" s="156">
        <v>70741.726999999999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11.98</v>
      </c>
      <c r="E50" s="156">
        <v>10.83</v>
      </c>
      <c r="G50" s="190"/>
    </row>
    <row r="51" spans="2:7">
      <c r="B51" s="202" t="s">
        <v>6</v>
      </c>
      <c r="C51" s="203" t="s">
        <v>114</v>
      </c>
      <c r="D51" s="234">
        <v>11.6</v>
      </c>
      <c r="E51" s="156">
        <v>10.83</v>
      </c>
      <c r="G51" s="190"/>
    </row>
    <row r="52" spans="2:7">
      <c r="B52" s="202" t="s">
        <v>8</v>
      </c>
      <c r="C52" s="203" t="s">
        <v>115</v>
      </c>
      <c r="D52" s="234">
        <v>12.2</v>
      </c>
      <c r="E52" s="81">
        <v>11.93</v>
      </c>
    </row>
    <row r="53" spans="2:7" ht="13.5" customHeight="1" thickBot="1">
      <c r="B53" s="206" t="s">
        <v>9</v>
      </c>
      <c r="C53" s="207" t="s">
        <v>41</v>
      </c>
      <c r="D53" s="235">
        <v>11.74</v>
      </c>
      <c r="E53" s="272">
        <v>11.87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839704.3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839704.3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839704.3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839704.3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8"/>
  <dimension ref="A1:L81"/>
  <sheetViews>
    <sheetView zoomScale="80" zoomScaleNormal="80" workbookViewId="0">
      <selection activeCell="G18" sqref="G18:L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210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44887.59</v>
      </c>
      <c r="E11" s="284">
        <f>SUM(E12:E14)</f>
        <v>44042.14</v>
      </c>
    </row>
    <row r="12" spans="2:12">
      <c r="B12" s="191" t="s">
        <v>4</v>
      </c>
      <c r="C12" s="192" t="s">
        <v>5</v>
      </c>
      <c r="D12" s="329">
        <v>44887.59</v>
      </c>
      <c r="E12" s="353">
        <v>44042.14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44887.59</v>
      </c>
      <c r="E21" s="155">
        <f>E11-E17</f>
        <v>44042.14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64398.2</v>
      </c>
      <c r="E26" s="270">
        <f>D21</f>
        <v>44887.59</v>
      </c>
      <c r="G26" s="80"/>
    </row>
    <row r="27" spans="2:11">
      <c r="B27" s="9" t="s">
        <v>17</v>
      </c>
      <c r="C27" s="10" t="s">
        <v>111</v>
      </c>
      <c r="D27" s="226">
        <v>4505.4500000000007</v>
      </c>
      <c r="E27" s="263">
        <f>E28-E32</f>
        <v>-3637.76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22767.18</v>
      </c>
      <c r="E28" s="264">
        <f>SUM(E29:E31)</f>
        <v>1536.86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2039.27</v>
      </c>
      <c r="E29" s="265">
        <v>1536.86</v>
      </c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20727.91</v>
      </c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18261.73</v>
      </c>
      <c r="E32" s="264">
        <f>SUM(E33:E39)</f>
        <v>5174.62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15732.03</v>
      </c>
      <c r="E33" s="265">
        <v>4585.74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348.8</v>
      </c>
      <c r="E35" s="265">
        <v>304.95999999999998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418.33</v>
      </c>
      <c r="E37" s="265">
        <v>283.92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1762.57</v>
      </c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-1106.0999999999999</v>
      </c>
      <c r="E40" s="271">
        <v>2792.31</v>
      </c>
      <c r="G40" s="80"/>
    </row>
    <row r="41" spans="2:10" ht="13.5" thickBot="1">
      <c r="B41" s="106" t="s">
        <v>37</v>
      </c>
      <c r="C41" s="107" t="s">
        <v>38</v>
      </c>
      <c r="D41" s="230">
        <v>67797.549999999988</v>
      </c>
      <c r="E41" s="155">
        <f>E26+E27+E40</f>
        <v>44042.139999999992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10859.73</v>
      </c>
      <c r="E47" s="156">
        <v>8599.1550000000007</v>
      </c>
      <c r="G47" s="76"/>
    </row>
    <row r="48" spans="2:10">
      <c r="B48" s="204" t="s">
        <v>6</v>
      </c>
      <c r="C48" s="205" t="s">
        <v>41</v>
      </c>
      <c r="D48" s="232">
        <v>11569.548000000001</v>
      </c>
      <c r="E48" s="156">
        <v>7935.52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5.93</v>
      </c>
      <c r="E50" s="156">
        <v>5.22</v>
      </c>
      <c r="G50" s="190"/>
    </row>
    <row r="51" spans="2:7">
      <c r="B51" s="202" t="s">
        <v>6</v>
      </c>
      <c r="C51" s="203" t="s">
        <v>114</v>
      </c>
      <c r="D51" s="234">
        <v>5.65</v>
      </c>
      <c r="E51" s="156">
        <v>5.2</v>
      </c>
      <c r="G51" s="190"/>
    </row>
    <row r="52" spans="2:7">
      <c r="B52" s="202" t="s">
        <v>8</v>
      </c>
      <c r="C52" s="203" t="s">
        <v>115</v>
      </c>
      <c r="D52" s="234">
        <v>6.1</v>
      </c>
      <c r="E52" s="156">
        <v>5.67</v>
      </c>
    </row>
    <row r="53" spans="2:7" ht="13.5" customHeight="1" thickBot="1">
      <c r="B53" s="206" t="s">
        <v>9</v>
      </c>
      <c r="C53" s="207" t="s">
        <v>41</v>
      </c>
      <c r="D53" s="235">
        <v>5.86</v>
      </c>
      <c r="E53" s="272">
        <v>5.55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44042.14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44042.14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44042.14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44042.14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L81"/>
  <sheetViews>
    <sheetView zoomScale="90" zoomScaleNormal="90" workbookViewId="0">
      <selection activeCell="G39" sqref="G3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3.85546875" customWidth="1"/>
    <col min="8" max="8" width="19.7109375" customWidth="1"/>
    <col min="9" max="9" width="13.28515625" customWidth="1"/>
    <col min="10" max="10" width="13.5703125" customWidth="1"/>
    <col min="11" max="11" width="13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2"/>
      <c r="C4" s="92"/>
      <c r="D4" s="92"/>
      <c r="E4" s="92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101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3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473581.32</v>
      </c>
      <c r="E11" s="284">
        <f>SUM(E12:E14)</f>
        <v>570198.51</v>
      </c>
    </row>
    <row r="12" spans="2:12">
      <c r="B12" s="113" t="s">
        <v>4</v>
      </c>
      <c r="C12" s="6" t="s">
        <v>5</v>
      </c>
      <c r="D12" s="329">
        <v>471668.53</v>
      </c>
      <c r="E12" s="353">
        <f>566711.97+1655.14+0.05</f>
        <v>568367.16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>
        <v>1912.79</v>
      </c>
      <c r="E14" s="354">
        <f>E15</f>
        <v>1831.35</v>
      </c>
    </row>
    <row r="15" spans="2:12">
      <c r="B15" s="113" t="s">
        <v>106</v>
      </c>
      <c r="C15" s="71" t="s">
        <v>11</v>
      </c>
      <c r="D15" s="322">
        <v>1912.79</v>
      </c>
      <c r="E15" s="354">
        <v>1831.35</v>
      </c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>
        <v>712.76</v>
      </c>
      <c r="E17" s="356">
        <f>E18</f>
        <v>764.94</v>
      </c>
    </row>
    <row r="18" spans="2:11">
      <c r="B18" s="113" t="s">
        <v>4</v>
      </c>
      <c r="C18" s="6" t="s">
        <v>11</v>
      </c>
      <c r="D18" s="324">
        <v>712.76</v>
      </c>
      <c r="E18" s="355">
        <v>764.94</v>
      </c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472868.56</v>
      </c>
      <c r="E21" s="155">
        <f>E11-E17</f>
        <v>569433.57000000007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6.5" customHeight="1" thickBot="1">
      <c r="B24" s="498" t="s">
        <v>105</v>
      </c>
      <c r="C24" s="508"/>
      <c r="D24" s="508"/>
      <c r="E24" s="508"/>
    </row>
    <row r="25" spans="2:11" ht="13.5" thickBot="1">
      <c r="B25" s="93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498894.81</v>
      </c>
      <c r="E26" s="270">
        <f>D21</f>
        <v>472868.56</v>
      </c>
      <c r="G26" s="80"/>
    </row>
    <row r="27" spans="2:11">
      <c r="B27" s="9" t="s">
        <v>17</v>
      </c>
      <c r="C27" s="10" t="s">
        <v>111</v>
      </c>
      <c r="D27" s="226">
        <v>5408.2299999999959</v>
      </c>
      <c r="E27" s="366">
        <f>E28-E32</f>
        <v>38442.39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83312.689999999988</v>
      </c>
      <c r="E28" s="367">
        <f>SUM(E29:E31)</f>
        <v>162834.81</v>
      </c>
      <c r="F28" s="76"/>
      <c r="G28" s="76"/>
      <c r="H28" s="76"/>
      <c r="I28" s="76"/>
      <c r="J28" s="76"/>
    </row>
    <row r="29" spans="2:11">
      <c r="B29" s="111" t="s">
        <v>4</v>
      </c>
      <c r="C29" s="6" t="s">
        <v>20</v>
      </c>
      <c r="D29" s="227">
        <v>72396.039999999994</v>
      </c>
      <c r="E29" s="367">
        <v>68092.649999999994</v>
      </c>
      <c r="F29" s="76"/>
      <c r="G29" s="76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367"/>
      <c r="F30" s="76"/>
      <c r="G30" s="76"/>
      <c r="H30" s="76"/>
      <c r="I30" s="76"/>
      <c r="J30" s="76"/>
    </row>
    <row r="31" spans="2:11">
      <c r="B31" s="111" t="s">
        <v>8</v>
      </c>
      <c r="C31" s="6" t="s">
        <v>22</v>
      </c>
      <c r="D31" s="227">
        <v>10916.65</v>
      </c>
      <c r="E31" s="367">
        <v>94742.16</v>
      </c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77904.459999999992</v>
      </c>
      <c r="E32" s="366">
        <f>SUM(E33:E39)</f>
        <v>124392.42</v>
      </c>
      <c r="F32" s="76"/>
      <c r="G32" s="80"/>
      <c r="H32" s="76"/>
      <c r="I32" s="76"/>
      <c r="J32" s="76"/>
    </row>
    <row r="33" spans="2:10">
      <c r="B33" s="111" t="s">
        <v>4</v>
      </c>
      <c r="C33" s="6" t="s">
        <v>25</v>
      </c>
      <c r="D33" s="227">
        <v>61793.61</v>
      </c>
      <c r="E33" s="367">
        <v>19936.37</v>
      </c>
      <c r="F33" s="76"/>
      <c r="G33" s="76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367"/>
      <c r="F34" s="76"/>
      <c r="G34" s="76"/>
      <c r="H34" s="76"/>
      <c r="I34" s="76"/>
      <c r="J34" s="76"/>
    </row>
    <row r="35" spans="2:10">
      <c r="B35" s="111" t="s">
        <v>8</v>
      </c>
      <c r="C35" s="6" t="s">
        <v>27</v>
      </c>
      <c r="D35" s="227">
        <v>7104.84</v>
      </c>
      <c r="E35" s="367">
        <v>6702.27</v>
      </c>
      <c r="F35" s="76"/>
      <c r="G35" s="76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367"/>
      <c r="F36" s="76"/>
      <c r="G36" s="76"/>
      <c r="H36" s="76"/>
      <c r="I36" s="76"/>
      <c r="J36" s="76"/>
    </row>
    <row r="37" spans="2:10" ht="25.5">
      <c r="B37" s="111" t="s">
        <v>29</v>
      </c>
      <c r="C37" s="6" t="s">
        <v>30</v>
      </c>
      <c r="D37" s="227"/>
      <c r="E37" s="367"/>
      <c r="F37" s="76"/>
      <c r="G37" s="76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367"/>
      <c r="F38" s="76"/>
      <c r="G38" s="76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9006.01</v>
      </c>
      <c r="E39" s="367">
        <v>97753.78</v>
      </c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702.48</v>
      </c>
      <c r="E40" s="271">
        <v>58122.62</v>
      </c>
      <c r="G40" s="80"/>
    </row>
    <row r="41" spans="2:10" ht="13.5" thickBot="1">
      <c r="B41" s="106" t="s">
        <v>37</v>
      </c>
      <c r="C41" s="107" t="s">
        <v>38</v>
      </c>
      <c r="D41" s="230">
        <v>505005.51999999996</v>
      </c>
      <c r="E41" s="155">
        <f>E26+E27+E40</f>
        <v>569433.57000000007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6.5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3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42123.054300000003</v>
      </c>
      <c r="E47" s="79">
        <v>46187.157399999996</v>
      </c>
      <c r="G47" s="76"/>
    </row>
    <row r="48" spans="2:10">
      <c r="B48" s="130" t="s">
        <v>6</v>
      </c>
      <c r="C48" s="22" t="s">
        <v>41</v>
      </c>
      <c r="D48" s="232">
        <v>42589.346870000001</v>
      </c>
      <c r="E48" s="317">
        <v>49423.579599999997</v>
      </c>
      <c r="G48" s="213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11.8437472849636</v>
      </c>
      <c r="E50" s="310">
        <v>10.238096185586</v>
      </c>
      <c r="G50" s="190"/>
    </row>
    <row r="51" spans="2:7">
      <c r="B51" s="109" t="s">
        <v>6</v>
      </c>
      <c r="C51" s="15" t="s">
        <v>114</v>
      </c>
      <c r="D51" s="311">
        <v>11.4208</v>
      </c>
      <c r="E51" s="312">
        <v>10.175700000000001</v>
      </c>
      <c r="G51" s="190"/>
    </row>
    <row r="52" spans="2:7">
      <c r="B52" s="109" t="s">
        <v>8</v>
      </c>
      <c r="C52" s="15" t="s">
        <v>115</v>
      </c>
      <c r="D52" s="311">
        <v>12.358499999999999</v>
      </c>
      <c r="E52" s="312">
        <v>11.803000000000001</v>
      </c>
    </row>
    <row r="53" spans="2:7" ht="13.5" thickBot="1">
      <c r="B53" s="110" t="s">
        <v>9</v>
      </c>
      <c r="C53" s="17" t="s">
        <v>41</v>
      </c>
      <c r="D53" s="235">
        <v>11.8575549301578</v>
      </c>
      <c r="E53" s="272">
        <v>11.5215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SUM(D59:D70)</f>
        <v>568367.15999999992</v>
      </c>
      <c r="E58" s="32">
        <f>D58/E21</f>
        <v>0.99812724423675947</v>
      </c>
    </row>
    <row r="59" spans="2:7" ht="25.5">
      <c r="B59" s="21" t="s">
        <v>4</v>
      </c>
      <c r="C59" s="22" t="s">
        <v>44</v>
      </c>
      <c r="D59" s="86">
        <v>0</v>
      </c>
      <c r="E59" s="87">
        <v>0</v>
      </c>
    </row>
    <row r="60" spans="2:7" ht="24" customHeight="1">
      <c r="B60" s="14" t="s">
        <v>6</v>
      </c>
      <c r="C60" s="15" t="s">
        <v>45</v>
      </c>
      <c r="D60" s="84">
        <v>0</v>
      </c>
      <c r="E60" s="85">
        <v>0</v>
      </c>
    </row>
    <row r="61" spans="2:7">
      <c r="B61" s="14" t="s">
        <v>8</v>
      </c>
      <c r="C61" s="15" t="s">
        <v>46</v>
      </c>
      <c r="D61" s="84">
        <v>0</v>
      </c>
      <c r="E61" s="85">
        <v>0</v>
      </c>
    </row>
    <row r="62" spans="2:7">
      <c r="B62" s="14" t="s">
        <v>9</v>
      </c>
      <c r="C62" s="15" t="s">
        <v>47</v>
      </c>
      <c r="D62" s="84">
        <v>0</v>
      </c>
      <c r="E62" s="85">
        <v>0</v>
      </c>
    </row>
    <row r="63" spans="2:7">
      <c r="B63" s="14" t="s">
        <v>29</v>
      </c>
      <c r="C63" s="15" t="s">
        <v>48</v>
      </c>
      <c r="D63" s="84">
        <v>0</v>
      </c>
      <c r="E63" s="85">
        <v>0</v>
      </c>
    </row>
    <row r="64" spans="2:7">
      <c r="B64" s="21" t="s">
        <v>31</v>
      </c>
      <c r="C64" s="22" t="s">
        <v>49</v>
      </c>
      <c r="D64" s="314">
        <v>566711.97</v>
      </c>
      <c r="E64" s="87">
        <f>D64/E21</f>
        <v>0.99522051360617869</v>
      </c>
    </row>
    <row r="65" spans="2:5">
      <c r="B65" s="21" t="s">
        <v>33</v>
      </c>
      <c r="C65" s="22" t="s">
        <v>118</v>
      </c>
      <c r="D65" s="86">
        <v>0</v>
      </c>
      <c r="E65" s="87">
        <v>0</v>
      </c>
    </row>
    <row r="66" spans="2:5">
      <c r="B66" s="21" t="s">
        <v>50</v>
      </c>
      <c r="C66" s="22" t="s">
        <v>51</v>
      </c>
      <c r="D66" s="86">
        <v>0</v>
      </c>
      <c r="E66" s="87">
        <v>0</v>
      </c>
    </row>
    <row r="67" spans="2:5">
      <c r="B67" s="14" t="s">
        <v>52</v>
      </c>
      <c r="C67" s="15" t="s">
        <v>53</v>
      </c>
      <c r="D67" s="84">
        <v>0</v>
      </c>
      <c r="E67" s="85">
        <v>0</v>
      </c>
    </row>
    <row r="68" spans="2:5">
      <c r="B68" s="14" t="s">
        <v>54</v>
      </c>
      <c r="C68" s="15" t="s">
        <v>55</v>
      </c>
      <c r="D68" s="84">
        <v>0</v>
      </c>
      <c r="E68" s="85">
        <v>0</v>
      </c>
    </row>
    <row r="69" spans="2:5">
      <c r="B69" s="14" t="s">
        <v>56</v>
      </c>
      <c r="C69" s="15" t="s">
        <v>57</v>
      </c>
      <c r="D69" s="334">
        <v>1655.19</v>
      </c>
      <c r="E69" s="85">
        <f>D69/E21</f>
        <v>2.9067306305808416E-3</v>
      </c>
    </row>
    <row r="70" spans="2:5">
      <c r="B70" s="119" t="s">
        <v>58</v>
      </c>
      <c r="C70" s="120" t="s">
        <v>59</v>
      </c>
      <c r="D70" s="121">
        <v>0</v>
      </c>
      <c r="E70" s="122">
        <v>0</v>
      </c>
    </row>
    <row r="71" spans="2:5">
      <c r="B71" s="127" t="s">
        <v>23</v>
      </c>
      <c r="C71" s="128" t="s">
        <v>61</v>
      </c>
      <c r="D71" s="129">
        <f>E13</f>
        <v>0</v>
      </c>
      <c r="E71" s="69">
        <v>0</v>
      </c>
    </row>
    <row r="72" spans="2:5">
      <c r="B72" s="123" t="s">
        <v>60</v>
      </c>
      <c r="C72" s="124" t="s">
        <v>63</v>
      </c>
      <c r="D72" s="125">
        <f>E14</f>
        <v>1831.35</v>
      </c>
      <c r="E72" s="126">
        <f>D72/E21</f>
        <v>3.216090684642986E-3</v>
      </c>
    </row>
    <row r="73" spans="2:5">
      <c r="B73" s="23" t="s">
        <v>62</v>
      </c>
      <c r="C73" s="24" t="s">
        <v>65</v>
      </c>
      <c r="D73" s="25">
        <f>E17</f>
        <v>764.94</v>
      </c>
      <c r="E73" s="26">
        <f>D73/E21</f>
        <v>1.3433349214026845E-3</v>
      </c>
    </row>
    <row r="74" spans="2:5">
      <c r="B74" s="127" t="s">
        <v>64</v>
      </c>
      <c r="C74" s="128" t="s">
        <v>66</v>
      </c>
      <c r="D74" s="129">
        <f>D58+D71+D72-D73</f>
        <v>569433.56999999995</v>
      </c>
      <c r="E74" s="69">
        <f>E58+E72-E73</f>
        <v>0.99999999999999978</v>
      </c>
    </row>
    <row r="75" spans="2:5">
      <c r="B75" s="14" t="s">
        <v>4</v>
      </c>
      <c r="C75" s="15" t="s">
        <v>67</v>
      </c>
      <c r="D75" s="84">
        <f>D74</f>
        <v>569433.56999999995</v>
      </c>
      <c r="E75" s="85">
        <f>E74</f>
        <v>0.99999999999999978</v>
      </c>
    </row>
    <row r="76" spans="2:5">
      <c r="B76" s="14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6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2" right="0.75" top="0.6" bottom="0.4" header="0.5" footer="0.5"/>
  <pageSetup paperSize="9" scale="70" orientation="portrait" r:id="rId1"/>
  <headerFooter alignWithMargins="0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9"/>
  <dimension ref="A1:L81"/>
  <sheetViews>
    <sheetView zoomScale="80" zoomScaleNormal="80" workbookViewId="0">
      <selection activeCell="G18" sqref="G18:K3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  <c r="H5" s="167"/>
      <c r="I5" s="167"/>
      <c r="J5" s="167"/>
    </row>
    <row r="6" spans="2:12" ht="14.25">
      <c r="B6" s="497" t="s">
        <v>211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79.06</v>
      </c>
      <c r="E11" s="284">
        <f>SUM(E12:E14)</f>
        <v>70.209999999999994</v>
      </c>
    </row>
    <row r="12" spans="2:12">
      <c r="B12" s="191" t="s">
        <v>4</v>
      </c>
      <c r="C12" s="192" t="s">
        <v>5</v>
      </c>
      <c r="D12" s="329">
        <v>79.06</v>
      </c>
      <c r="E12" s="353">
        <v>70.209999999999994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79.06</v>
      </c>
      <c r="E21" s="155">
        <f>E11-E17</f>
        <v>70.209999999999994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1659.15</v>
      </c>
      <c r="E26" s="270">
        <f>D21</f>
        <v>79.06</v>
      </c>
      <c r="G26" s="80"/>
    </row>
    <row r="27" spans="2:11">
      <c r="B27" s="9" t="s">
        <v>17</v>
      </c>
      <c r="C27" s="10" t="s">
        <v>111</v>
      </c>
      <c r="D27" s="226">
        <v>106.9</v>
      </c>
      <c r="E27" s="263">
        <f>E28-E32</f>
        <v>-12.449999999999996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106.9</v>
      </c>
      <c r="E28" s="264">
        <f>SUM(E29:E31)</f>
        <v>61.82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106.9</v>
      </c>
      <c r="E29" s="265">
        <v>61.82</v>
      </c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0</v>
      </c>
      <c r="E32" s="264">
        <f>SUM(E33:E39)</f>
        <v>74.27</v>
      </c>
      <c r="F32" s="76"/>
      <c r="G32" s="80"/>
      <c r="H32" s="80"/>
      <c r="I32" s="76"/>
      <c r="J32" s="76"/>
    </row>
    <row r="33" spans="2:10">
      <c r="B33" s="199" t="s">
        <v>4</v>
      </c>
      <c r="C33" s="192" t="s">
        <v>25</v>
      </c>
      <c r="D33" s="227"/>
      <c r="E33" s="265">
        <v>72.52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/>
      <c r="E35" s="265">
        <v>1.36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/>
      <c r="E37" s="265">
        <v>0.39</v>
      </c>
      <c r="F37" s="76"/>
      <c r="G37" s="160"/>
      <c r="H37" s="80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-221.1</v>
      </c>
      <c r="E40" s="271">
        <v>3.6</v>
      </c>
      <c r="G40" s="80"/>
      <c r="H40" s="76"/>
    </row>
    <row r="41" spans="2:10" ht="13.5" thickBot="1">
      <c r="B41" s="106" t="s">
        <v>37</v>
      </c>
      <c r="C41" s="107" t="s">
        <v>38</v>
      </c>
      <c r="D41" s="230">
        <v>1544.9500000000003</v>
      </c>
      <c r="E41" s="155">
        <f>E26+E27+E40</f>
        <v>70.210000000000008</v>
      </c>
      <c r="F41" s="83"/>
      <c r="G41" s="80"/>
      <c r="H41" s="76"/>
    </row>
    <row r="42" spans="2:10">
      <c r="B42" s="100"/>
      <c r="C42" s="100"/>
      <c r="D42" s="101"/>
      <c r="E42" s="101"/>
      <c r="F42" s="83"/>
      <c r="G42" s="70"/>
      <c r="H42" s="76"/>
    </row>
    <row r="43" spans="2:10" ht="13.5">
      <c r="B43" s="500" t="s">
        <v>60</v>
      </c>
      <c r="C43" s="512"/>
      <c r="D43" s="512"/>
      <c r="E43" s="512"/>
      <c r="G43" s="76"/>
      <c r="H43" s="76"/>
    </row>
    <row r="44" spans="2:10" ht="18" customHeight="1" thickBot="1">
      <c r="B44" s="498" t="s">
        <v>121</v>
      </c>
      <c r="C44" s="511"/>
      <c r="D44" s="511"/>
      <c r="E44" s="511"/>
      <c r="G44" s="76"/>
      <c r="H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68.873000000000005</v>
      </c>
      <c r="E47" s="156">
        <v>3.8530000000000002</v>
      </c>
      <c r="G47" s="76"/>
    </row>
    <row r="48" spans="2:10">
      <c r="B48" s="204" t="s">
        <v>6</v>
      </c>
      <c r="C48" s="205" t="s">
        <v>41</v>
      </c>
      <c r="D48" s="232">
        <v>73.569000000000003</v>
      </c>
      <c r="E48" s="156">
        <v>3.24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24.09</v>
      </c>
      <c r="E50" s="156">
        <v>20.52</v>
      </c>
      <c r="G50" s="190"/>
    </row>
    <row r="51" spans="2:7">
      <c r="B51" s="202" t="s">
        <v>6</v>
      </c>
      <c r="C51" s="203" t="s">
        <v>114</v>
      </c>
      <c r="D51" s="234">
        <v>20.73</v>
      </c>
      <c r="E51" s="156">
        <v>20.28</v>
      </c>
      <c r="G51" s="190"/>
    </row>
    <row r="52" spans="2:7">
      <c r="B52" s="202" t="s">
        <v>8</v>
      </c>
      <c r="C52" s="203" t="s">
        <v>115</v>
      </c>
      <c r="D52" s="234">
        <v>25.23</v>
      </c>
      <c r="E52" s="81">
        <v>22.22</v>
      </c>
    </row>
    <row r="53" spans="2:7" ht="14.25" customHeight="1" thickBot="1">
      <c r="B53" s="206" t="s">
        <v>9</v>
      </c>
      <c r="C53" s="207" t="s">
        <v>41</v>
      </c>
      <c r="D53" s="235">
        <v>21</v>
      </c>
      <c r="E53" s="272">
        <v>21.67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70.209999999999994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70.209999999999994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70.209999999999994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70.209999999999994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62" bottom="0.52" header="0.5" footer="0.5"/>
  <pageSetup paperSize="9" scale="70" orientation="portrait" r:id="rId1"/>
  <headerFooter alignWithMargins="0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0"/>
  <dimension ref="A1:L81"/>
  <sheetViews>
    <sheetView zoomScale="80" zoomScaleNormal="80" workbookViewId="0">
      <selection activeCell="L44" sqref="L4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212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1288997.19</v>
      </c>
      <c r="E11" s="284">
        <f>SUM(E12:E14)</f>
        <v>1415798.38</v>
      </c>
    </row>
    <row r="12" spans="2:12">
      <c r="B12" s="191" t="s">
        <v>4</v>
      </c>
      <c r="C12" s="192" t="s">
        <v>5</v>
      </c>
      <c r="D12" s="329">
        <v>1288997.19</v>
      </c>
      <c r="E12" s="353">
        <v>1415798.38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1288997.19</v>
      </c>
      <c r="E21" s="155">
        <f>E11-E17</f>
        <v>1415798.38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1635799.49</v>
      </c>
      <c r="E26" s="270">
        <f>D21</f>
        <v>1288997.19</v>
      </c>
      <c r="G26" s="80"/>
    </row>
    <row r="27" spans="2:11">
      <c r="B27" s="9" t="s">
        <v>17</v>
      </c>
      <c r="C27" s="10" t="s">
        <v>111</v>
      </c>
      <c r="D27" s="226">
        <v>86925.58</v>
      </c>
      <c r="E27" s="263">
        <f>E28-E32</f>
        <v>-11075.68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100015.6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100015.6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13090.019999999999</v>
      </c>
      <c r="E32" s="264">
        <f>SUM(E33:E39)</f>
        <v>11075.68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4.47</v>
      </c>
      <c r="E35" s="265">
        <v>10.92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13085.55</v>
      </c>
      <c r="E37" s="265">
        <v>11064.76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-239704.3</v>
      </c>
      <c r="E40" s="271">
        <v>137876.87</v>
      </c>
      <c r="G40" s="80"/>
    </row>
    <row r="41" spans="2:10" ht="13.5" thickBot="1">
      <c r="B41" s="106" t="s">
        <v>37</v>
      </c>
      <c r="C41" s="107" t="s">
        <v>38</v>
      </c>
      <c r="D41" s="230">
        <v>1483020.77</v>
      </c>
      <c r="E41" s="155">
        <f>E26+E27+E40</f>
        <v>1415798.38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78380.426000000007</v>
      </c>
      <c r="E47" s="156">
        <v>81737.297999999995</v>
      </c>
      <c r="G47" s="76"/>
    </row>
    <row r="48" spans="2:10">
      <c r="B48" s="204" t="s">
        <v>6</v>
      </c>
      <c r="C48" s="205" t="s">
        <v>41</v>
      </c>
      <c r="D48" s="232">
        <v>82390.043000000005</v>
      </c>
      <c r="E48" s="156">
        <v>81088.108999999997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20.87</v>
      </c>
      <c r="E50" s="156">
        <v>15.77</v>
      </c>
      <c r="G50" s="190"/>
    </row>
    <row r="51" spans="2:7">
      <c r="B51" s="202" t="s">
        <v>6</v>
      </c>
      <c r="C51" s="203" t="s">
        <v>114</v>
      </c>
      <c r="D51" s="234">
        <v>17.87</v>
      </c>
      <c r="E51" s="156">
        <v>15.68</v>
      </c>
      <c r="G51" s="190"/>
    </row>
    <row r="52" spans="2:7">
      <c r="B52" s="202" t="s">
        <v>8</v>
      </c>
      <c r="C52" s="203" t="s">
        <v>115</v>
      </c>
      <c r="D52" s="234">
        <v>21.65</v>
      </c>
      <c r="E52" s="81">
        <v>17.87</v>
      </c>
    </row>
    <row r="53" spans="2:7" ht="13.5" customHeight="1" thickBot="1">
      <c r="B53" s="206" t="s">
        <v>9</v>
      </c>
      <c r="C53" s="207" t="s">
        <v>41</v>
      </c>
      <c r="D53" s="235">
        <v>18</v>
      </c>
      <c r="E53" s="272">
        <v>17.46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1415798.38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1415798.38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1415798.38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1415798.38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1">
    <pageSetUpPr fitToPage="1"/>
  </sheetPr>
  <dimension ref="A1:L81"/>
  <sheetViews>
    <sheetView zoomScale="80" zoomScaleNormal="80" workbookViewId="0">
      <selection activeCell="G16" sqref="G16:K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213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34626.68</v>
      </c>
      <c r="E11" s="284">
        <f>SUM(E12:E14)</f>
        <v>40154.550000000003</v>
      </c>
    </row>
    <row r="12" spans="2:12">
      <c r="B12" s="191" t="s">
        <v>4</v>
      </c>
      <c r="C12" s="192" t="s">
        <v>5</v>
      </c>
      <c r="D12" s="329">
        <v>34626.68</v>
      </c>
      <c r="E12" s="353">
        <f>40242.51-87.96</f>
        <v>40154.550000000003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34626.68</v>
      </c>
      <c r="E21" s="155">
        <f>E11-E17</f>
        <v>40154.550000000003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9274.66</v>
      </c>
      <c r="E26" s="270">
        <f>D21</f>
        <v>34626.68</v>
      </c>
      <c r="G26" s="80"/>
    </row>
    <row r="27" spans="2:11">
      <c r="B27" s="9" t="s">
        <v>17</v>
      </c>
      <c r="C27" s="10" t="s">
        <v>111</v>
      </c>
      <c r="D27" s="226">
        <v>21548.38</v>
      </c>
      <c r="E27" s="263">
        <f>E28-E32</f>
        <v>4997.6999999999989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22303.32</v>
      </c>
      <c r="E28" s="264">
        <f>SUM(E29:E31)</f>
        <v>5650.7599999999993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3859.11</v>
      </c>
      <c r="E29" s="265">
        <v>5307.23</v>
      </c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18444.21</v>
      </c>
      <c r="E31" s="265">
        <v>343.53</v>
      </c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754.94</v>
      </c>
      <c r="E32" s="264">
        <f>SUM(E33:E39)</f>
        <v>653.05999999999995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462.49</v>
      </c>
      <c r="E33" s="265">
        <v>114.39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138.11000000000001</v>
      </c>
      <c r="E35" s="265">
        <v>239.09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154.34</v>
      </c>
      <c r="E37" s="265">
        <v>235.4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>
        <v>64.180000000000007</v>
      </c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333.09</v>
      </c>
      <c r="E40" s="271">
        <v>530.16999999999996</v>
      </c>
      <c r="G40" s="80"/>
    </row>
    <row r="41" spans="2:10" ht="13.5" thickBot="1">
      <c r="B41" s="106" t="s">
        <v>37</v>
      </c>
      <c r="C41" s="107" t="s">
        <v>38</v>
      </c>
      <c r="D41" s="230">
        <v>31156.13</v>
      </c>
      <c r="E41" s="155">
        <f>E26+E27+E40</f>
        <v>40154.549999999996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160.37799999999999</v>
      </c>
      <c r="E47" s="156">
        <v>579.62302999999997</v>
      </c>
      <c r="G47" s="76"/>
    </row>
    <row r="48" spans="2:10">
      <c r="B48" s="204" t="s">
        <v>6</v>
      </c>
      <c r="C48" s="205" t="s">
        <v>41</v>
      </c>
      <c r="D48" s="232">
        <v>539.577</v>
      </c>
      <c r="E48" s="156">
        <f>E21/E53</f>
        <v>662.83509409045894</v>
      </c>
      <c r="G48" s="210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57.83</v>
      </c>
      <c r="E50" s="156">
        <v>59.74</v>
      </c>
      <c r="G50" s="190"/>
    </row>
    <row r="51" spans="2:7">
      <c r="B51" s="202" t="s">
        <v>6</v>
      </c>
      <c r="C51" s="203" t="s">
        <v>114</v>
      </c>
      <c r="D51" s="234">
        <v>57.71</v>
      </c>
      <c r="E51" s="156">
        <v>59.68</v>
      </c>
      <c r="G51" s="190"/>
    </row>
    <row r="52" spans="2:7">
      <c r="B52" s="202" t="s">
        <v>8</v>
      </c>
      <c r="C52" s="203" t="s">
        <v>115</v>
      </c>
      <c r="D52" s="234">
        <v>58.86</v>
      </c>
      <c r="E52" s="81">
        <v>60.7</v>
      </c>
    </row>
    <row r="53" spans="2:7" ht="12.75" customHeight="1" thickBot="1">
      <c r="B53" s="206" t="s">
        <v>9</v>
      </c>
      <c r="C53" s="207" t="s">
        <v>41</v>
      </c>
      <c r="D53" s="235">
        <v>58.57</v>
      </c>
      <c r="E53" s="272">
        <v>60.58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40154.550000000003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40154.550000000003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40154.550000000003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40154.550000000003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2"/>
  <dimension ref="A1:L81"/>
  <sheetViews>
    <sheetView zoomScale="80" zoomScaleNormal="80" workbookViewId="0">
      <selection activeCell="G16" sqref="G16:K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278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5017536.5999999996</v>
      </c>
      <c r="E11" s="284">
        <f>SUM(E12:E14)</f>
        <v>4797931.13</v>
      </c>
    </row>
    <row r="12" spans="2:12">
      <c r="B12" s="191" t="s">
        <v>4</v>
      </c>
      <c r="C12" s="192" t="s">
        <v>5</v>
      </c>
      <c r="D12" s="329">
        <v>5017536.5999999996</v>
      </c>
      <c r="E12" s="353">
        <v>4797931.13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5017536.5999999996</v>
      </c>
      <c r="E21" s="155">
        <f>E11-E17</f>
        <v>4797931.13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4175217.15</v>
      </c>
      <c r="E26" s="270">
        <f>D21</f>
        <v>5017536.5999999996</v>
      </c>
      <c r="G26" s="80"/>
    </row>
    <row r="27" spans="2:11">
      <c r="B27" s="9" t="s">
        <v>17</v>
      </c>
      <c r="C27" s="10" t="s">
        <v>111</v>
      </c>
      <c r="D27" s="226">
        <v>-1599533.48</v>
      </c>
      <c r="E27" s="263">
        <f>E28-E32</f>
        <v>-262989.27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28675.85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28675.85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1628209.33</v>
      </c>
      <c r="E32" s="264">
        <f>SUM(E33:E39)</f>
        <v>262989.27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1600134.27</v>
      </c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1770.6</v>
      </c>
      <c r="E35" s="265">
        <v>6146.54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26304.46</v>
      </c>
      <c r="E37" s="265">
        <v>38821.620000000003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>
        <v>218021.11</v>
      </c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34002.21</v>
      </c>
      <c r="E40" s="271">
        <v>43383.8</v>
      </c>
      <c r="G40" s="80"/>
    </row>
    <row r="41" spans="2:10" ht="13.5" thickBot="1">
      <c r="B41" s="106" t="s">
        <v>37</v>
      </c>
      <c r="C41" s="107" t="s">
        <v>38</v>
      </c>
      <c r="D41" s="230">
        <v>2609685.88</v>
      </c>
      <c r="E41" s="155">
        <f>E26+E27+E40</f>
        <v>4797931.13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21699.584999999999</v>
      </c>
      <c r="E47" s="156">
        <v>25602.289000000001</v>
      </c>
      <c r="G47" s="76"/>
    </row>
    <row r="48" spans="2:10">
      <c r="B48" s="204" t="s">
        <v>6</v>
      </c>
      <c r="C48" s="205" t="s">
        <v>41</v>
      </c>
      <c r="D48" s="232">
        <v>13435.368</v>
      </c>
      <c r="E48" s="156">
        <v>24263.837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192.41</v>
      </c>
      <c r="E50" s="156">
        <v>195.98</v>
      </c>
      <c r="G50" s="190"/>
    </row>
    <row r="51" spans="2:7">
      <c r="B51" s="202" t="s">
        <v>6</v>
      </c>
      <c r="C51" s="203" t="s">
        <v>114</v>
      </c>
      <c r="D51" s="234">
        <v>192.41</v>
      </c>
      <c r="E51" s="156">
        <v>195.72</v>
      </c>
      <c r="G51" s="190"/>
    </row>
    <row r="52" spans="2:7">
      <c r="B52" s="202" t="s">
        <v>8</v>
      </c>
      <c r="C52" s="203" t="s">
        <v>115</v>
      </c>
      <c r="D52" s="234">
        <v>194.29</v>
      </c>
      <c r="E52" s="81">
        <v>197.78</v>
      </c>
    </row>
    <row r="53" spans="2:7" ht="12.75" customHeight="1" thickBot="1">
      <c r="B53" s="206" t="s">
        <v>9</v>
      </c>
      <c r="C53" s="207" t="s">
        <v>41</v>
      </c>
      <c r="D53" s="235">
        <v>194.24</v>
      </c>
      <c r="E53" s="272">
        <v>197.74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4797931.13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4797931.13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4797931.13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4797931.13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3"/>
  <dimension ref="A1:L81"/>
  <sheetViews>
    <sheetView zoomScale="80" zoomScaleNormal="80" workbookViewId="0">
      <selection activeCell="G17" sqref="G17:M3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279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5116051.53</v>
      </c>
      <c r="E11" s="284">
        <f>SUM(E12:E14)</f>
        <v>10363512.939999999</v>
      </c>
    </row>
    <row r="12" spans="2:12">
      <c r="B12" s="191" t="s">
        <v>4</v>
      </c>
      <c r="C12" s="192" t="s">
        <v>5</v>
      </c>
      <c r="D12" s="329">
        <v>5116051.53</v>
      </c>
      <c r="E12" s="353">
        <v>10363512.939999999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5116051.53</v>
      </c>
      <c r="E21" s="155">
        <f>E11-E17</f>
        <v>10363512.939999999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6918174.9500000002</v>
      </c>
      <c r="E26" s="270">
        <f>D21</f>
        <v>5116051.53</v>
      </c>
      <c r="G26" s="80"/>
    </row>
    <row r="27" spans="2:11">
      <c r="B27" s="9" t="s">
        <v>17</v>
      </c>
      <c r="C27" s="10" t="s">
        <v>111</v>
      </c>
      <c r="D27" s="226">
        <v>2910673.91</v>
      </c>
      <c r="E27" s="263">
        <f>E28-E32</f>
        <v>5155974.38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2991012.91</v>
      </c>
      <c r="E28" s="264">
        <f>SUM(E29:E31)</f>
        <v>5293295.72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2991012.91</v>
      </c>
      <c r="E31" s="265">
        <v>5293295.72</v>
      </c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80339</v>
      </c>
      <c r="E32" s="264">
        <f>SUM(E33:E39)</f>
        <v>137321.34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>
        <v>65900.56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15310.14</v>
      </c>
      <c r="E35" s="265">
        <v>5587.65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65028.86</v>
      </c>
      <c r="E37" s="265">
        <v>65833.13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97645.29</v>
      </c>
      <c r="E40" s="271">
        <v>91487.03</v>
      </c>
      <c r="G40" s="80"/>
    </row>
    <row r="41" spans="2:10" ht="13.5" thickBot="1">
      <c r="B41" s="106" t="s">
        <v>37</v>
      </c>
      <c r="C41" s="107" t="s">
        <v>38</v>
      </c>
      <c r="D41" s="230">
        <v>9926494.1499999985</v>
      </c>
      <c r="E41" s="155">
        <f>E26+E27+E40</f>
        <v>10363512.939999999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629497.26599999995</v>
      </c>
      <c r="E47" s="156">
        <v>454356.26400000002</v>
      </c>
      <c r="G47" s="76"/>
    </row>
    <row r="48" spans="2:10">
      <c r="B48" s="204" t="s">
        <v>6</v>
      </c>
      <c r="C48" s="205" t="s">
        <v>41</v>
      </c>
      <c r="D48" s="232">
        <v>892670.33700000006</v>
      </c>
      <c r="E48" s="156">
        <v>910677.76300000004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10.99</v>
      </c>
      <c r="E50" s="156">
        <v>11.26</v>
      </c>
      <c r="G50" s="190"/>
    </row>
    <row r="51" spans="2:7">
      <c r="B51" s="202" t="s">
        <v>6</v>
      </c>
      <c r="C51" s="203" t="s">
        <v>114</v>
      </c>
      <c r="D51" s="234">
        <v>10.99</v>
      </c>
      <c r="E51" s="156">
        <v>11.24</v>
      </c>
      <c r="G51" s="190"/>
    </row>
    <row r="52" spans="2:7">
      <c r="B52" s="202" t="s">
        <v>8</v>
      </c>
      <c r="C52" s="203" t="s">
        <v>115</v>
      </c>
      <c r="D52" s="234">
        <v>11.13</v>
      </c>
      <c r="E52" s="81">
        <v>11.39</v>
      </c>
    </row>
    <row r="53" spans="2:7" ht="12.75" customHeight="1" thickBot="1">
      <c r="B53" s="206" t="s">
        <v>9</v>
      </c>
      <c r="C53" s="207" t="s">
        <v>41</v>
      </c>
      <c r="D53" s="235">
        <v>11.12</v>
      </c>
      <c r="E53" s="272">
        <v>11.38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10363512.939999999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10363512.939999999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10363512.939999999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10363512.939999999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4"/>
  <dimension ref="A1:L81"/>
  <sheetViews>
    <sheetView zoomScale="80" zoomScaleNormal="80" workbookViewId="0">
      <selection activeCell="G18" sqref="G18:L4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214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203932.92</v>
      </c>
      <c r="E11" s="284">
        <f>SUM(E12:E14)</f>
        <v>206849.14</v>
      </c>
    </row>
    <row r="12" spans="2:12">
      <c r="B12" s="191" t="s">
        <v>4</v>
      </c>
      <c r="C12" s="192" t="s">
        <v>5</v>
      </c>
      <c r="D12" s="329">
        <v>203932.92</v>
      </c>
      <c r="E12" s="353">
        <v>206849.14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203932.92</v>
      </c>
      <c r="E21" s="155">
        <f>E11-E17</f>
        <v>206849.14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218290.53</v>
      </c>
      <c r="E26" s="270">
        <f>D21</f>
        <v>203932.92</v>
      </c>
      <c r="G26" s="80"/>
    </row>
    <row r="27" spans="2:11">
      <c r="B27" s="9" t="s">
        <v>17</v>
      </c>
      <c r="C27" s="10" t="s">
        <v>111</v>
      </c>
      <c r="D27" s="226">
        <v>-1706.87</v>
      </c>
      <c r="E27" s="263">
        <f>E28-E32</f>
        <v>-1638.14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1706.87</v>
      </c>
      <c r="E32" s="264">
        <f>SUM(E33:E39)</f>
        <v>1638.14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/>
      <c r="E35" s="265"/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1706.87</v>
      </c>
      <c r="E37" s="265">
        <v>1638.14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-12062.52</v>
      </c>
      <c r="E40" s="271">
        <v>4554.3599999999997</v>
      </c>
      <c r="G40" s="80"/>
    </row>
    <row r="41" spans="2:10" ht="13.5" thickBot="1">
      <c r="B41" s="106" t="s">
        <v>37</v>
      </c>
      <c r="C41" s="107" t="s">
        <v>38</v>
      </c>
      <c r="D41" s="230">
        <v>204521.14</v>
      </c>
      <c r="E41" s="155">
        <f>E26+E27+E40</f>
        <v>206849.13999999998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17848.776000000002</v>
      </c>
      <c r="E47" s="342">
        <v>17565.281999999999</v>
      </c>
      <c r="G47" s="76"/>
    </row>
    <row r="48" spans="2:10">
      <c r="B48" s="204" t="s">
        <v>6</v>
      </c>
      <c r="C48" s="205" t="s">
        <v>41</v>
      </c>
      <c r="D48" s="232">
        <v>17707.457999999999</v>
      </c>
      <c r="E48" s="156">
        <v>17426.212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12.23</v>
      </c>
      <c r="E50" s="81">
        <v>11.61</v>
      </c>
      <c r="G50" s="190"/>
    </row>
    <row r="51" spans="2:7">
      <c r="B51" s="202" t="s">
        <v>6</v>
      </c>
      <c r="C51" s="203" t="s">
        <v>114</v>
      </c>
      <c r="D51" s="234">
        <v>11.51</v>
      </c>
      <c r="E51" s="81">
        <v>11.56</v>
      </c>
      <c r="G51" s="190"/>
    </row>
    <row r="52" spans="2:7">
      <c r="B52" s="202" t="s">
        <v>8</v>
      </c>
      <c r="C52" s="203" t="s">
        <v>115</v>
      </c>
      <c r="D52" s="234">
        <v>12.4</v>
      </c>
      <c r="E52" s="81">
        <v>12.05</v>
      </c>
    </row>
    <row r="53" spans="2:7" ht="14.25" customHeight="1" thickBot="1">
      <c r="B53" s="206" t="s">
        <v>9</v>
      </c>
      <c r="C53" s="207" t="s">
        <v>41</v>
      </c>
      <c r="D53" s="235">
        <v>11.55</v>
      </c>
      <c r="E53" s="272">
        <v>11.87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206849.14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206849.14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206849.14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206849.14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5"/>
  <dimension ref="A1:L81"/>
  <sheetViews>
    <sheetView zoomScale="80" zoomScaleNormal="80" workbookViewId="0">
      <selection activeCell="G16" sqref="G16:L3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215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365492.24</v>
      </c>
      <c r="E11" s="284">
        <f>SUM(E12:E14)</f>
        <v>303055.76</v>
      </c>
    </row>
    <row r="12" spans="2:12">
      <c r="B12" s="191" t="s">
        <v>4</v>
      </c>
      <c r="C12" s="192" t="s">
        <v>5</v>
      </c>
      <c r="D12" s="329">
        <v>365492.24</v>
      </c>
      <c r="E12" s="353">
        <v>303055.76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365492.24</v>
      </c>
      <c r="E21" s="155">
        <f>E11-E17</f>
        <v>303055.76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493751.96</v>
      </c>
      <c r="E26" s="270">
        <f>D21</f>
        <v>365492.24</v>
      </c>
      <c r="G26" s="80"/>
    </row>
    <row r="27" spans="2:11">
      <c r="B27" s="9" t="s">
        <v>17</v>
      </c>
      <c r="C27" s="10" t="s">
        <v>111</v>
      </c>
      <c r="D27" s="226">
        <v>-117228.20000000003</v>
      </c>
      <c r="E27" s="263">
        <f>E28-E32</f>
        <v>-67518.720000000001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39647.360000000001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39647.360000000001</v>
      </c>
      <c r="E31" s="265"/>
      <c r="F31" s="76"/>
      <c r="G31" s="160"/>
      <c r="H31" s="76"/>
      <c r="I31" s="76"/>
      <c r="J31" s="160"/>
    </row>
    <row r="32" spans="2:11">
      <c r="B32" s="99" t="s">
        <v>23</v>
      </c>
      <c r="C32" s="11" t="s">
        <v>24</v>
      </c>
      <c r="D32" s="226">
        <v>156875.56000000003</v>
      </c>
      <c r="E32" s="264">
        <f>SUM(E33:E39)</f>
        <v>67518.720000000001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152488.6</v>
      </c>
      <c r="E33" s="265">
        <v>64234.93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1297.1400000000001</v>
      </c>
      <c r="E35" s="265">
        <v>772.49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3089.82</v>
      </c>
      <c r="E37" s="265">
        <v>2511.3000000000002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4967.96</v>
      </c>
      <c r="E40" s="271">
        <v>5082.24</v>
      </c>
      <c r="G40" s="80"/>
    </row>
    <row r="41" spans="2:10" ht="13.5" thickBot="1">
      <c r="B41" s="106" t="s">
        <v>37</v>
      </c>
      <c r="C41" s="107" t="s">
        <v>38</v>
      </c>
      <c r="D41" s="230">
        <v>381491.72000000003</v>
      </c>
      <c r="E41" s="155">
        <f>E26+E27+E40</f>
        <v>303055.76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40805.947</v>
      </c>
      <c r="E47" s="156">
        <v>29192.670999999998</v>
      </c>
      <c r="G47" s="76"/>
    </row>
    <row r="48" spans="2:10">
      <c r="B48" s="204" t="s">
        <v>6</v>
      </c>
      <c r="C48" s="205" t="s">
        <v>41</v>
      </c>
      <c r="D48" s="232">
        <v>31116.78</v>
      </c>
      <c r="E48" s="156">
        <v>23825.137999999999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12.1</v>
      </c>
      <c r="E50" s="156">
        <v>12.52</v>
      </c>
      <c r="G50" s="190"/>
    </row>
    <row r="51" spans="2:7">
      <c r="B51" s="202" t="s">
        <v>6</v>
      </c>
      <c r="C51" s="203" t="s">
        <v>114</v>
      </c>
      <c r="D51" s="234">
        <v>12.07</v>
      </c>
      <c r="E51" s="156">
        <v>12.51</v>
      </c>
      <c r="G51" s="190"/>
    </row>
    <row r="52" spans="2:7">
      <c r="B52" s="202" t="s">
        <v>8</v>
      </c>
      <c r="C52" s="203" t="s">
        <v>115</v>
      </c>
      <c r="D52" s="234">
        <v>12.31</v>
      </c>
      <c r="E52" s="81">
        <v>12.74</v>
      </c>
    </row>
    <row r="53" spans="2:7" ht="13.5" customHeight="1" thickBot="1">
      <c r="B53" s="206" t="s">
        <v>9</v>
      </c>
      <c r="C53" s="207" t="s">
        <v>41</v>
      </c>
      <c r="D53" s="235">
        <v>12.26</v>
      </c>
      <c r="E53" s="272">
        <v>12.72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8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303055.76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303055.76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303055.76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303055.76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6"/>
  <dimension ref="A1:L81"/>
  <sheetViews>
    <sheetView zoomScale="80" zoomScaleNormal="80" workbookViewId="0">
      <selection activeCell="G19" sqref="G19:N4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216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994.75</v>
      </c>
      <c r="E11" s="284">
        <f>SUM(E12:E14)</f>
        <v>1007.01</v>
      </c>
    </row>
    <row r="12" spans="2:12">
      <c r="B12" s="191" t="s">
        <v>4</v>
      </c>
      <c r="C12" s="192" t="s">
        <v>5</v>
      </c>
      <c r="D12" s="329">
        <v>994.75</v>
      </c>
      <c r="E12" s="353">
        <v>1007.01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994.75</v>
      </c>
      <c r="E21" s="155">
        <f>E11-E17</f>
        <v>1007.01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1189.1300000000001</v>
      </c>
      <c r="E26" s="270">
        <f>D21</f>
        <v>994.75</v>
      </c>
      <c r="G26" s="80"/>
    </row>
    <row r="27" spans="2:11">
      <c r="B27" s="9" t="s">
        <v>17</v>
      </c>
      <c r="C27" s="10" t="s">
        <v>111</v>
      </c>
      <c r="D27" s="226">
        <v>0</v>
      </c>
      <c r="E27" s="263">
        <f>E28-E32</f>
        <v>-49.4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0</v>
      </c>
      <c r="E32" s="264">
        <f>SUM(E33:E39)</f>
        <v>49.4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/>
      <c r="E35" s="265"/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/>
      <c r="E37" s="265">
        <v>49.4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-166.31</v>
      </c>
      <c r="E40" s="271">
        <v>61.66</v>
      </c>
      <c r="G40" s="80"/>
    </row>
    <row r="41" spans="2:10" ht="13.5" thickBot="1">
      <c r="B41" s="106" t="s">
        <v>37</v>
      </c>
      <c r="C41" s="107" t="s">
        <v>38</v>
      </c>
      <c r="D41" s="230">
        <v>1022.8200000000002</v>
      </c>
      <c r="E41" s="155">
        <f>E26+E27+E40</f>
        <v>1007.01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103.94499999999999</v>
      </c>
      <c r="E47" s="156">
        <v>103.94499999999999</v>
      </c>
      <c r="G47" s="76"/>
    </row>
    <row r="48" spans="2:10">
      <c r="B48" s="204" t="s">
        <v>6</v>
      </c>
      <c r="C48" s="205" t="s">
        <v>41</v>
      </c>
      <c r="D48" s="232">
        <v>103.94499999999999</v>
      </c>
      <c r="E48" s="156">
        <v>99.212999999999994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11.44</v>
      </c>
      <c r="E50" s="156">
        <v>9.57</v>
      </c>
      <c r="G50" s="190"/>
    </row>
    <row r="51" spans="2:7">
      <c r="B51" s="202" t="s">
        <v>6</v>
      </c>
      <c r="C51" s="203" t="s">
        <v>114</v>
      </c>
      <c r="D51" s="234">
        <v>9.7100000000000009</v>
      </c>
      <c r="E51" s="156">
        <v>9.42</v>
      </c>
      <c r="G51" s="190"/>
    </row>
    <row r="52" spans="2:7">
      <c r="B52" s="202" t="s">
        <v>8</v>
      </c>
      <c r="C52" s="203" t="s">
        <v>115</v>
      </c>
      <c r="D52" s="234">
        <v>11.92</v>
      </c>
      <c r="E52" s="81">
        <v>10.59</v>
      </c>
    </row>
    <row r="53" spans="2:7" ht="12.75" customHeight="1" thickBot="1">
      <c r="B53" s="206" t="s">
        <v>9</v>
      </c>
      <c r="C53" s="207" t="s">
        <v>41</v>
      </c>
      <c r="D53" s="235">
        <v>9.84</v>
      </c>
      <c r="E53" s="272">
        <v>10.15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1007.01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1007.01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1007.01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1007.01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7"/>
  <dimension ref="A1:L81"/>
  <sheetViews>
    <sheetView zoomScale="80" zoomScaleNormal="80" workbookViewId="0">
      <selection activeCell="G37" sqref="G3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280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/>
      <c r="E11" s="284"/>
    </row>
    <row r="12" spans="2:12">
      <c r="B12" s="191" t="s">
        <v>4</v>
      </c>
      <c r="C12" s="192" t="s">
        <v>5</v>
      </c>
      <c r="D12" s="329"/>
      <c r="E12" s="353"/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/>
      <c r="E21" s="155"/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8.5</v>
      </c>
      <c r="E26" s="270"/>
      <c r="G26" s="80"/>
    </row>
    <row r="27" spans="2:11">
      <c r="B27" s="9" t="s">
        <v>17</v>
      </c>
      <c r="C27" s="10" t="s">
        <v>111</v>
      </c>
      <c r="D27" s="226">
        <v>-8.36</v>
      </c>
      <c r="E27" s="263"/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/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8.36</v>
      </c>
      <c r="E32" s="264"/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/>
      <c r="E35" s="265"/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8.36</v>
      </c>
      <c r="E37" s="265"/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-0.14000000000000001</v>
      </c>
      <c r="E40" s="271"/>
      <c r="G40" s="80"/>
    </row>
    <row r="41" spans="2:10" ht="13.5" thickBot="1">
      <c r="B41" s="106" t="s">
        <v>37</v>
      </c>
      <c r="C41" s="107" t="s">
        <v>38</v>
      </c>
      <c r="D41" s="230">
        <v>0</v>
      </c>
      <c r="E41" s="155"/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7.6999999999999999E-2</v>
      </c>
      <c r="E47" s="156"/>
      <c r="G47" s="76"/>
    </row>
    <row r="48" spans="2:10">
      <c r="B48" s="204" t="s">
        <v>6</v>
      </c>
      <c r="C48" s="205" t="s">
        <v>41</v>
      </c>
      <c r="D48" s="232"/>
      <c r="E48" s="156"/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110.33</v>
      </c>
      <c r="E50" s="156"/>
      <c r="G50" s="190"/>
    </row>
    <row r="51" spans="2:7">
      <c r="B51" s="202" t="s">
        <v>6</v>
      </c>
      <c r="C51" s="203" t="s">
        <v>114</v>
      </c>
      <c r="D51" s="234">
        <v>103.89</v>
      </c>
      <c r="E51" s="81"/>
      <c r="G51" s="190"/>
    </row>
    <row r="52" spans="2:7">
      <c r="B52" s="202" t="s">
        <v>8</v>
      </c>
      <c r="C52" s="203" t="s">
        <v>115</v>
      </c>
      <c r="D52" s="234">
        <v>115.21</v>
      </c>
      <c r="E52" s="81"/>
    </row>
    <row r="53" spans="2:7" ht="13.5" customHeight="1" thickBot="1">
      <c r="B53" s="206" t="s">
        <v>9</v>
      </c>
      <c r="C53" s="207" t="s">
        <v>41</v>
      </c>
      <c r="D53" s="235"/>
      <c r="E53" s="272"/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0</v>
      </c>
      <c r="E58" s="32">
        <v>0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0</v>
      </c>
      <c r="E64" s="87">
        <v>0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0</v>
      </c>
      <c r="E74" s="69">
        <v>0</v>
      </c>
    </row>
    <row r="75" spans="2:5">
      <c r="B75" s="109" t="s">
        <v>4</v>
      </c>
      <c r="C75" s="15" t="s">
        <v>67</v>
      </c>
      <c r="D75" s="84">
        <f>D74</f>
        <v>0</v>
      </c>
      <c r="E75" s="85">
        <f>E74</f>
        <v>0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8"/>
  <dimension ref="A1:L81"/>
  <sheetViews>
    <sheetView zoomScale="80" zoomScaleNormal="80" workbookViewId="0">
      <selection activeCell="J37" sqref="J3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217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203163.85</v>
      </c>
      <c r="E11" s="284">
        <f>SUM(E12:E14)</f>
        <v>184334.96</v>
      </c>
    </row>
    <row r="12" spans="2:12">
      <c r="B12" s="191" t="s">
        <v>4</v>
      </c>
      <c r="C12" s="192" t="s">
        <v>5</v>
      </c>
      <c r="D12" s="329">
        <v>203163.85</v>
      </c>
      <c r="E12" s="353">
        <v>184334.96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203163.85</v>
      </c>
      <c r="E21" s="155">
        <f>E11-E17</f>
        <v>184334.96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46258.73</v>
      </c>
      <c r="E26" s="270">
        <f>D21</f>
        <v>203163.85</v>
      </c>
      <c r="G26" s="80"/>
    </row>
    <row r="27" spans="2:11">
      <c r="B27" s="9" t="s">
        <v>17</v>
      </c>
      <c r="C27" s="10" t="s">
        <v>111</v>
      </c>
      <c r="D27" s="226">
        <v>198267.43</v>
      </c>
      <c r="E27" s="263">
        <f>E28-E32</f>
        <v>-44199.25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200031.24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200031.24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1763.81</v>
      </c>
      <c r="E32" s="264">
        <f>SUM(E33:E39)</f>
        <v>44199.25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77.95</v>
      </c>
      <c r="E35" s="265">
        <v>49.79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1685.86</v>
      </c>
      <c r="E37" s="265">
        <v>1563.05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>
        <v>42586.41</v>
      </c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2466.34</v>
      </c>
      <c r="E40" s="271">
        <v>25370.36</v>
      </c>
      <c r="G40" s="80"/>
    </row>
    <row r="41" spans="2:10" ht="13.5" thickBot="1">
      <c r="B41" s="106" t="s">
        <v>37</v>
      </c>
      <c r="C41" s="107" t="s">
        <v>38</v>
      </c>
      <c r="D41" s="230">
        <v>246992.5</v>
      </c>
      <c r="E41" s="155">
        <f>E26+E27+E40</f>
        <v>184334.96000000002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918.92600000000004</v>
      </c>
      <c r="E47" s="156">
        <v>4741.28</v>
      </c>
      <c r="G47" s="76"/>
    </row>
    <row r="48" spans="2:10">
      <c r="B48" s="204" t="s">
        <v>6</v>
      </c>
      <c r="C48" s="205" t="s">
        <v>41</v>
      </c>
      <c r="D48" s="232">
        <v>4776.4939999999997</v>
      </c>
      <c r="E48" s="156">
        <v>3810.1480000000001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50.34</v>
      </c>
      <c r="E50" s="156">
        <v>42.85</v>
      </c>
      <c r="G50" s="190"/>
    </row>
    <row r="51" spans="2:7">
      <c r="B51" s="202" t="s">
        <v>6</v>
      </c>
      <c r="C51" s="203" t="s">
        <v>114</v>
      </c>
      <c r="D51" s="234">
        <v>48.14</v>
      </c>
      <c r="E51" s="156">
        <v>42.83</v>
      </c>
      <c r="G51" s="190"/>
    </row>
    <row r="52" spans="2:7">
      <c r="B52" s="202" t="s">
        <v>8</v>
      </c>
      <c r="C52" s="203" t="s">
        <v>115</v>
      </c>
      <c r="D52" s="234">
        <v>53.25</v>
      </c>
      <c r="E52" s="81">
        <v>49.68</v>
      </c>
    </row>
    <row r="53" spans="2:7" ht="13.5" customHeight="1" thickBot="1">
      <c r="B53" s="206" t="s">
        <v>9</v>
      </c>
      <c r="C53" s="207" t="s">
        <v>41</v>
      </c>
      <c r="D53" s="235">
        <v>51.71</v>
      </c>
      <c r="E53" s="272">
        <v>48.38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184334.96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184334.96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184334.96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184334.96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81"/>
  <sheetViews>
    <sheetView zoomScale="80" zoomScaleNormal="80" workbookViewId="0">
      <selection activeCell="G21" sqref="G21:K3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2"/>
      <c r="C4" s="92"/>
      <c r="D4" s="92"/>
      <c r="E4" s="92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102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3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972887.63</v>
      </c>
      <c r="E11" s="284">
        <f>SUM(E12:E14)</f>
        <v>1086333.3199999998</v>
      </c>
    </row>
    <row r="12" spans="2:12">
      <c r="B12" s="113" t="s">
        <v>4</v>
      </c>
      <c r="C12" s="6" t="s">
        <v>5</v>
      </c>
      <c r="D12" s="329">
        <v>969956.9</v>
      </c>
      <c r="E12" s="353">
        <f>1055265.39+29850.69+0.82-851.49</f>
        <v>1084265.4099999999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>
        <v>2930.73</v>
      </c>
      <c r="E14" s="354">
        <f>E15</f>
        <v>2067.91</v>
      </c>
    </row>
    <row r="15" spans="2:12">
      <c r="B15" s="113" t="s">
        <v>106</v>
      </c>
      <c r="C15" s="71" t="s">
        <v>11</v>
      </c>
      <c r="D15" s="322">
        <v>2930.73</v>
      </c>
      <c r="E15" s="354">
        <v>2067.91</v>
      </c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>
        <v>709.75</v>
      </c>
      <c r="E17" s="356">
        <f>E18</f>
        <v>746.71</v>
      </c>
    </row>
    <row r="18" spans="2:11">
      <c r="B18" s="113" t="s">
        <v>4</v>
      </c>
      <c r="C18" s="6" t="s">
        <v>11</v>
      </c>
      <c r="D18" s="324">
        <v>709.75</v>
      </c>
      <c r="E18" s="355">
        <v>746.71</v>
      </c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972177.88</v>
      </c>
      <c r="E21" s="155">
        <f>E11-E17</f>
        <v>1085586.6099999999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8" customHeight="1" thickBot="1">
      <c r="B24" s="498" t="s">
        <v>105</v>
      </c>
      <c r="C24" s="508"/>
      <c r="D24" s="508"/>
      <c r="E24" s="508"/>
    </row>
    <row r="25" spans="2:11" ht="13.5" thickBot="1">
      <c r="B25" s="93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706738.19</v>
      </c>
      <c r="E26" s="270">
        <f>D21</f>
        <v>972177.88</v>
      </c>
      <c r="G26" s="80"/>
    </row>
    <row r="27" spans="2:11">
      <c r="B27" s="9" t="s">
        <v>17</v>
      </c>
      <c r="C27" s="10" t="s">
        <v>111</v>
      </c>
      <c r="D27" s="226">
        <v>148264.85999999999</v>
      </c>
      <c r="E27" s="263">
        <f>E28-E32</f>
        <v>71088.350000000006</v>
      </c>
      <c r="F27" s="76"/>
      <c r="G27" s="160"/>
      <c r="H27" s="359"/>
      <c r="I27" s="160"/>
      <c r="J27" s="160"/>
    </row>
    <row r="28" spans="2:11">
      <c r="B28" s="9" t="s">
        <v>18</v>
      </c>
      <c r="C28" s="10" t="s">
        <v>19</v>
      </c>
      <c r="D28" s="226">
        <v>238305.38999999998</v>
      </c>
      <c r="E28" s="264">
        <f>SUM(E29:E31)</f>
        <v>167134.35</v>
      </c>
      <c r="F28" s="76"/>
      <c r="G28" s="160"/>
      <c r="H28" s="359"/>
      <c r="I28" s="160"/>
      <c r="J28" s="160"/>
    </row>
    <row r="29" spans="2:11">
      <c r="B29" s="111" t="s">
        <v>4</v>
      </c>
      <c r="C29" s="6" t="s">
        <v>20</v>
      </c>
      <c r="D29" s="227">
        <v>238305.38999999998</v>
      </c>
      <c r="E29" s="265">
        <v>164724.38</v>
      </c>
      <c r="F29" s="76"/>
      <c r="G29" s="160"/>
      <c r="H29" s="359"/>
      <c r="I29" s="160"/>
      <c r="J29" s="160"/>
    </row>
    <row r="30" spans="2:11">
      <c r="B30" s="111" t="s">
        <v>6</v>
      </c>
      <c r="C30" s="6" t="s">
        <v>21</v>
      </c>
      <c r="D30" s="227"/>
      <c r="E30" s="265"/>
      <c r="F30" s="76"/>
      <c r="G30" s="160"/>
      <c r="H30" s="359"/>
      <c r="I30" s="160"/>
      <c r="J30" s="160"/>
    </row>
    <row r="31" spans="2:11">
      <c r="B31" s="111" t="s">
        <v>8</v>
      </c>
      <c r="C31" s="6" t="s">
        <v>22</v>
      </c>
      <c r="D31" s="227"/>
      <c r="E31" s="265">
        <v>2409.9699999999998</v>
      </c>
      <c r="F31" s="76"/>
      <c r="G31" s="160"/>
      <c r="H31" s="359"/>
      <c r="I31" s="160"/>
      <c r="J31" s="160"/>
    </row>
    <row r="32" spans="2:11">
      <c r="B32" s="99" t="s">
        <v>23</v>
      </c>
      <c r="C32" s="11" t="s">
        <v>24</v>
      </c>
      <c r="D32" s="226">
        <v>90040.53</v>
      </c>
      <c r="E32" s="264">
        <f>SUM(E33:E39)</f>
        <v>96046</v>
      </c>
      <c r="F32" s="76"/>
      <c r="G32" s="160"/>
      <c r="H32" s="359"/>
      <c r="I32" s="160"/>
      <c r="J32" s="160"/>
    </row>
    <row r="33" spans="2:10">
      <c r="B33" s="111" t="s">
        <v>4</v>
      </c>
      <c r="C33" s="6" t="s">
        <v>25</v>
      </c>
      <c r="D33" s="227">
        <v>52753.439999999995</v>
      </c>
      <c r="E33" s="265">
        <f>67470.41+364.76</f>
        <v>67835.17</v>
      </c>
      <c r="F33" s="76"/>
      <c r="G33" s="160"/>
      <c r="H33" s="359"/>
      <c r="I33" s="160"/>
      <c r="J33" s="160"/>
    </row>
    <row r="34" spans="2:10">
      <c r="B34" s="111" t="s">
        <v>6</v>
      </c>
      <c r="C34" s="6" t="s">
        <v>26</v>
      </c>
      <c r="D34" s="227"/>
      <c r="E34" s="265"/>
      <c r="F34" s="76"/>
      <c r="G34" s="160"/>
      <c r="H34" s="359"/>
      <c r="I34" s="160"/>
      <c r="J34" s="160"/>
    </row>
    <row r="35" spans="2:10">
      <c r="B35" s="111" t="s">
        <v>8</v>
      </c>
      <c r="C35" s="6" t="s">
        <v>27</v>
      </c>
      <c r="D35" s="227">
        <v>11367.95</v>
      </c>
      <c r="E35" s="265">
        <v>11323.11</v>
      </c>
      <c r="F35" s="76"/>
      <c r="G35" s="160"/>
      <c r="H35" s="359"/>
      <c r="I35" s="160"/>
      <c r="J35" s="160"/>
    </row>
    <row r="36" spans="2:10">
      <c r="B36" s="111" t="s">
        <v>9</v>
      </c>
      <c r="C36" s="6" t="s">
        <v>28</v>
      </c>
      <c r="D36" s="227"/>
      <c r="E36" s="265"/>
      <c r="F36" s="76"/>
      <c r="G36" s="160"/>
      <c r="H36" s="359"/>
      <c r="I36" s="160"/>
      <c r="J36" s="160"/>
    </row>
    <row r="37" spans="2:10" ht="25.5">
      <c r="B37" s="111" t="s">
        <v>29</v>
      </c>
      <c r="C37" s="6" t="s">
        <v>30</v>
      </c>
      <c r="D37" s="227"/>
      <c r="E37" s="265"/>
      <c r="F37" s="76"/>
      <c r="G37" s="160"/>
      <c r="H37" s="359"/>
      <c r="I37" s="160"/>
      <c r="J37" s="160"/>
    </row>
    <row r="38" spans="2:10">
      <c r="B38" s="111" t="s">
        <v>31</v>
      </c>
      <c r="C38" s="6" t="s">
        <v>32</v>
      </c>
      <c r="D38" s="227"/>
      <c r="E38" s="265"/>
      <c r="F38" s="76"/>
      <c r="G38" s="160"/>
      <c r="H38" s="359"/>
      <c r="I38" s="160"/>
      <c r="J38" s="160"/>
    </row>
    <row r="39" spans="2:10">
      <c r="B39" s="112" t="s">
        <v>33</v>
      </c>
      <c r="C39" s="12" t="s">
        <v>34</v>
      </c>
      <c r="D39" s="228">
        <v>25919.14</v>
      </c>
      <c r="E39" s="266">
        <v>16887.72</v>
      </c>
      <c r="F39" s="76"/>
      <c r="G39" s="160"/>
      <c r="H39" s="359"/>
      <c r="I39" s="160"/>
      <c r="J39" s="160"/>
    </row>
    <row r="40" spans="2:10" ht="13.5" thickBot="1">
      <c r="B40" s="104" t="s">
        <v>35</v>
      </c>
      <c r="C40" s="105" t="s">
        <v>36</v>
      </c>
      <c r="D40" s="229">
        <v>-21331.279999999999</v>
      </c>
      <c r="E40" s="271">
        <v>42320.38</v>
      </c>
      <c r="G40" s="80"/>
      <c r="H40" s="278"/>
    </row>
    <row r="41" spans="2:10" ht="13.5" thickBot="1">
      <c r="B41" s="106" t="s">
        <v>37</v>
      </c>
      <c r="C41" s="107" t="s">
        <v>38</v>
      </c>
      <c r="D41" s="230">
        <v>833671.7699999999</v>
      </c>
      <c r="E41" s="155">
        <f>E26+E27+E40</f>
        <v>1085586.6099999999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5.75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3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68120.478900000002</v>
      </c>
      <c r="E47" s="79">
        <v>97575.417050000004</v>
      </c>
      <c r="G47" s="76"/>
    </row>
    <row r="48" spans="2:10">
      <c r="B48" s="130" t="s">
        <v>6</v>
      </c>
      <c r="C48" s="22" t="s">
        <v>41</v>
      </c>
      <c r="D48" s="232">
        <v>82504.041740000001</v>
      </c>
      <c r="E48" s="317">
        <v>104541.14480513852</v>
      </c>
      <c r="G48" s="213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10.374827080678999</v>
      </c>
      <c r="E50" s="79">
        <v>9.9633484477478191</v>
      </c>
      <c r="G50" s="190"/>
    </row>
    <row r="51" spans="2:7">
      <c r="B51" s="109" t="s">
        <v>6</v>
      </c>
      <c r="C51" s="15" t="s">
        <v>114</v>
      </c>
      <c r="D51" s="311">
        <v>10.1046</v>
      </c>
      <c r="E51" s="81">
        <v>9.9633000000000003</v>
      </c>
      <c r="G51" s="190"/>
    </row>
    <row r="52" spans="2:7" ht="12" customHeight="1">
      <c r="B52" s="109" t="s">
        <v>8</v>
      </c>
      <c r="C52" s="15" t="s">
        <v>115</v>
      </c>
      <c r="D52" s="231">
        <v>10.4094</v>
      </c>
      <c r="E52" s="81">
        <v>10.3843</v>
      </c>
    </row>
    <row r="53" spans="2:7" ht="13.5" thickBot="1">
      <c r="B53" s="110" t="s">
        <v>9</v>
      </c>
      <c r="C53" s="17" t="s">
        <v>41</v>
      </c>
      <c r="D53" s="235">
        <v>10.104617330340201</v>
      </c>
      <c r="E53" s="272">
        <v>10.3843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SUM(D59:D70)</f>
        <v>1084265.4099999999</v>
      </c>
      <c r="E58" s="32">
        <f>D58/E21</f>
        <v>0.99878296214431017</v>
      </c>
    </row>
    <row r="59" spans="2:7" ht="25.5">
      <c r="B59" s="21" t="s">
        <v>4</v>
      </c>
      <c r="C59" s="22" t="s">
        <v>44</v>
      </c>
      <c r="D59" s="86">
        <v>0</v>
      </c>
      <c r="E59" s="87">
        <v>0</v>
      </c>
    </row>
    <row r="60" spans="2:7" ht="24" customHeight="1">
      <c r="B60" s="14" t="s">
        <v>6</v>
      </c>
      <c r="C60" s="15" t="s">
        <v>45</v>
      </c>
      <c r="D60" s="84">
        <v>0</v>
      </c>
      <c r="E60" s="85">
        <v>0</v>
      </c>
    </row>
    <row r="61" spans="2:7">
      <c r="B61" s="14" t="s">
        <v>8</v>
      </c>
      <c r="C61" s="15" t="s">
        <v>46</v>
      </c>
      <c r="D61" s="84">
        <v>0</v>
      </c>
      <c r="E61" s="85">
        <v>0</v>
      </c>
    </row>
    <row r="62" spans="2:7">
      <c r="B62" s="14" t="s">
        <v>9</v>
      </c>
      <c r="C62" s="15" t="s">
        <v>47</v>
      </c>
      <c r="D62" s="84">
        <v>0</v>
      </c>
      <c r="E62" s="85">
        <v>0</v>
      </c>
    </row>
    <row r="63" spans="2:7">
      <c r="B63" s="14" t="s">
        <v>29</v>
      </c>
      <c r="C63" s="15" t="s">
        <v>48</v>
      </c>
      <c r="D63" s="84">
        <v>0</v>
      </c>
      <c r="E63" s="85">
        <v>0</v>
      </c>
    </row>
    <row r="64" spans="2:7">
      <c r="B64" s="21" t="s">
        <v>31</v>
      </c>
      <c r="C64" s="22" t="s">
        <v>49</v>
      </c>
      <c r="D64" s="314">
        <f>1055265.39-851.49</f>
        <v>1054413.8999999999</v>
      </c>
      <c r="E64" s="87">
        <f>D64/E21</f>
        <v>0.97128491664059857</v>
      </c>
    </row>
    <row r="65" spans="2:5">
      <c r="B65" s="21" t="s">
        <v>33</v>
      </c>
      <c r="C65" s="22" t="s">
        <v>118</v>
      </c>
      <c r="D65" s="86">
        <v>0</v>
      </c>
      <c r="E65" s="87">
        <v>0</v>
      </c>
    </row>
    <row r="66" spans="2:5">
      <c r="B66" s="21" t="s">
        <v>50</v>
      </c>
      <c r="C66" s="22" t="s">
        <v>51</v>
      </c>
      <c r="D66" s="86">
        <v>0</v>
      </c>
      <c r="E66" s="87">
        <v>0</v>
      </c>
    </row>
    <row r="67" spans="2:5">
      <c r="B67" s="14" t="s">
        <v>52</v>
      </c>
      <c r="C67" s="15" t="s">
        <v>53</v>
      </c>
      <c r="D67" s="84">
        <v>0</v>
      </c>
      <c r="E67" s="85">
        <v>0</v>
      </c>
    </row>
    <row r="68" spans="2:5">
      <c r="B68" s="14" t="s">
        <v>54</v>
      </c>
      <c r="C68" s="15" t="s">
        <v>55</v>
      </c>
      <c r="D68" s="84">
        <v>0</v>
      </c>
      <c r="E68" s="85">
        <v>0</v>
      </c>
    </row>
    <row r="69" spans="2:5">
      <c r="B69" s="14" t="s">
        <v>56</v>
      </c>
      <c r="C69" s="15" t="s">
        <v>57</v>
      </c>
      <c r="D69" s="334">
        <v>29851.51</v>
      </c>
      <c r="E69" s="85">
        <f>D69/E21</f>
        <v>2.7498045503711585E-2</v>
      </c>
    </row>
    <row r="70" spans="2:5">
      <c r="B70" s="119" t="s">
        <v>58</v>
      </c>
      <c r="C70" s="120" t="s">
        <v>59</v>
      </c>
      <c r="D70" s="320">
        <v>0</v>
      </c>
      <c r="E70" s="122">
        <v>0</v>
      </c>
    </row>
    <row r="71" spans="2:5">
      <c r="B71" s="127" t="s">
        <v>23</v>
      </c>
      <c r="C71" s="128" t="s">
        <v>61</v>
      </c>
      <c r="D71" s="129">
        <f>E13</f>
        <v>0</v>
      </c>
      <c r="E71" s="69">
        <v>0</v>
      </c>
    </row>
    <row r="72" spans="2:5">
      <c r="B72" s="123" t="s">
        <v>60</v>
      </c>
      <c r="C72" s="124" t="s">
        <v>63</v>
      </c>
      <c r="D72" s="125">
        <f>E14</f>
        <v>2067.91</v>
      </c>
      <c r="E72" s="126">
        <f>D72/E21</f>
        <v>1.9048779534964972E-3</v>
      </c>
    </row>
    <row r="73" spans="2:5">
      <c r="B73" s="23" t="s">
        <v>62</v>
      </c>
      <c r="C73" s="24" t="s">
        <v>65</v>
      </c>
      <c r="D73" s="25">
        <f>E17</f>
        <v>746.71</v>
      </c>
      <c r="E73" s="26">
        <f>D73/E21</f>
        <v>6.8784009780665969E-4</v>
      </c>
    </row>
    <row r="74" spans="2:5">
      <c r="B74" s="127" t="s">
        <v>64</v>
      </c>
      <c r="C74" s="128" t="s">
        <v>66</v>
      </c>
      <c r="D74" s="129">
        <f>D58+D71+D72-D73</f>
        <v>1085586.6099999999</v>
      </c>
      <c r="E74" s="69">
        <f>E58+E72-E73</f>
        <v>1</v>
      </c>
    </row>
    <row r="75" spans="2:5">
      <c r="B75" s="14" t="s">
        <v>4</v>
      </c>
      <c r="C75" s="15" t="s">
        <v>67</v>
      </c>
      <c r="D75" s="84">
        <f>D74</f>
        <v>1085586.6099999999</v>
      </c>
      <c r="E75" s="85">
        <f>E74</f>
        <v>1</v>
      </c>
    </row>
    <row r="76" spans="2:5">
      <c r="B76" s="14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6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52"/>
      <c r="E78" s="25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9"/>
  <dimension ref="A1:L81"/>
  <sheetViews>
    <sheetView zoomScale="80" zoomScaleNormal="80" workbookViewId="0">
      <selection activeCell="J50" sqref="J5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218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342366.49</v>
      </c>
      <c r="E11" s="284">
        <f>SUM(E12:E14)</f>
        <v>368825.75</v>
      </c>
    </row>
    <row r="12" spans="2:12">
      <c r="B12" s="191" t="s">
        <v>4</v>
      </c>
      <c r="C12" s="192" t="s">
        <v>5</v>
      </c>
      <c r="D12" s="329">
        <v>342366.49</v>
      </c>
      <c r="E12" s="353">
        <v>368825.75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342366.49</v>
      </c>
      <c r="E21" s="155">
        <f>E11-E17</f>
        <v>368825.75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239155.88</v>
      </c>
      <c r="E26" s="270">
        <f>D21</f>
        <v>342366.49</v>
      </c>
      <c r="G26" s="80"/>
    </row>
    <row r="27" spans="2:11">
      <c r="B27" s="9" t="s">
        <v>17</v>
      </c>
      <c r="C27" s="10" t="s">
        <v>111</v>
      </c>
      <c r="D27" s="226">
        <v>189677.28999999998</v>
      </c>
      <c r="E27" s="263">
        <f>E28-E32</f>
        <v>-9395.26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200031.24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200031.24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10353.950000000001</v>
      </c>
      <c r="E32" s="264">
        <f>SUM(E33:E39)</f>
        <v>9395.26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6978.95</v>
      </c>
      <c r="E33" s="265">
        <v>6250.34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439.16</v>
      </c>
      <c r="E35" s="265">
        <v>440.2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2935.84</v>
      </c>
      <c r="E37" s="265">
        <v>2704.72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-2958.58</v>
      </c>
      <c r="E40" s="271">
        <v>35854.519999999997</v>
      </c>
      <c r="G40" s="80"/>
    </row>
    <row r="41" spans="2:10" ht="13.5" thickBot="1">
      <c r="B41" s="106" t="s">
        <v>37</v>
      </c>
      <c r="C41" s="107" t="s">
        <v>38</v>
      </c>
      <c r="D41" s="230">
        <v>425874.58999999997</v>
      </c>
      <c r="E41" s="155">
        <f>E26+E27+E40</f>
        <v>368825.75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12183.183000000001</v>
      </c>
      <c r="E47" s="156">
        <v>18506.296999999999</v>
      </c>
      <c r="G47" s="76"/>
    </row>
    <row r="48" spans="2:10">
      <c r="B48" s="204" t="s">
        <v>6</v>
      </c>
      <c r="C48" s="205" t="s">
        <v>41</v>
      </c>
      <c r="D48" s="232">
        <v>21673.007000000001</v>
      </c>
      <c r="E48" s="156">
        <v>18035.489000000001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19.63</v>
      </c>
      <c r="E50" s="156">
        <v>18.5</v>
      </c>
      <c r="G50" s="190"/>
    </row>
    <row r="51" spans="2:7">
      <c r="B51" s="202" t="s">
        <v>6</v>
      </c>
      <c r="C51" s="203" t="s">
        <v>114</v>
      </c>
      <c r="D51" s="234">
        <v>19.11</v>
      </c>
      <c r="E51" s="81">
        <v>18.490000000000002</v>
      </c>
      <c r="G51" s="190"/>
    </row>
    <row r="52" spans="2:7">
      <c r="B52" s="202" t="s">
        <v>8</v>
      </c>
      <c r="C52" s="203" t="s">
        <v>115</v>
      </c>
      <c r="D52" s="234">
        <v>20.03</v>
      </c>
      <c r="E52" s="81">
        <v>20.55</v>
      </c>
    </row>
    <row r="53" spans="2:7" ht="12.75" customHeight="1" thickBot="1">
      <c r="B53" s="206" t="s">
        <v>9</v>
      </c>
      <c r="C53" s="207" t="s">
        <v>41</v>
      </c>
      <c r="D53" s="235">
        <v>19.649999999999999</v>
      </c>
      <c r="E53" s="272">
        <v>20.45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8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368825.75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368825.75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368825.75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368825.75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0"/>
  <dimension ref="A1:L81"/>
  <sheetViews>
    <sheetView zoomScale="80" zoomScaleNormal="80" workbookViewId="0">
      <selection activeCell="J49" sqref="J4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219</v>
      </c>
      <c r="C6" s="497"/>
      <c r="D6" s="497"/>
      <c r="E6" s="497"/>
    </row>
    <row r="7" spans="2:12" ht="14.25">
      <c r="B7" s="179"/>
      <c r="C7" s="179"/>
      <c r="D7" s="179"/>
      <c r="E7" s="179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80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1390286.91</v>
      </c>
      <c r="E11" s="284">
        <f>SUM(E12:E14)</f>
        <v>1598824.36</v>
      </c>
    </row>
    <row r="12" spans="2:12">
      <c r="B12" s="191" t="s">
        <v>4</v>
      </c>
      <c r="C12" s="192" t="s">
        <v>5</v>
      </c>
      <c r="D12" s="329">
        <v>1390286.91</v>
      </c>
      <c r="E12" s="353">
        <v>1598824.36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1390286.91</v>
      </c>
      <c r="E21" s="155">
        <f>E11-E17</f>
        <v>1598824.36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1524917.53</v>
      </c>
      <c r="E26" s="270">
        <f>D21</f>
        <v>1390286.91</v>
      </c>
      <c r="G26" s="80"/>
    </row>
    <row r="27" spans="2:11">
      <c r="B27" s="9" t="s">
        <v>17</v>
      </c>
      <c r="C27" s="10" t="s">
        <v>111</v>
      </c>
      <c r="D27" s="226">
        <v>186567.08000000002</v>
      </c>
      <c r="E27" s="263">
        <f>E28-E32</f>
        <v>-12617.01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200031.22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200031.22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13464.14</v>
      </c>
      <c r="E32" s="264">
        <f>SUM(E33:E39)</f>
        <v>12617.01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139.33000000000001</v>
      </c>
      <c r="E35" s="265">
        <v>264.11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13324.81</v>
      </c>
      <c r="E37" s="265">
        <v>12352.9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-20179.73</v>
      </c>
      <c r="E40" s="271">
        <v>221154.46</v>
      </c>
      <c r="G40" s="80"/>
    </row>
    <row r="41" spans="2:10" ht="13.5" thickBot="1">
      <c r="B41" s="106" t="s">
        <v>37</v>
      </c>
      <c r="C41" s="107" t="s">
        <v>38</v>
      </c>
      <c r="D41" s="230">
        <v>1691304.8800000001</v>
      </c>
      <c r="E41" s="155">
        <f>E26+E27+E40</f>
        <v>1598824.3599999999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121798.52499999999</v>
      </c>
      <c r="E47" s="156">
        <v>135110.48699999999</v>
      </c>
      <c r="G47" s="76"/>
    </row>
    <row r="48" spans="2:10">
      <c r="B48" s="204" t="s">
        <v>6</v>
      </c>
      <c r="C48" s="205" t="s">
        <v>41</v>
      </c>
      <c r="D48" s="232">
        <v>136175.916</v>
      </c>
      <c r="E48" s="156">
        <v>134017.13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12.52</v>
      </c>
      <c r="E50" s="156">
        <v>10.29</v>
      </c>
      <c r="G50" s="190"/>
    </row>
    <row r="51" spans="2:7">
      <c r="B51" s="202" t="s">
        <v>6</v>
      </c>
      <c r="C51" s="203" t="s">
        <v>114</v>
      </c>
      <c r="D51" s="234">
        <v>11.97</v>
      </c>
      <c r="E51" s="81">
        <v>10.29</v>
      </c>
      <c r="G51" s="190"/>
    </row>
    <row r="52" spans="2:7">
      <c r="B52" s="202" t="s">
        <v>8</v>
      </c>
      <c r="C52" s="203" t="s">
        <v>115</v>
      </c>
      <c r="D52" s="234">
        <v>13.06</v>
      </c>
      <c r="E52" s="81">
        <v>12.19</v>
      </c>
    </row>
    <row r="53" spans="2:7" ht="13.5" thickBot="1">
      <c r="B53" s="206" t="s">
        <v>9</v>
      </c>
      <c r="C53" s="207" t="s">
        <v>41</v>
      </c>
      <c r="D53" s="235">
        <v>12.42</v>
      </c>
      <c r="E53" s="272">
        <v>11.93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1598824.36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1598824.36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1598824.36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1598824.36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1"/>
  <dimension ref="A1:L81"/>
  <sheetViews>
    <sheetView zoomScale="80" zoomScaleNormal="80" workbookViewId="0">
      <selection activeCell="G17" sqref="G17:K4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8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220</v>
      </c>
      <c r="C6" s="497"/>
      <c r="D6" s="497"/>
      <c r="E6" s="497"/>
    </row>
    <row r="7" spans="2:12" ht="14.25">
      <c r="B7" s="220"/>
      <c r="C7" s="220"/>
      <c r="D7" s="220"/>
      <c r="E7" s="22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221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1286523.32</v>
      </c>
      <c r="E11" s="284">
        <f>SUM(E12:E14)</f>
        <v>1368788.91</v>
      </c>
    </row>
    <row r="12" spans="2:12">
      <c r="B12" s="191" t="s">
        <v>4</v>
      </c>
      <c r="C12" s="192" t="s">
        <v>5</v>
      </c>
      <c r="D12" s="329">
        <v>1286523.32</v>
      </c>
      <c r="E12" s="353">
        <v>1368788.91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1286523.32</v>
      </c>
      <c r="E21" s="155">
        <f>E11-E17</f>
        <v>1368788.91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1373697.16</v>
      </c>
      <c r="E26" s="270">
        <f>D21</f>
        <v>1286523.32</v>
      </c>
      <c r="G26" s="80"/>
    </row>
    <row r="27" spans="2:11">
      <c r="B27" s="9" t="s">
        <v>17</v>
      </c>
      <c r="C27" s="10" t="s">
        <v>111</v>
      </c>
      <c r="D27" s="226">
        <v>117847.7</v>
      </c>
      <c r="E27" s="263">
        <f>E28-E32</f>
        <v>-10852.57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200031.28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200031.28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82183.58</v>
      </c>
      <c r="E32" s="264">
        <f>SUM(E33:E39)</f>
        <v>10852.57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70301.73</v>
      </c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125.72</v>
      </c>
      <c r="E35" s="265">
        <v>188.86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11756.13</v>
      </c>
      <c r="E37" s="265">
        <v>10663.71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-59572.61</v>
      </c>
      <c r="E40" s="271">
        <v>93118.16</v>
      </c>
      <c r="G40" s="80"/>
    </row>
    <row r="41" spans="2:10" ht="13.5" thickBot="1">
      <c r="B41" s="106" t="s">
        <v>37</v>
      </c>
      <c r="C41" s="107" t="s">
        <v>38</v>
      </c>
      <c r="D41" s="230">
        <v>1431972.2499999998</v>
      </c>
      <c r="E41" s="155">
        <f>E26+E27+E40</f>
        <v>1368788.91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117410.014</v>
      </c>
      <c r="E47" s="156">
        <v>116744.40300000001</v>
      </c>
      <c r="G47" s="76"/>
    </row>
    <row r="48" spans="2:10">
      <c r="B48" s="204" t="s">
        <v>6</v>
      </c>
      <c r="C48" s="205" t="s">
        <v>41</v>
      </c>
      <c r="D48" s="232">
        <v>127286.42200000001</v>
      </c>
      <c r="E48" s="156">
        <v>115802.784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11.7</v>
      </c>
      <c r="E50" s="156">
        <v>11.02</v>
      </c>
      <c r="G50" s="190"/>
    </row>
    <row r="51" spans="2:7">
      <c r="B51" s="202" t="s">
        <v>6</v>
      </c>
      <c r="C51" s="203" t="s">
        <v>114</v>
      </c>
      <c r="D51" s="234">
        <v>11.24</v>
      </c>
      <c r="E51" s="81">
        <v>11.01</v>
      </c>
      <c r="G51" s="190"/>
    </row>
    <row r="52" spans="2:7">
      <c r="B52" s="202" t="s">
        <v>8</v>
      </c>
      <c r="C52" s="203" t="s">
        <v>115</v>
      </c>
      <c r="D52" s="234">
        <v>11.81</v>
      </c>
      <c r="E52" s="81">
        <v>11.85</v>
      </c>
    </row>
    <row r="53" spans="2:7" ht="13.5" thickBot="1">
      <c r="B53" s="206" t="s">
        <v>9</v>
      </c>
      <c r="C53" s="207" t="s">
        <v>41</v>
      </c>
      <c r="D53" s="235">
        <v>11.25</v>
      </c>
      <c r="E53" s="272">
        <v>11.82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1368788.91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1368788.91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1368788.91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1368788.91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2"/>
  <dimension ref="A1:L81"/>
  <sheetViews>
    <sheetView zoomScale="80" zoomScaleNormal="80" workbookViewId="0">
      <selection activeCell="G18" sqref="G18:L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1" max="11" width="12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221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4881.57</v>
      </c>
      <c r="E11" s="284">
        <f>SUM(E12:E14)</f>
        <v>2982.89</v>
      </c>
    </row>
    <row r="12" spans="2:12">
      <c r="B12" s="191" t="s">
        <v>4</v>
      </c>
      <c r="C12" s="192" t="s">
        <v>5</v>
      </c>
      <c r="D12" s="329">
        <v>4881.57</v>
      </c>
      <c r="E12" s="353">
        <v>2982.89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4881.57</v>
      </c>
      <c r="E21" s="155">
        <f>E11-E17</f>
        <v>2982.89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19781.22</v>
      </c>
      <c r="E26" s="270">
        <f>D21</f>
        <v>4881.57</v>
      </c>
      <c r="G26" s="80"/>
    </row>
    <row r="27" spans="2:11">
      <c r="B27" s="9" t="s">
        <v>17</v>
      </c>
      <c r="C27" s="10" t="s">
        <v>111</v>
      </c>
      <c r="D27" s="226">
        <v>1005.9700000000003</v>
      </c>
      <c r="E27" s="263">
        <f>E28-E32</f>
        <v>280.79000000000087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3231.42</v>
      </c>
      <c r="E28" s="264">
        <f>SUM(E29:E31)</f>
        <v>33079.39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1318.58</v>
      </c>
      <c r="E29" s="265">
        <v>474.84</v>
      </c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1912.84</v>
      </c>
      <c r="E31" s="265">
        <v>32604.55</v>
      </c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2225.4499999999998</v>
      </c>
      <c r="E32" s="264">
        <f>SUM(E33:E39)</f>
        <v>32798.6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178.04</v>
      </c>
      <c r="E33" s="265">
        <v>2376.4899999999998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119.7</v>
      </c>
      <c r="E35" s="265">
        <v>72.16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148.4</v>
      </c>
      <c r="E37" s="265">
        <v>50.05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1779.31</v>
      </c>
      <c r="E39" s="266">
        <v>30299.9</v>
      </c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-1643.58</v>
      </c>
      <c r="E40" s="271">
        <v>-2179.4699999999998</v>
      </c>
      <c r="G40" s="80"/>
    </row>
    <row r="41" spans="2:10" ht="13.5" thickBot="1">
      <c r="B41" s="106" t="s">
        <v>37</v>
      </c>
      <c r="C41" s="107" t="s">
        <v>38</v>
      </c>
      <c r="D41" s="230">
        <v>19143.61</v>
      </c>
      <c r="E41" s="155">
        <f>E26+E27+E40</f>
        <v>2982.8900000000008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168.99799999999999</v>
      </c>
      <c r="E47" s="156">
        <v>50.686</v>
      </c>
      <c r="G47" s="76"/>
    </row>
    <row r="48" spans="2:10">
      <c r="B48" s="204" t="s">
        <v>6</v>
      </c>
      <c r="C48" s="205" t="s">
        <v>41</v>
      </c>
      <c r="D48" s="232">
        <v>176.87899999999999</v>
      </c>
      <c r="E48" s="156">
        <v>28.190999999999999</v>
      </c>
      <c r="G48" s="16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117.05</v>
      </c>
      <c r="E50" s="156">
        <v>96.31</v>
      </c>
      <c r="G50" s="190"/>
    </row>
    <row r="51" spans="2:7">
      <c r="B51" s="202" t="s">
        <v>6</v>
      </c>
      <c r="C51" s="203" t="s">
        <v>114</v>
      </c>
      <c r="D51" s="234">
        <v>105.39</v>
      </c>
      <c r="E51" s="156">
        <v>94.75</v>
      </c>
      <c r="G51" s="190"/>
    </row>
    <row r="52" spans="2:7">
      <c r="B52" s="202" t="s">
        <v>8</v>
      </c>
      <c r="C52" s="203" t="s">
        <v>115</v>
      </c>
      <c r="D52" s="234">
        <v>125.74</v>
      </c>
      <c r="E52" s="81">
        <v>108.42</v>
      </c>
    </row>
    <row r="53" spans="2:7" ht="13.5" customHeight="1" thickBot="1">
      <c r="B53" s="206" t="s">
        <v>9</v>
      </c>
      <c r="C53" s="207" t="s">
        <v>41</v>
      </c>
      <c r="D53" s="235">
        <v>108.23</v>
      </c>
      <c r="E53" s="272">
        <v>105.81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2982.89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2982.89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2982.89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2982.89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3"/>
  <dimension ref="A1:L81"/>
  <sheetViews>
    <sheetView zoomScale="80" zoomScaleNormal="80" workbookViewId="0">
      <selection activeCell="G18" sqref="G18:O4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5703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  <c r="H5" s="167"/>
      <c r="I5" s="167"/>
      <c r="J5" s="167"/>
    </row>
    <row r="6" spans="2:12" ht="14.25">
      <c r="B6" s="497" t="s">
        <v>222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532372</v>
      </c>
      <c r="E11" s="284">
        <f>SUM(E12:E14)</f>
        <v>553101.42000000004</v>
      </c>
    </row>
    <row r="12" spans="2:12">
      <c r="B12" s="191" t="s">
        <v>4</v>
      </c>
      <c r="C12" s="192" t="s">
        <v>5</v>
      </c>
      <c r="D12" s="329">
        <v>532372</v>
      </c>
      <c r="E12" s="353">
        <f>554699.05-1597.63</f>
        <v>553101.42000000004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532372</v>
      </c>
      <c r="E21" s="155">
        <f>E11-E17</f>
        <v>553101.42000000004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456609.17</v>
      </c>
      <c r="E26" s="270">
        <f>D21</f>
        <v>532372</v>
      </c>
      <c r="G26" s="80"/>
    </row>
    <row r="27" spans="2:11">
      <c r="B27" s="9" t="s">
        <v>17</v>
      </c>
      <c r="C27" s="10" t="s">
        <v>111</v>
      </c>
      <c r="D27" s="226">
        <v>45268.15</v>
      </c>
      <c r="E27" s="263">
        <f>E28-E32</f>
        <v>15451.740000000005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57315.61</v>
      </c>
      <c r="E28" s="264">
        <f>SUM(E29:E31)</f>
        <v>43290.130000000005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16870.099999999999</v>
      </c>
      <c r="E29" s="265">
        <v>18922.04</v>
      </c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40445.51</v>
      </c>
      <c r="E31" s="265">
        <v>24368.09</v>
      </c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12047.46</v>
      </c>
      <c r="E32" s="264">
        <f>SUM(E33:E39)</f>
        <v>27838.39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4325.2199999999993</v>
      </c>
      <c r="E33" s="265">
        <v>18807.22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1535.71</v>
      </c>
      <c r="E35" s="265">
        <v>1730.75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3751.69</v>
      </c>
      <c r="E37" s="265">
        <v>4138.37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2434.84</v>
      </c>
      <c r="E39" s="266">
        <v>3162.05</v>
      </c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6733.09</v>
      </c>
      <c r="E40" s="271">
        <v>5277.68</v>
      </c>
      <c r="G40" s="80"/>
    </row>
    <row r="41" spans="2:10" ht="13.5" thickBot="1">
      <c r="B41" s="106" t="s">
        <v>37</v>
      </c>
      <c r="C41" s="107" t="s">
        <v>38</v>
      </c>
      <c r="D41" s="230">
        <v>508610.41000000003</v>
      </c>
      <c r="E41" s="155">
        <f>E26+E27+E40</f>
        <v>553101.42000000004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2186.3020000000001</v>
      </c>
      <c r="E47" s="156">
        <v>2482.7309599999999</v>
      </c>
      <c r="G47" s="76"/>
    </row>
    <row r="48" spans="2:10">
      <c r="B48" s="204" t="s">
        <v>6</v>
      </c>
      <c r="C48" s="205" t="s">
        <v>41</v>
      </c>
      <c r="D48" s="232">
        <v>2408.837</v>
      </c>
      <c r="E48" s="156">
        <f>E21/E53</f>
        <v>2554.6229735347101</v>
      </c>
      <c r="G48" s="210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208.85</v>
      </c>
      <c r="E50" s="156">
        <v>214.43</v>
      </c>
      <c r="G50" s="190"/>
    </row>
    <row r="51" spans="2:7">
      <c r="B51" s="202" t="s">
        <v>6</v>
      </c>
      <c r="C51" s="203" t="s">
        <v>114</v>
      </c>
      <c r="D51" s="234">
        <v>207.65</v>
      </c>
      <c r="E51" s="156">
        <v>214.09</v>
      </c>
      <c r="G51" s="190"/>
    </row>
    <row r="52" spans="2:7">
      <c r="B52" s="202" t="s">
        <v>8</v>
      </c>
      <c r="C52" s="203" t="s">
        <v>115</v>
      </c>
      <c r="D52" s="234">
        <v>212.52</v>
      </c>
      <c r="E52" s="81">
        <v>216.89000000000001</v>
      </c>
    </row>
    <row r="53" spans="2:7" ht="13.5" thickBot="1">
      <c r="B53" s="206" t="s">
        <v>9</v>
      </c>
      <c r="C53" s="207" t="s">
        <v>41</v>
      </c>
      <c r="D53" s="235">
        <v>211.69</v>
      </c>
      <c r="E53" s="272">
        <v>216.51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553101.42000000004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24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553101.42000000004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553101.42000000004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553101.42000000004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" right="0.75" top="0.56000000000000005" bottom="0.59" header="0.5" footer="0.5"/>
  <pageSetup paperSize="9" scale="70" orientation="portrait" r:id="rId1"/>
  <headerFooter alignWithMargins="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4"/>
  <dimension ref="A1:L81"/>
  <sheetViews>
    <sheetView zoomScale="80" zoomScaleNormal="80" workbookViewId="0">
      <selection activeCell="G19" sqref="G19:L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0.5703125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223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208477.12</v>
      </c>
      <c r="E11" s="284">
        <f>SUM(E12:E14)</f>
        <v>153982.99</v>
      </c>
    </row>
    <row r="12" spans="2:12">
      <c r="B12" s="191" t="s">
        <v>4</v>
      </c>
      <c r="C12" s="192" t="s">
        <v>5</v>
      </c>
      <c r="D12" s="329">
        <v>208477.12</v>
      </c>
      <c r="E12" s="353">
        <f>156599.34-2616.35</f>
        <v>153982.99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208477.12</v>
      </c>
      <c r="E21" s="155">
        <f>E11-E17</f>
        <v>153982.99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  <c r="H22" s="167"/>
    </row>
    <row r="23" spans="2:11" ht="13.5">
      <c r="B23" s="499" t="s">
        <v>104</v>
      </c>
      <c r="C23" s="509"/>
      <c r="D23" s="509"/>
      <c r="E23" s="509"/>
      <c r="G23" s="76"/>
      <c r="I23" s="161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247550.44</v>
      </c>
      <c r="E26" s="270">
        <f>D21</f>
        <v>208477.12</v>
      </c>
      <c r="G26" s="80"/>
    </row>
    <row r="27" spans="2:11">
      <c r="B27" s="9" t="s">
        <v>17</v>
      </c>
      <c r="C27" s="10" t="s">
        <v>111</v>
      </c>
      <c r="D27" s="226">
        <v>-28096.78</v>
      </c>
      <c r="E27" s="263">
        <f>E28-E32</f>
        <v>-57765.799999999996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27316.949999999997</v>
      </c>
      <c r="E28" s="264">
        <f>SUM(E29:E31)</f>
        <v>17198.010000000002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18242.46</v>
      </c>
      <c r="E29" s="265">
        <v>12524.74</v>
      </c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9074.49</v>
      </c>
      <c r="E31" s="265">
        <v>4673.2700000000004</v>
      </c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55413.729999999996</v>
      </c>
      <c r="E32" s="264">
        <f>SUM(E33:E39)</f>
        <v>74963.81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26436.309999999998</v>
      </c>
      <c r="E33" s="265">
        <v>11388.59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1576.01</v>
      </c>
      <c r="E35" s="265">
        <v>1340.36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819.53</v>
      </c>
      <c r="E37" s="265">
        <v>654.45000000000005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26581.88</v>
      </c>
      <c r="E39" s="266">
        <v>61580.41</v>
      </c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-6001.95</v>
      </c>
      <c r="E40" s="271">
        <v>3271.67</v>
      </c>
      <c r="G40" s="80"/>
    </row>
    <row r="41" spans="2:10" ht="13.5" thickBot="1">
      <c r="B41" s="106" t="s">
        <v>37</v>
      </c>
      <c r="C41" s="107" t="s">
        <v>38</v>
      </c>
      <c r="D41" s="230">
        <v>213451.71</v>
      </c>
      <c r="E41" s="155">
        <f>E26+E27+E40</f>
        <v>153982.99000000002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1508.626</v>
      </c>
      <c r="E47" s="274">
        <v>1300.21903</v>
      </c>
      <c r="G47" s="76"/>
    </row>
    <row r="48" spans="2:10">
      <c r="B48" s="204" t="s">
        <v>6</v>
      </c>
      <c r="C48" s="205" t="s">
        <v>41</v>
      </c>
      <c r="D48" s="232">
        <v>1334.99099</v>
      </c>
      <c r="E48" s="274">
        <f>E21/E53</f>
        <v>945.49300012280469</v>
      </c>
      <c r="G48" s="210"/>
    </row>
    <row r="49" spans="2:7">
      <c r="B49" s="127" t="s">
        <v>23</v>
      </c>
      <c r="C49" s="131" t="s">
        <v>113</v>
      </c>
      <c r="D49" s="233"/>
      <c r="E49" s="237"/>
    </row>
    <row r="50" spans="2:7">
      <c r="B50" s="202" t="s">
        <v>4</v>
      </c>
      <c r="C50" s="203" t="s">
        <v>40</v>
      </c>
      <c r="D50" s="231">
        <v>164.09</v>
      </c>
      <c r="E50" s="275">
        <v>160.34</v>
      </c>
      <c r="G50" s="190"/>
    </row>
    <row r="51" spans="2:7">
      <c r="B51" s="202" t="s">
        <v>6</v>
      </c>
      <c r="C51" s="203" t="s">
        <v>114</v>
      </c>
      <c r="D51" s="234">
        <v>159.22999999999999</v>
      </c>
      <c r="E51" s="312">
        <v>159.46</v>
      </c>
      <c r="G51" s="190"/>
    </row>
    <row r="52" spans="2:7">
      <c r="B52" s="202" t="s">
        <v>8</v>
      </c>
      <c r="C52" s="203" t="s">
        <v>115</v>
      </c>
      <c r="D52" s="234">
        <v>166.89</v>
      </c>
      <c r="E52" s="312">
        <v>163.69</v>
      </c>
    </row>
    <row r="53" spans="2:7" ht="13.5" customHeight="1" thickBot="1">
      <c r="B53" s="206" t="s">
        <v>9</v>
      </c>
      <c r="C53" s="207" t="s">
        <v>41</v>
      </c>
      <c r="D53" s="235">
        <v>159.88999999999999</v>
      </c>
      <c r="E53" s="272">
        <v>162.86000000000001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153982.99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4.2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E12</f>
        <v>153982.99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7" t="s">
        <v>64</v>
      </c>
      <c r="C74" s="128" t="s">
        <v>66</v>
      </c>
      <c r="D74" s="129">
        <f>D58-D73</f>
        <v>153982.99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153982.99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55000000000000004" bottom="0.46" header="0.5" footer="0.5"/>
  <pageSetup paperSize="9" scale="70" orientation="portrait" r:id="rId1"/>
  <headerFooter alignWithMargins="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5"/>
  <dimension ref="A1:L81"/>
  <sheetViews>
    <sheetView zoomScale="80" zoomScaleNormal="80" workbookViewId="0">
      <selection activeCell="G16" sqref="G16:L4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224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104822.06</v>
      </c>
      <c r="E11" s="284">
        <f>SUM(E12:E14)</f>
        <v>20392.019999999997</v>
      </c>
    </row>
    <row r="12" spans="2:12">
      <c r="B12" s="191" t="s">
        <v>4</v>
      </c>
      <c r="C12" s="192" t="s">
        <v>5</v>
      </c>
      <c r="D12" s="329">
        <v>104822.06</v>
      </c>
      <c r="E12" s="353">
        <f>21127.01-734.99</f>
        <v>20392.019999999997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104822.06</v>
      </c>
      <c r="E21" s="155">
        <f>E11-E17</f>
        <v>20392.019999999997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  <c r="H22" s="167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  <c r="H25" s="161"/>
    </row>
    <row r="26" spans="2:11">
      <c r="B26" s="102" t="s">
        <v>15</v>
      </c>
      <c r="C26" s="103" t="s">
        <v>16</v>
      </c>
      <c r="D26" s="225">
        <v>351768.4</v>
      </c>
      <c r="E26" s="270">
        <f>D21</f>
        <v>104822.06</v>
      </c>
      <c r="G26" s="80"/>
    </row>
    <row r="27" spans="2:11">
      <c r="B27" s="9" t="s">
        <v>17</v>
      </c>
      <c r="C27" s="10" t="s">
        <v>111</v>
      </c>
      <c r="D27" s="226">
        <v>-228753.62</v>
      </c>
      <c r="E27" s="263">
        <f>E28-E32</f>
        <v>-87054.95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9875.7999999999993</v>
      </c>
      <c r="E28" s="264">
        <f>SUM(E29:E31)</f>
        <v>3394.98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6074.38</v>
      </c>
      <c r="E29" s="265">
        <v>3394.98</v>
      </c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3801.42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238629.41999999998</v>
      </c>
      <c r="E32" s="264">
        <f>SUM(E33:E39)</f>
        <v>90449.93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212689.63</v>
      </c>
      <c r="E33" s="265">
        <v>20015.13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378.11</v>
      </c>
      <c r="E35" s="265">
        <v>247.38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2101.0100000000002</v>
      </c>
      <c r="E37" s="265">
        <v>244.38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23460.67</v>
      </c>
      <c r="E39" s="266">
        <v>69943.039999999994</v>
      </c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-11401.78</v>
      </c>
      <c r="E40" s="271">
        <v>2624.91</v>
      </c>
      <c r="G40" s="80"/>
    </row>
    <row r="41" spans="2:10" ht="13.5" thickBot="1">
      <c r="B41" s="106" t="s">
        <v>37</v>
      </c>
      <c r="C41" s="107" t="s">
        <v>38</v>
      </c>
      <c r="D41" s="230">
        <v>111613.00000000003</v>
      </c>
      <c r="E41" s="155">
        <f>E26+E27+E40</f>
        <v>20392.02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2405.5830000000001</v>
      </c>
      <c r="E47" s="156">
        <v>763.28594999999996</v>
      </c>
      <c r="G47" s="76"/>
    </row>
    <row r="48" spans="2:10">
      <c r="B48" s="204" t="s">
        <v>6</v>
      </c>
      <c r="C48" s="205" t="s">
        <v>41</v>
      </c>
      <c r="D48" s="232">
        <v>820.476</v>
      </c>
      <c r="E48" s="156">
        <f>E21/E53</f>
        <v>145.07697780307339</v>
      </c>
      <c r="G48" s="210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146.22999999999999</v>
      </c>
      <c r="E50" s="156">
        <v>137.33000000000001</v>
      </c>
      <c r="G50" s="190"/>
    </row>
    <row r="51" spans="2:7">
      <c r="B51" s="202" t="s">
        <v>6</v>
      </c>
      <c r="C51" s="203" t="s">
        <v>114</v>
      </c>
      <c r="D51" s="234">
        <v>136.83000000000001</v>
      </c>
      <c r="E51" s="156">
        <v>135.59</v>
      </c>
      <c r="G51" s="190"/>
    </row>
    <row r="52" spans="2:7">
      <c r="B52" s="202" t="s">
        <v>8</v>
      </c>
      <c r="C52" s="203" t="s">
        <v>115</v>
      </c>
      <c r="D52" s="234">
        <v>150.63</v>
      </c>
      <c r="E52" s="81">
        <v>142.28</v>
      </c>
    </row>
    <row r="53" spans="2:7" ht="12.75" customHeight="1" thickBot="1">
      <c r="B53" s="206" t="s">
        <v>9</v>
      </c>
      <c r="C53" s="207" t="s">
        <v>41</v>
      </c>
      <c r="D53" s="235">
        <v>137.88999999999999</v>
      </c>
      <c r="E53" s="272">
        <v>140.56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20392.019999999997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20392.019999999997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20392.019999999997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20392.019999999997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" right="0.75" top="0.59" bottom="0.49" header="0.5" footer="0.5"/>
  <pageSetup paperSize="9" scale="70" orientation="portrait" r:id="rId1"/>
  <headerFooter alignWithMargins="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6"/>
  <dimension ref="A1:L81"/>
  <sheetViews>
    <sheetView zoomScale="80" zoomScaleNormal="80" workbookViewId="0">
      <selection activeCell="G17" sqref="G17:L4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225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101938.44</v>
      </c>
      <c r="E11" s="284">
        <f>SUM(E12:E14)</f>
        <v>99629.119999999995</v>
      </c>
    </row>
    <row r="12" spans="2:12">
      <c r="B12" s="191" t="s">
        <v>4</v>
      </c>
      <c r="C12" s="192" t="s">
        <v>5</v>
      </c>
      <c r="D12" s="329">
        <v>101938.44</v>
      </c>
      <c r="E12" s="353">
        <v>99629.119999999995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101938.44</v>
      </c>
      <c r="E21" s="155">
        <f>E11-E17</f>
        <v>99629.119999999995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264424.64</v>
      </c>
      <c r="E26" s="270">
        <f>D21</f>
        <v>101938.44</v>
      </c>
      <c r="G26" s="80"/>
    </row>
    <row r="27" spans="2:11">
      <c r="B27" s="9" t="s">
        <v>17</v>
      </c>
      <c r="C27" s="10" t="s">
        <v>111</v>
      </c>
      <c r="D27" s="226">
        <v>-74057.78</v>
      </c>
      <c r="E27" s="263">
        <f>E28-E32</f>
        <v>-1289.44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74057.78</v>
      </c>
      <c r="E32" s="264">
        <f>SUM(E33:E39)</f>
        <v>1289.44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55833.9</v>
      </c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529.47</v>
      </c>
      <c r="E35" s="265">
        <v>405.15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952.14</v>
      </c>
      <c r="E37" s="265">
        <v>884.29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16742.27</v>
      </c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-33451.26</v>
      </c>
      <c r="E40" s="271">
        <v>-1019.88</v>
      </c>
      <c r="G40" s="80"/>
    </row>
    <row r="41" spans="2:10" ht="13.5" thickBot="1">
      <c r="B41" s="106" t="s">
        <v>37</v>
      </c>
      <c r="C41" s="107" t="s">
        <v>38</v>
      </c>
      <c r="D41" s="230">
        <v>156915.6</v>
      </c>
      <c r="E41" s="155">
        <f>E26+E27+E40</f>
        <v>99629.119999999995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2103.6169</v>
      </c>
      <c r="E47" s="156">
        <v>999.88660000000004</v>
      </c>
      <c r="G47" s="76"/>
    </row>
    <row r="48" spans="2:10">
      <c r="B48" s="204" t="s">
        <v>6</v>
      </c>
      <c r="C48" s="205" t="s">
        <v>41</v>
      </c>
      <c r="D48" s="232">
        <v>1460.9031</v>
      </c>
      <c r="E48" s="156">
        <v>987.30669999999998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125.7</v>
      </c>
      <c r="E50" s="156">
        <v>101.95</v>
      </c>
      <c r="G50" s="190"/>
    </row>
    <row r="51" spans="2:7">
      <c r="B51" s="202" t="s">
        <v>6</v>
      </c>
      <c r="C51" s="203" t="s">
        <v>114</v>
      </c>
      <c r="D51" s="234">
        <v>106.15</v>
      </c>
      <c r="E51" s="156">
        <v>95.81</v>
      </c>
      <c r="G51" s="190"/>
    </row>
    <row r="52" spans="2:7">
      <c r="B52" s="202" t="s">
        <v>8</v>
      </c>
      <c r="C52" s="203" t="s">
        <v>115</v>
      </c>
      <c r="D52" s="234">
        <v>131.03</v>
      </c>
      <c r="E52" s="81">
        <v>107.57000000000001</v>
      </c>
    </row>
    <row r="53" spans="2:7" ht="14.25" customHeight="1" thickBot="1">
      <c r="B53" s="206" t="s">
        <v>9</v>
      </c>
      <c r="C53" s="207" t="s">
        <v>41</v>
      </c>
      <c r="D53" s="235">
        <v>107.41</v>
      </c>
      <c r="E53" s="272">
        <v>100.91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99629.119999999995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99629.119999999995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99629.119999999995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99629.119999999995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7"/>
  <dimension ref="A1:L81"/>
  <sheetViews>
    <sheetView zoomScale="80" zoomScaleNormal="80" workbookViewId="0">
      <selection activeCell="C52" sqref="C5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226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693310.99</v>
      </c>
      <c r="E11" s="284">
        <f>SUM(E12:E14)</f>
        <v>688379.24</v>
      </c>
    </row>
    <row r="12" spans="2:12">
      <c r="B12" s="191" t="s">
        <v>4</v>
      </c>
      <c r="C12" s="192" t="s">
        <v>5</v>
      </c>
      <c r="D12" s="329">
        <v>693310.99</v>
      </c>
      <c r="E12" s="353">
        <v>688379.24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693310.99</v>
      </c>
      <c r="E21" s="155">
        <f>E11-E17</f>
        <v>688379.24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992505.74</v>
      </c>
      <c r="E26" s="270">
        <f>D21</f>
        <v>693310.99</v>
      </c>
      <c r="G26" s="80"/>
    </row>
    <row r="27" spans="2:11">
      <c r="B27" s="9" t="s">
        <v>17</v>
      </c>
      <c r="C27" s="10" t="s">
        <v>111</v>
      </c>
      <c r="D27" s="226">
        <v>-7779.83</v>
      </c>
      <c r="E27" s="263">
        <f>E28-E32</f>
        <v>-6092.96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7779.83</v>
      </c>
      <c r="E32" s="264">
        <f>SUM(E33:E39)</f>
        <v>6092.96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341.83</v>
      </c>
      <c r="E35" s="265">
        <v>518.84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7438</v>
      </c>
      <c r="E37" s="265">
        <v>5574.12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-151342.92000000001</v>
      </c>
      <c r="E40" s="271">
        <v>1161.21</v>
      </c>
      <c r="G40" s="80"/>
    </row>
    <row r="41" spans="2:10" ht="13.5" thickBot="1">
      <c r="B41" s="106" t="s">
        <v>37</v>
      </c>
      <c r="C41" s="107" t="s">
        <v>38</v>
      </c>
      <c r="D41" s="230">
        <v>833382.99</v>
      </c>
      <c r="E41" s="155">
        <f>E26+E27+E40</f>
        <v>688379.24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9333.3245999999999</v>
      </c>
      <c r="E47" s="156">
        <v>8478.7940999999992</v>
      </c>
      <c r="G47" s="76"/>
    </row>
    <row r="48" spans="2:10">
      <c r="B48" s="204" t="s">
        <v>6</v>
      </c>
      <c r="C48" s="205" t="s">
        <v>41</v>
      </c>
      <c r="D48" s="232">
        <v>9255.6973999999991</v>
      </c>
      <c r="E48" s="156">
        <v>8405.1188999999995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106.34</v>
      </c>
      <c r="E50" s="156">
        <v>81.77</v>
      </c>
      <c r="G50" s="190"/>
    </row>
    <row r="51" spans="2:7">
      <c r="B51" s="202" t="s">
        <v>6</v>
      </c>
      <c r="C51" s="203" t="s">
        <v>114</v>
      </c>
      <c r="D51" s="234">
        <v>89.08</v>
      </c>
      <c r="E51" s="156">
        <v>77.73</v>
      </c>
      <c r="G51" s="190"/>
    </row>
    <row r="52" spans="2:7">
      <c r="B52" s="202" t="s">
        <v>8</v>
      </c>
      <c r="C52" s="203" t="s">
        <v>115</v>
      </c>
      <c r="D52" s="234">
        <v>109.91</v>
      </c>
      <c r="E52" s="81">
        <v>86.38</v>
      </c>
    </row>
    <row r="53" spans="2:7" ht="12.75" customHeight="1" thickBot="1">
      <c r="B53" s="206" t="s">
        <v>9</v>
      </c>
      <c r="C53" s="207" t="s">
        <v>41</v>
      </c>
      <c r="D53" s="235">
        <v>90.04</v>
      </c>
      <c r="E53" s="272">
        <v>81.900000000000006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688379.24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688379.24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688379.24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688379.24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8">
    <pageSetUpPr fitToPage="1"/>
  </sheetPr>
  <dimension ref="A1:L81"/>
  <sheetViews>
    <sheetView zoomScale="80" zoomScaleNormal="80" workbookViewId="0">
      <selection activeCell="G20" sqref="G20:M4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  <c r="H5" s="167"/>
      <c r="I5" s="167"/>
      <c r="J5" s="167"/>
    </row>
    <row r="6" spans="2:12" ht="14.25">
      <c r="B6" s="497" t="s">
        <v>227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305221.19</v>
      </c>
      <c r="E11" s="284">
        <f>SUM(E12:E14)</f>
        <v>313531.67</v>
      </c>
    </row>
    <row r="12" spans="2:12">
      <c r="B12" s="191" t="s">
        <v>4</v>
      </c>
      <c r="C12" s="192" t="s">
        <v>5</v>
      </c>
      <c r="D12" s="329">
        <v>305221.19</v>
      </c>
      <c r="E12" s="353">
        <v>313531.67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305221.19</v>
      </c>
      <c r="E21" s="155">
        <f>E11-E17</f>
        <v>313531.67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1206221.68</v>
      </c>
      <c r="E26" s="270">
        <f>D21</f>
        <v>305221.19</v>
      </c>
      <c r="G26" s="80"/>
    </row>
    <row r="27" spans="2:11">
      <c r="B27" s="9" t="s">
        <v>17</v>
      </c>
      <c r="C27" s="10" t="s">
        <v>111</v>
      </c>
      <c r="D27" s="226">
        <v>-719322.24</v>
      </c>
      <c r="E27" s="263">
        <f>E28-E32</f>
        <v>-3497.45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719322.24</v>
      </c>
      <c r="E32" s="264">
        <f>SUM(E33:E39)</f>
        <v>3497.45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42365.17</v>
      </c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110.52</v>
      </c>
      <c r="E35" s="265">
        <v>0.83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7268.3</v>
      </c>
      <c r="E37" s="265">
        <v>2501.69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669578.25</v>
      </c>
      <c r="E39" s="266">
        <v>994.93</v>
      </c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-113833.86</v>
      </c>
      <c r="E40" s="271">
        <v>11807.93</v>
      </c>
      <c r="G40" s="80"/>
    </row>
    <row r="41" spans="2:10" ht="13.5" thickBot="1">
      <c r="B41" s="106" t="s">
        <v>37</v>
      </c>
      <c r="C41" s="107" t="s">
        <v>38</v>
      </c>
      <c r="D41" s="230">
        <v>373065.57999999996</v>
      </c>
      <c r="E41" s="155">
        <f>E26+E27+E40</f>
        <v>313531.67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22525.148099999999</v>
      </c>
      <c r="E47" s="156">
        <v>8117.5848999999998</v>
      </c>
      <c r="G47" s="76"/>
    </row>
    <row r="48" spans="2:10">
      <c r="B48" s="204" t="s">
        <v>6</v>
      </c>
      <c r="C48" s="205" t="s">
        <v>41</v>
      </c>
      <c r="D48" s="232">
        <v>8183.0572000000002</v>
      </c>
      <c r="E48" s="156">
        <v>8026.9243999999999</v>
      </c>
      <c r="G48" s="16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53.55</v>
      </c>
      <c r="E50" s="156">
        <v>37.6</v>
      </c>
      <c r="G50" s="190"/>
    </row>
    <row r="51" spans="2:7">
      <c r="B51" s="202" t="s">
        <v>6</v>
      </c>
      <c r="C51" s="203" t="s">
        <v>114</v>
      </c>
      <c r="D51" s="234">
        <v>45.3</v>
      </c>
      <c r="E51" s="156">
        <v>37.29</v>
      </c>
      <c r="G51" s="190"/>
    </row>
    <row r="52" spans="2:7">
      <c r="B52" s="202" t="s">
        <v>8</v>
      </c>
      <c r="C52" s="203" t="s">
        <v>115</v>
      </c>
      <c r="D52" s="234">
        <v>55.83</v>
      </c>
      <c r="E52" s="81">
        <v>40.49</v>
      </c>
    </row>
    <row r="53" spans="2:7" ht="14.25" customHeight="1" thickBot="1">
      <c r="B53" s="206" t="s">
        <v>9</v>
      </c>
      <c r="C53" s="207" t="s">
        <v>41</v>
      </c>
      <c r="D53" s="235">
        <v>45.59</v>
      </c>
      <c r="E53" s="272">
        <v>39.06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313531.67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313531.67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313531.67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313531.67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Q81"/>
  <sheetViews>
    <sheetView tabSelected="1" topLeftCell="A29" zoomScale="80" zoomScaleNormal="80" workbookViewId="0">
      <selection activeCell="G71" sqref="G7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2"/>
      <c r="C4" s="92"/>
      <c r="D4" s="92"/>
      <c r="E4" s="92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124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282"/>
      <c r="C10" s="246" t="s">
        <v>2</v>
      </c>
      <c r="D10" s="73" t="s">
        <v>127</v>
      </c>
      <c r="E10" s="29" t="s">
        <v>145</v>
      </c>
    </row>
    <row r="11" spans="2:12">
      <c r="B11" s="97" t="s">
        <v>3</v>
      </c>
      <c r="C11" s="214" t="s">
        <v>109</v>
      </c>
      <c r="D11" s="283">
        <v>242909.18</v>
      </c>
      <c r="E11" s="284">
        <f>SUM(E12:E14)</f>
        <v>258355.40999999997</v>
      </c>
    </row>
    <row r="12" spans="2:12">
      <c r="B12" s="191" t="s">
        <v>4</v>
      </c>
      <c r="C12" s="321" t="s">
        <v>5</v>
      </c>
      <c r="D12" s="329">
        <v>241363.24</v>
      </c>
      <c r="E12" s="353">
        <f>230038.36+27982.3+0.77-536.36</f>
        <v>257485.06999999998</v>
      </c>
    </row>
    <row r="13" spans="2:12">
      <c r="B13" s="191" t="s">
        <v>6</v>
      </c>
      <c r="C13" s="321" t="s">
        <v>7</v>
      </c>
      <c r="D13" s="322"/>
      <c r="E13" s="354">
        <v>361.18</v>
      </c>
    </row>
    <row r="14" spans="2:12">
      <c r="B14" s="191" t="s">
        <v>8</v>
      </c>
      <c r="C14" s="321" t="s">
        <v>10</v>
      </c>
      <c r="D14" s="322">
        <v>1545.94</v>
      </c>
      <c r="E14" s="354">
        <f>E15</f>
        <v>509.16</v>
      </c>
    </row>
    <row r="15" spans="2:12">
      <c r="B15" s="191" t="s">
        <v>106</v>
      </c>
      <c r="C15" s="321" t="s">
        <v>11</v>
      </c>
      <c r="D15" s="322">
        <v>1545.94</v>
      </c>
      <c r="E15" s="354">
        <v>509.16</v>
      </c>
    </row>
    <row r="16" spans="2:12">
      <c r="B16" s="194" t="s">
        <v>107</v>
      </c>
      <c r="C16" s="323" t="s">
        <v>12</v>
      </c>
      <c r="D16" s="324"/>
      <c r="E16" s="355"/>
    </row>
    <row r="17" spans="2:17">
      <c r="B17" s="9" t="s">
        <v>13</v>
      </c>
      <c r="C17" s="217" t="s">
        <v>65</v>
      </c>
      <c r="D17" s="325">
        <v>463.58</v>
      </c>
      <c r="E17" s="356">
        <f>E18</f>
        <v>723.31</v>
      </c>
    </row>
    <row r="18" spans="2:17">
      <c r="B18" s="191" t="s">
        <v>4</v>
      </c>
      <c r="C18" s="321" t="s">
        <v>11</v>
      </c>
      <c r="D18" s="324">
        <v>463.58</v>
      </c>
      <c r="E18" s="355">
        <v>723.31</v>
      </c>
    </row>
    <row r="19" spans="2:17" ht="15" customHeight="1">
      <c r="B19" s="191" t="s">
        <v>6</v>
      </c>
      <c r="C19" s="321" t="s">
        <v>108</v>
      </c>
      <c r="D19" s="322"/>
      <c r="E19" s="354"/>
    </row>
    <row r="20" spans="2:17" ht="13.5" thickBot="1">
      <c r="B20" s="196" t="s">
        <v>8</v>
      </c>
      <c r="C20" s="197" t="s">
        <v>14</v>
      </c>
      <c r="D20" s="285"/>
      <c r="E20" s="286"/>
    </row>
    <row r="21" spans="2:17" ht="13.5" thickBot="1">
      <c r="B21" s="505" t="s">
        <v>110</v>
      </c>
      <c r="C21" s="506"/>
      <c r="D21" s="287">
        <v>242445.6</v>
      </c>
      <c r="E21" s="155">
        <f>E11-E17</f>
        <v>257632.09999999998</v>
      </c>
      <c r="F21" s="83"/>
      <c r="G21" s="83"/>
      <c r="H21" s="176"/>
      <c r="J21" s="254"/>
      <c r="K21" s="70"/>
    </row>
    <row r="22" spans="2:17">
      <c r="B22" s="3"/>
      <c r="C22" s="7"/>
      <c r="D22" s="8"/>
      <c r="E22" s="8"/>
      <c r="G22" s="169"/>
    </row>
    <row r="23" spans="2:17" ht="13.5">
      <c r="B23" s="499" t="s">
        <v>104</v>
      </c>
      <c r="C23" s="509"/>
      <c r="D23" s="509"/>
      <c r="E23" s="509"/>
      <c r="G23" s="76"/>
    </row>
    <row r="24" spans="2:17" ht="16.5" customHeight="1" thickBot="1">
      <c r="B24" s="498" t="s">
        <v>105</v>
      </c>
      <c r="C24" s="510"/>
      <c r="D24" s="510"/>
      <c r="E24" s="510"/>
    </row>
    <row r="25" spans="2:17" ht="13.5" thickBot="1">
      <c r="B25" s="282"/>
      <c r="C25" s="198" t="s">
        <v>2</v>
      </c>
      <c r="D25" s="73" t="s">
        <v>125</v>
      </c>
      <c r="E25" s="29" t="s">
        <v>145</v>
      </c>
    </row>
    <row r="26" spans="2:17">
      <c r="B26" s="102" t="s">
        <v>15</v>
      </c>
      <c r="C26" s="103" t="s">
        <v>16</v>
      </c>
      <c r="D26" s="225">
        <v>238655.47999999998</v>
      </c>
      <c r="E26" s="270">
        <f>D21</f>
        <v>242445.6</v>
      </c>
      <c r="G26" s="80"/>
    </row>
    <row r="27" spans="2:17">
      <c r="B27" s="9" t="s">
        <v>17</v>
      </c>
      <c r="C27" s="10" t="s">
        <v>111</v>
      </c>
      <c r="D27" s="226">
        <v>31288.149999999998</v>
      </c>
      <c r="E27" s="263">
        <f>E28-E32</f>
        <v>23692.16</v>
      </c>
      <c r="F27" s="76"/>
      <c r="G27" s="368"/>
      <c r="H27" s="76"/>
      <c r="I27" s="76"/>
      <c r="J27" s="76"/>
    </row>
    <row r="28" spans="2:17">
      <c r="B28" s="9" t="s">
        <v>18</v>
      </c>
      <c r="C28" s="10" t="s">
        <v>19</v>
      </c>
      <c r="D28" s="226">
        <v>53778.49</v>
      </c>
      <c r="E28" s="264">
        <f>SUM(E29:E31)</f>
        <v>48428.46</v>
      </c>
      <c r="F28" s="76"/>
      <c r="G28" s="359"/>
      <c r="H28" s="76"/>
      <c r="I28" s="76"/>
      <c r="J28" s="76"/>
    </row>
    <row r="29" spans="2:17">
      <c r="B29" s="199" t="s">
        <v>4</v>
      </c>
      <c r="C29" s="192" t="s">
        <v>20</v>
      </c>
      <c r="D29" s="227">
        <v>53778.49</v>
      </c>
      <c r="E29" s="265">
        <v>48428.46</v>
      </c>
      <c r="F29" s="76"/>
      <c r="G29" s="359"/>
      <c r="H29" s="76"/>
      <c r="I29" s="76"/>
      <c r="J29" s="76"/>
    </row>
    <row r="30" spans="2:17">
      <c r="B30" s="199" t="s">
        <v>6</v>
      </c>
      <c r="C30" s="192" t="s">
        <v>21</v>
      </c>
      <c r="D30" s="227"/>
      <c r="E30" s="265"/>
      <c r="F30" s="76"/>
      <c r="G30" s="359"/>
      <c r="H30" s="76"/>
      <c r="I30" s="76"/>
      <c r="J30" s="76"/>
      <c r="Q30" s="190"/>
    </row>
    <row r="31" spans="2:17">
      <c r="B31" s="199" t="s">
        <v>8</v>
      </c>
      <c r="C31" s="192" t="s">
        <v>22</v>
      </c>
      <c r="D31" s="227"/>
      <c r="E31" s="265"/>
      <c r="F31" s="76"/>
      <c r="G31" s="359"/>
      <c r="H31" s="76"/>
      <c r="I31" s="76"/>
      <c r="J31" s="76"/>
    </row>
    <row r="32" spans="2:17">
      <c r="B32" s="99" t="s">
        <v>23</v>
      </c>
      <c r="C32" s="11" t="s">
        <v>24</v>
      </c>
      <c r="D32" s="226">
        <v>22490.34</v>
      </c>
      <c r="E32" s="264">
        <f>SUM(E33:E39)</f>
        <v>24736.3</v>
      </c>
      <c r="F32" s="76"/>
      <c r="G32" s="368"/>
      <c r="H32" s="76"/>
      <c r="I32" s="76"/>
      <c r="J32" s="76"/>
    </row>
    <row r="33" spans="2:17">
      <c r="B33" s="199" t="s">
        <v>4</v>
      </c>
      <c r="C33" s="192" t="s">
        <v>25</v>
      </c>
      <c r="D33" s="227">
        <v>13555.87</v>
      </c>
      <c r="E33" s="265">
        <f>15607.63+536.36</f>
        <v>16143.99</v>
      </c>
      <c r="F33" s="76"/>
      <c r="G33" s="359"/>
      <c r="H33" s="76"/>
      <c r="I33" s="76"/>
      <c r="J33" s="76"/>
    </row>
    <row r="34" spans="2:17">
      <c r="B34" s="199" t="s">
        <v>6</v>
      </c>
      <c r="C34" s="192" t="s">
        <v>26</v>
      </c>
      <c r="D34" s="227"/>
      <c r="E34" s="265"/>
      <c r="F34" s="76"/>
      <c r="G34" s="359"/>
      <c r="H34" s="76"/>
      <c r="I34" s="76"/>
      <c r="J34" s="76"/>
      <c r="Q34" s="190"/>
    </row>
    <row r="35" spans="2:17">
      <c r="B35" s="199" t="s">
        <v>8</v>
      </c>
      <c r="C35" s="192" t="s">
        <v>27</v>
      </c>
      <c r="D35" s="227">
        <v>3913.27</v>
      </c>
      <c r="E35" s="265">
        <v>3272.83</v>
      </c>
      <c r="F35" s="76"/>
      <c r="G35" s="359"/>
      <c r="H35" s="76"/>
      <c r="I35" s="76"/>
      <c r="J35" s="76"/>
    </row>
    <row r="36" spans="2:17">
      <c r="B36" s="199" t="s">
        <v>9</v>
      </c>
      <c r="C36" s="192" t="s">
        <v>28</v>
      </c>
      <c r="D36" s="227"/>
      <c r="E36" s="265"/>
      <c r="F36" s="76"/>
      <c r="G36" s="359"/>
      <c r="H36" s="76"/>
      <c r="I36" s="76"/>
      <c r="J36" s="76"/>
    </row>
    <row r="37" spans="2:17" ht="25.5">
      <c r="B37" s="199" t="s">
        <v>29</v>
      </c>
      <c r="C37" s="192" t="s">
        <v>30</v>
      </c>
      <c r="D37" s="227"/>
      <c r="E37" s="265"/>
      <c r="F37" s="76"/>
      <c r="G37" s="359"/>
      <c r="H37" s="76"/>
      <c r="I37" s="76"/>
      <c r="J37" s="76"/>
    </row>
    <row r="38" spans="2:17">
      <c r="B38" s="199" t="s">
        <v>31</v>
      </c>
      <c r="C38" s="192" t="s">
        <v>32</v>
      </c>
      <c r="D38" s="227"/>
      <c r="E38" s="265"/>
      <c r="F38" s="76"/>
      <c r="G38" s="359"/>
      <c r="H38" s="76"/>
      <c r="I38" s="76"/>
      <c r="J38" s="76"/>
    </row>
    <row r="39" spans="2:17">
      <c r="B39" s="200" t="s">
        <v>33</v>
      </c>
      <c r="C39" s="201" t="s">
        <v>34</v>
      </c>
      <c r="D39" s="228">
        <v>5021.2</v>
      </c>
      <c r="E39" s="266">
        <v>5319.48</v>
      </c>
      <c r="F39" s="76"/>
      <c r="G39" s="359"/>
      <c r="H39" s="76"/>
      <c r="I39" s="76"/>
      <c r="J39" s="76"/>
    </row>
    <row r="40" spans="2:17" ht="13.5" thickBot="1">
      <c r="B40" s="104" t="s">
        <v>35</v>
      </c>
      <c r="C40" s="105" t="s">
        <v>36</v>
      </c>
      <c r="D40" s="229">
        <v>-4177.38</v>
      </c>
      <c r="E40" s="271">
        <v>-8505.66</v>
      </c>
      <c r="G40" s="80"/>
    </row>
    <row r="41" spans="2:17" ht="13.5" thickBot="1">
      <c r="B41" s="106" t="s">
        <v>37</v>
      </c>
      <c r="C41" s="107" t="s">
        <v>38</v>
      </c>
      <c r="D41" s="230">
        <v>265766.25</v>
      </c>
      <c r="E41" s="155">
        <f>E26+E27+E40</f>
        <v>257632.1</v>
      </c>
      <c r="F41" s="83"/>
      <c r="G41" s="80"/>
    </row>
    <row r="42" spans="2:17">
      <c r="B42" s="100"/>
      <c r="C42" s="100"/>
      <c r="D42" s="101"/>
      <c r="E42" s="101"/>
      <c r="F42" s="83"/>
      <c r="G42" s="70"/>
    </row>
    <row r="43" spans="2:17" ht="13.5">
      <c r="B43" s="500" t="s">
        <v>60</v>
      </c>
      <c r="C43" s="501"/>
      <c r="D43" s="501"/>
      <c r="E43" s="501"/>
      <c r="G43" s="76"/>
    </row>
    <row r="44" spans="2:17" ht="15.75" customHeight="1" thickBot="1">
      <c r="B44" s="498" t="s">
        <v>121</v>
      </c>
      <c r="C44" s="502"/>
      <c r="D44" s="502"/>
      <c r="E44" s="502"/>
      <c r="G44" s="76"/>
    </row>
    <row r="45" spans="2:17" ht="13.5" thickBot="1">
      <c r="B45" s="93"/>
      <c r="C45" s="30" t="s">
        <v>39</v>
      </c>
      <c r="D45" s="73" t="s">
        <v>125</v>
      </c>
      <c r="E45" s="29" t="s">
        <v>145</v>
      </c>
      <c r="G45" s="76"/>
    </row>
    <row r="46" spans="2:17">
      <c r="B46" s="13" t="s">
        <v>18</v>
      </c>
      <c r="C46" s="31" t="s">
        <v>112</v>
      </c>
      <c r="D46" s="108"/>
      <c r="E46" s="28"/>
      <c r="G46" s="76"/>
    </row>
    <row r="47" spans="2:17">
      <c r="B47" s="109" t="s">
        <v>4</v>
      </c>
      <c r="C47" s="15" t="s">
        <v>40</v>
      </c>
      <c r="D47" s="231">
        <v>26187.101900000001</v>
      </c>
      <c r="E47" s="79">
        <v>30961.049299999999</v>
      </c>
      <c r="G47" s="76"/>
    </row>
    <row r="48" spans="2:17">
      <c r="B48" s="130" t="s">
        <v>6</v>
      </c>
      <c r="C48" s="22" t="s">
        <v>41</v>
      </c>
      <c r="D48" s="232">
        <v>29711.980889999999</v>
      </c>
      <c r="E48" s="317">
        <v>33902.975352344351</v>
      </c>
      <c r="G48" s="213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9.1134742939996691</v>
      </c>
      <c r="E50" s="79">
        <v>7.8306648347347796</v>
      </c>
      <c r="G50" s="190"/>
    </row>
    <row r="51" spans="2:7">
      <c r="B51" s="109" t="s">
        <v>6</v>
      </c>
      <c r="C51" s="15" t="s">
        <v>114</v>
      </c>
      <c r="D51" s="311">
        <v>8.6217000000000006</v>
      </c>
      <c r="E51" s="81">
        <v>7.3018999999999998</v>
      </c>
      <c r="G51" s="190"/>
    </row>
    <row r="52" spans="2:7">
      <c r="B52" s="109" t="s">
        <v>8</v>
      </c>
      <c r="C52" s="15" t="s">
        <v>115</v>
      </c>
      <c r="D52" s="311">
        <v>9.3289000000000009</v>
      </c>
      <c r="E52" s="81">
        <v>8.4795999999999996</v>
      </c>
    </row>
    <row r="53" spans="2:7" ht="13.5" thickBot="1">
      <c r="B53" s="110" t="s">
        <v>9</v>
      </c>
      <c r="C53" s="17" t="s">
        <v>41</v>
      </c>
      <c r="D53" s="235">
        <v>8.9447502998739399</v>
      </c>
      <c r="E53" s="272">
        <v>7.5991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SUM(D59:D70)</f>
        <v>257485.07</v>
      </c>
      <c r="E58" s="32">
        <f>D58/E21</f>
        <v>0.99942930248210538</v>
      </c>
    </row>
    <row r="59" spans="2:7" ht="25.5">
      <c r="B59" s="21" t="s">
        <v>4</v>
      </c>
      <c r="C59" s="22" t="s">
        <v>44</v>
      </c>
      <c r="D59" s="86">
        <v>0</v>
      </c>
      <c r="E59" s="87">
        <v>0</v>
      </c>
    </row>
    <row r="60" spans="2:7" ht="24" customHeight="1">
      <c r="B60" s="14" t="s">
        <v>6</v>
      </c>
      <c r="C60" s="15" t="s">
        <v>45</v>
      </c>
      <c r="D60" s="84">
        <v>0</v>
      </c>
      <c r="E60" s="85">
        <v>0</v>
      </c>
    </row>
    <row r="61" spans="2:7">
      <c r="B61" s="14" t="s">
        <v>8</v>
      </c>
      <c r="C61" s="15" t="s">
        <v>46</v>
      </c>
      <c r="D61" s="84">
        <v>0</v>
      </c>
      <c r="E61" s="85">
        <v>0</v>
      </c>
    </row>
    <row r="62" spans="2:7">
      <c r="B62" s="14" t="s">
        <v>9</v>
      </c>
      <c r="C62" s="15" t="s">
        <v>47</v>
      </c>
      <c r="D62" s="84">
        <f>230038.36-536.36</f>
        <v>229502</v>
      </c>
      <c r="E62" s="85">
        <f>D62/E21</f>
        <v>0.89081290724253703</v>
      </c>
    </row>
    <row r="63" spans="2:7">
      <c r="B63" s="14" t="s">
        <v>29</v>
      </c>
      <c r="C63" s="15" t="s">
        <v>48</v>
      </c>
      <c r="D63" s="84">
        <v>0</v>
      </c>
      <c r="E63" s="85">
        <v>0</v>
      </c>
    </row>
    <row r="64" spans="2:7">
      <c r="B64" s="21" t="s">
        <v>31</v>
      </c>
      <c r="C64" s="22" t="s">
        <v>49</v>
      </c>
      <c r="D64" s="314">
        <v>0</v>
      </c>
      <c r="E64" s="87">
        <f>D64/E21</f>
        <v>0</v>
      </c>
    </row>
    <row r="65" spans="2:8">
      <c r="B65" s="21" t="s">
        <v>33</v>
      </c>
      <c r="C65" s="22" t="s">
        <v>118</v>
      </c>
      <c r="D65" s="86">
        <v>0</v>
      </c>
      <c r="E65" s="87">
        <v>0</v>
      </c>
    </row>
    <row r="66" spans="2:8">
      <c r="B66" s="21" t="s">
        <v>50</v>
      </c>
      <c r="C66" s="22" t="s">
        <v>51</v>
      </c>
      <c r="D66" s="86">
        <v>0</v>
      </c>
      <c r="E66" s="87">
        <v>0</v>
      </c>
    </row>
    <row r="67" spans="2:8">
      <c r="B67" s="14" t="s">
        <v>52</v>
      </c>
      <c r="C67" s="15" t="s">
        <v>53</v>
      </c>
      <c r="D67" s="84">
        <v>0</v>
      </c>
      <c r="E67" s="85">
        <v>0</v>
      </c>
    </row>
    <row r="68" spans="2:8">
      <c r="B68" s="14" t="s">
        <v>54</v>
      </c>
      <c r="C68" s="15" t="s">
        <v>55</v>
      </c>
      <c r="D68" s="84">
        <v>0</v>
      </c>
      <c r="E68" s="85">
        <v>0</v>
      </c>
    </row>
    <row r="69" spans="2:8">
      <c r="B69" s="14" t="s">
        <v>56</v>
      </c>
      <c r="C69" s="15" t="s">
        <v>57</v>
      </c>
      <c r="D69" s="334">
        <v>27983.07</v>
      </c>
      <c r="E69" s="85">
        <f>D69/E21</f>
        <v>0.10861639523956837</v>
      </c>
    </row>
    <row r="70" spans="2:8">
      <c r="B70" s="119" t="s">
        <v>58</v>
      </c>
      <c r="C70" s="120" t="s">
        <v>59</v>
      </c>
      <c r="D70" s="121">
        <v>0</v>
      </c>
      <c r="E70" s="122">
        <v>0</v>
      </c>
    </row>
    <row r="71" spans="2:8">
      <c r="B71" s="127" t="s">
        <v>23</v>
      </c>
      <c r="C71" s="128" t="s">
        <v>61</v>
      </c>
      <c r="D71" s="129">
        <f>E13</f>
        <v>361.18</v>
      </c>
      <c r="E71" s="69">
        <f>D71/E21</f>
        <v>1.4019215773189756E-3</v>
      </c>
      <c r="G71" s="530"/>
    </row>
    <row r="72" spans="2:8">
      <c r="B72" s="123" t="s">
        <v>60</v>
      </c>
      <c r="C72" s="124" t="s">
        <v>63</v>
      </c>
      <c r="D72" s="125">
        <f>E14</f>
        <v>509.16</v>
      </c>
      <c r="E72" s="126">
        <f>D72/E21</f>
        <v>1.9763065239153041E-3</v>
      </c>
    </row>
    <row r="73" spans="2:8">
      <c r="B73" s="23" t="s">
        <v>62</v>
      </c>
      <c r="C73" s="24" t="s">
        <v>65</v>
      </c>
      <c r="D73" s="25">
        <f>E17</f>
        <v>723.31</v>
      </c>
      <c r="E73" s="26">
        <f>D73/E21</f>
        <v>2.8075305833395762E-3</v>
      </c>
    </row>
    <row r="74" spans="2:8">
      <c r="B74" s="127" t="s">
        <v>64</v>
      </c>
      <c r="C74" s="128" t="s">
        <v>66</v>
      </c>
      <c r="D74" s="129">
        <f>D58+D71+D72-D73</f>
        <v>257632.1</v>
      </c>
      <c r="E74" s="69">
        <f>E58+E71+E72-E73</f>
        <v>1.0000000000000002</v>
      </c>
    </row>
    <row r="75" spans="2:8">
      <c r="B75" s="14" t="s">
        <v>4</v>
      </c>
      <c r="C75" s="15" t="s">
        <v>67</v>
      </c>
      <c r="D75" s="84">
        <v>70038.7</v>
      </c>
      <c r="E75" s="85">
        <f>D75/E21</f>
        <v>0.27185548695213058</v>
      </c>
      <c r="G75" s="76"/>
      <c r="H75" s="190"/>
    </row>
    <row r="76" spans="2:8">
      <c r="B76" s="14" t="s">
        <v>6</v>
      </c>
      <c r="C76" s="15" t="s">
        <v>119</v>
      </c>
      <c r="D76" s="84">
        <v>0</v>
      </c>
      <c r="E76" s="85">
        <v>0</v>
      </c>
      <c r="G76" s="76"/>
      <c r="H76" s="190"/>
    </row>
    <row r="77" spans="2:8" ht="13.5" thickBot="1">
      <c r="B77" s="16" t="s">
        <v>8</v>
      </c>
      <c r="C77" s="17" t="s">
        <v>120</v>
      </c>
      <c r="D77" s="88">
        <v>187593.4</v>
      </c>
      <c r="E77" s="89">
        <f>D77/E21</f>
        <v>0.72814451304786942</v>
      </c>
    </row>
    <row r="78" spans="2:8">
      <c r="B78" s="1"/>
      <c r="C78" s="1"/>
      <c r="D78" s="2"/>
      <c r="E78" s="2"/>
    </row>
    <row r="79" spans="2:8">
      <c r="B79" s="1"/>
      <c r="C79" s="1"/>
      <c r="D79" s="2"/>
      <c r="E79" s="2"/>
    </row>
    <row r="80" spans="2:8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9"/>
  <dimension ref="A1:L81"/>
  <sheetViews>
    <sheetView zoomScale="80" zoomScaleNormal="80" workbookViewId="0">
      <selection activeCell="M32" sqref="M3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228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5828461.5199999996</v>
      </c>
      <c r="E11" s="284">
        <f>SUM(E12:E14)</f>
        <v>5803213.1500000004</v>
      </c>
    </row>
    <row r="12" spans="2:12">
      <c r="B12" s="191" t="s">
        <v>4</v>
      </c>
      <c r="C12" s="192" t="s">
        <v>5</v>
      </c>
      <c r="D12" s="329">
        <v>5828461.5199999996</v>
      </c>
      <c r="E12" s="353">
        <v>5803213.1500000004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5828461.5199999996</v>
      </c>
      <c r="E21" s="155">
        <f>E11-E17</f>
        <v>5803213.1500000004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10312940.49</v>
      </c>
      <c r="E26" s="270">
        <f>D21</f>
        <v>5828461.5199999996</v>
      </c>
      <c r="G26" s="80"/>
    </row>
    <row r="27" spans="2:11">
      <c r="B27" s="9" t="s">
        <v>17</v>
      </c>
      <c r="C27" s="10" t="s">
        <v>111</v>
      </c>
      <c r="D27" s="226">
        <v>-1656743.57</v>
      </c>
      <c r="E27" s="263">
        <f>E28-E32</f>
        <v>-381990.35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1656743.57</v>
      </c>
      <c r="E32" s="264">
        <f>SUM(E33:E39)</f>
        <v>381990.35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900565.98</v>
      </c>
      <c r="E33" s="265">
        <v>277935.68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24605.55</v>
      </c>
      <c r="E35" s="265">
        <v>28696.89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72009.87</v>
      </c>
      <c r="E37" s="265">
        <v>46908.29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659562.17000000004</v>
      </c>
      <c r="E39" s="266">
        <v>28449.49</v>
      </c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-944641.17</v>
      </c>
      <c r="E40" s="271">
        <v>356741.98</v>
      </c>
      <c r="G40" s="80"/>
    </row>
    <row r="41" spans="2:10" ht="13.5" thickBot="1">
      <c r="B41" s="106" t="s">
        <v>37</v>
      </c>
      <c r="C41" s="107" t="s">
        <v>38</v>
      </c>
      <c r="D41" s="230">
        <v>7711555.75</v>
      </c>
      <c r="E41" s="155">
        <f>E26+E27+E40</f>
        <v>5803213.1500000004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129738.8412</v>
      </c>
      <c r="E47" s="156">
        <v>92721.309500000003</v>
      </c>
      <c r="G47" s="76"/>
    </row>
    <row r="48" spans="2:10">
      <c r="B48" s="204" t="s">
        <v>6</v>
      </c>
      <c r="C48" s="205" t="s">
        <v>41</v>
      </c>
      <c r="D48" s="232">
        <v>107808.6922</v>
      </c>
      <c r="E48" s="156">
        <v>86861.445200000002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79.489999999999995</v>
      </c>
      <c r="E50" s="156">
        <v>62.86</v>
      </c>
      <c r="G50" s="190"/>
    </row>
    <row r="51" spans="2:7">
      <c r="B51" s="202" t="s">
        <v>6</v>
      </c>
      <c r="C51" s="203" t="s">
        <v>114</v>
      </c>
      <c r="D51" s="234">
        <v>70.36</v>
      </c>
      <c r="E51" s="156">
        <v>62.940000000000005</v>
      </c>
      <c r="G51" s="190"/>
    </row>
    <row r="52" spans="2:7">
      <c r="B52" s="202" t="s">
        <v>8</v>
      </c>
      <c r="C52" s="203" t="s">
        <v>115</v>
      </c>
      <c r="D52" s="234">
        <v>82.94</v>
      </c>
      <c r="E52" s="81">
        <v>67.59</v>
      </c>
    </row>
    <row r="53" spans="2:7" ht="14.25" customHeight="1" thickBot="1">
      <c r="B53" s="206" t="s">
        <v>9</v>
      </c>
      <c r="C53" s="207" t="s">
        <v>41</v>
      </c>
      <c r="D53" s="235">
        <v>71.53</v>
      </c>
      <c r="E53" s="272">
        <v>66.81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5803213.1500000004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5803213.1500000004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5803213.1500000004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5803213.1500000004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055118110236227" right="0.74803149606299213" top="0.59055118110236227" bottom="0.47244094488188981" header="0.51181102362204722" footer="0.51181102362204722"/>
  <pageSetup paperSize="9" scale="70" orientation="portrait" r:id="rId1"/>
  <headerFooter alignWithMargins="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0"/>
  <dimension ref="A1:L81"/>
  <sheetViews>
    <sheetView zoomScale="80" zoomScaleNormal="80" workbookViewId="0">
      <selection activeCell="G15" sqref="G15:N4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229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40117.21</v>
      </c>
      <c r="E11" s="284">
        <f>SUM(E12:E14)</f>
        <v>40673.72</v>
      </c>
    </row>
    <row r="12" spans="2:12">
      <c r="B12" s="191" t="s">
        <v>4</v>
      </c>
      <c r="C12" s="192" t="s">
        <v>5</v>
      </c>
      <c r="D12" s="329">
        <v>40117.21</v>
      </c>
      <c r="E12" s="353">
        <v>40673.72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40117.21</v>
      </c>
      <c r="E21" s="155">
        <f>E11-E17</f>
        <v>40673.72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47681.71</v>
      </c>
      <c r="E26" s="270">
        <f>D21</f>
        <v>40117.21</v>
      </c>
      <c r="G26" s="80"/>
    </row>
    <row r="27" spans="2:11">
      <c r="B27" s="9" t="s">
        <v>17</v>
      </c>
      <c r="C27" s="10" t="s">
        <v>111</v>
      </c>
      <c r="D27" s="226">
        <v>-476.44</v>
      </c>
      <c r="E27" s="263">
        <f>E28-E32</f>
        <v>-482.96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476.44</v>
      </c>
      <c r="E32" s="264">
        <f>SUM(E33:E39)</f>
        <v>482.96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111.92</v>
      </c>
      <c r="E35" s="265">
        <v>162.44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364.52</v>
      </c>
      <c r="E37" s="265">
        <v>320.52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-5035.53</v>
      </c>
      <c r="E40" s="271">
        <v>1039.47</v>
      </c>
      <c r="G40" s="80"/>
    </row>
    <row r="41" spans="2:10" ht="13.5" thickBot="1">
      <c r="B41" s="106" t="s">
        <v>37</v>
      </c>
      <c r="C41" s="107" t="s">
        <v>38</v>
      </c>
      <c r="D41" s="230">
        <v>42169.74</v>
      </c>
      <c r="E41" s="155">
        <f>E26+E27+E40</f>
        <v>40673.72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591.07119999999998</v>
      </c>
      <c r="E47" s="156">
        <v>578.05780000000004</v>
      </c>
      <c r="G47" s="76"/>
    </row>
    <row r="48" spans="2:10">
      <c r="B48" s="204" t="s">
        <v>6</v>
      </c>
      <c r="C48" s="205" t="s">
        <v>41</v>
      </c>
      <c r="D48" s="232">
        <v>584.95960000000002</v>
      </c>
      <c r="E48" s="156">
        <v>571.17989999999998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80.67</v>
      </c>
      <c r="E50" s="156">
        <v>69.400000000000006</v>
      </c>
      <c r="G50" s="190"/>
    </row>
    <row r="51" spans="2:7">
      <c r="B51" s="202" t="s">
        <v>6</v>
      </c>
      <c r="C51" s="203" t="s">
        <v>114</v>
      </c>
      <c r="D51" s="234">
        <v>71.540000000000006</v>
      </c>
      <c r="E51" s="81">
        <v>68.58</v>
      </c>
      <c r="G51" s="190"/>
    </row>
    <row r="52" spans="2:7">
      <c r="B52" s="202" t="s">
        <v>8</v>
      </c>
      <c r="C52" s="203" t="s">
        <v>115</v>
      </c>
      <c r="D52" s="234">
        <v>83.41</v>
      </c>
      <c r="E52" s="81">
        <v>72.06</v>
      </c>
    </row>
    <row r="53" spans="2:7" ht="13.5" customHeight="1" thickBot="1">
      <c r="B53" s="206" t="s">
        <v>9</v>
      </c>
      <c r="C53" s="207" t="s">
        <v>41</v>
      </c>
      <c r="D53" s="235">
        <v>72.09</v>
      </c>
      <c r="E53" s="272">
        <v>71.209999999999994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40673.72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40673.72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40673.72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40673.72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1"/>
  <dimension ref="A1:L81"/>
  <sheetViews>
    <sheetView zoomScale="80" zoomScaleNormal="80" workbookViewId="0">
      <selection activeCell="G19" sqref="G19:K3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230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415054.71</v>
      </c>
      <c r="E11" s="284">
        <f>SUM(E12:E14)</f>
        <v>468764.88</v>
      </c>
    </row>
    <row r="12" spans="2:12">
      <c r="B12" s="191" t="s">
        <v>4</v>
      </c>
      <c r="C12" s="192" t="s">
        <v>5</v>
      </c>
      <c r="D12" s="329">
        <v>415054.71</v>
      </c>
      <c r="E12" s="353">
        <v>468764.88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415054.71</v>
      </c>
      <c r="E21" s="155">
        <f>E11-E17</f>
        <v>468764.88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466219.31</v>
      </c>
      <c r="E26" s="270">
        <f>D21</f>
        <v>415054.71</v>
      </c>
      <c r="G26" s="80"/>
    </row>
    <row r="27" spans="2:11">
      <c r="B27" s="9" t="s">
        <v>17</v>
      </c>
      <c r="C27" s="10" t="s">
        <v>111</v>
      </c>
      <c r="D27" s="226">
        <v>-3678.9500000000003</v>
      </c>
      <c r="E27" s="263">
        <f>E28-E32</f>
        <v>-3764.67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3678.9500000000003</v>
      </c>
      <c r="E32" s="264">
        <f>SUM(E33:E39)</f>
        <v>3764.67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22.78</v>
      </c>
      <c r="E35" s="265">
        <v>28.23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3656.17</v>
      </c>
      <c r="E37" s="265">
        <v>3736.44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9780.42</v>
      </c>
      <c r="E40" s="271">
        <v>57474.84</v>
      </c>
      <c r="G40" s="80"/>
    </row>
    <row r="41" spans="2:10" ht="13.5" thickBot="1">
      <c r="B41" s="106" t="s">
        <v>37</v>
      </c>
      <c r="C41" s="107" t="s">
        <v>38</v>
      </c>
      <c r="D41" s="230">
        <v>472320.77999999997</v>
      </c>
      <c r="E41" s="155">
        <f>E26+E27+E40</f>
        <v>468764.88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2285.5007999999998</v>
      </c>
      <c r="E47" s="79">
        <v>2248.8877000000002</v>
      </c>
      <c r="G47" s="76"/>
    </row>
    <row r="48" spans="2:10">
      <c r="B48" s="204" t="s">
        <v>6</v>
      </c>
      <c r="C48" s="205" t="s">
        <v>41</v>
      </c>
      <c r="D48" s="232">
        <v>2267.1759999999999</v>
      </c>
      <c r="E48" s="156">
        <v>2230.8326999999999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203.99</v>
      </c>
      <c r="E50" s="81">
        <v>184.56</v>
      </c>
      <c r="G50" s="190"/>
    </row>
    <row r="51" spans="2:7">
      <c r="B51" s="202" t="s">
        <v>6</v>
      </c>
      <c r="C51" s="203" t="s">
        <v>114</v>
      </c>
      <c r="D51" s="234">
        <v>187.84</v>
      </c>
      <c r="E51" s="81">
        <v>183.66</v>
      </c>
      <c r="G51" s="190"/>
    </row>
    <row r="52" spans="2:7">
      <c r="B52" s="202" t="s">
        <v>8</v>
      </c>
      <c r="C52" s="203" t="s">
        <v>115</v>
      </c>
      <c r="D52" s="234">
        <v>208.97</v>
      </c>
      <c r="E52" s="81">
        <v>212.92000000000002</v>
      </c>
    </row>
    <row r="53" spans="2:7" ht="14.25" customHeight="1" thickBot="1">
      <c r="B53" s="206" t="s">
        <v>9</v>
      </c>
      <c r="C53" s="207" t="s">
        <v>41</v>
      </c>
      <c r="D53" s="235">
        <v>208.33</v>
      </c>
      <c r="E53" s="272">
        <v>210.13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468764.88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468764.88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468764.88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468764.88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2"/>
  <dimension ref="A1:L81"/>
  <sheetViews>
    <sheetView zoomScale="80" zoomScaleNormal="80" workbookViewId="0">
      <selection activeCell="J21" sqref="J21:K2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231</v>
      </c>
      <c r="C6" s="497"/>
      <c r="D6" s="497"/>
      <c r="E6" s="497"/>
    </row>
    <row r="7" spans="2:12" ht="14.25">
      <c r="B7" s="162"/>
      <c r="C7" s="162"/>
      <c r="D7" s="162"/>
      <c r="E7" s="162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63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16298.56</v>
      </c>
      <c r="E11" s="284">
        <f>SUM(E12:E14)</f>
        <v>16701.47</v>
      </c>
    </row>
    <row r="12" spans="2:12">
      <c r="B12" s="191" t="s">
        <v>4</v>
      </c>
      <c r="C12" s="192" t="s">
        <v>5</v>
      </c>
      <c r="D12" s="329">
        <v>16298.56</v>
      </c>
      <c r="E12" s="353">
        <v>16701.47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16298.56</v>
      </c>
      <c r="E21" s="155">
        <f>E11-E17</f>
        <v>16701.47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37263.589999999997</v>
      </c>
      <c r="E26" s="270">
        <f>D21</f>
        <v>16298.56</v>
      </c>
      <c r="G26" s="80"/>
    </row>
    <row r="27" spans="2:11">
      <c r="B27" s="9" t="s">
        <v>17</v>
      </c>
      <c r="C27" s="10" t="s">
        <v>111</v>
      </c>
      <c r="D27" s="226">
        <v>-21537.55</v>
      </c>
      <c r="E27" s="263">
        <f>E28-E32</f>
        <v>-238.28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21537.55</v>
      </c>
      <c r="E32" s="264">
        <f>SUM(E33:E39)</f>
        <v>238.28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19073.93</v>
      </c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126.42</v>
      </c>
      <c r="E35" s="265">
        <v>99.25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258.74</v>
      </c>
      <c r="E37" s="265">
        <v>139.03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2078.46</v>
      </c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536.03</v>
      </c>
      <c r="E40" s="271">
        <v>641.19000000000005</v>
      </c>
      <c r="G40" s="80"/>
    </row>
    <row r="41" spans="2:10" ht="13.5" thickBot="1">
      <c r="B41" s="106" t="s">
        <v>37</v>
      </c>
      <c r="C41" s="107" t="s">
        <v>38</v>
      </c>
      <c r="D41" s="230">
        <v>16262.069999999998</v>
      </c>
      <c r="E41" s="155">
        <f>E26+E27+E40</f>
        <v>16701.469999999998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230.7629</v>
      </c>
      <c r="E47" s="79">
        <v>97.977500000000006</v>
      </c>
      <c r="G47" s="76"/>
    </row>
    <row r="48" spans="2:10">
      <c r="B48" s="204" t="s">
        <v>6</v>
      </c>
      <c r="C48" s="205" t="s">
        <v>41</v>
      </c>
      <c r="D48" s="232">
        <v>99.395300000000006</v>
      </c>
      <c r="E48" s="156">
        <v>96.562600000000003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161.47999999999999</v>
      </c>
      <c r="E50" s="81">
        <v>166.35</v>
      </c>
      <c r="G50" s="190"/>
    </row>
    <row r="51" spans="2:7">
      <c r="B51" s="202" t="s">
        <v>6</v>
      </c>
      <c r="C51" s="203" t="s">
        <v>114</v>
      </c>
      <c r="D51" s="234">
        <v>161.02000000000001</v>
      </c>
      <c r="E51" s="81">
        <v>166.35</v>
      </c>
      <c r="G51" s="190"/>
    </row>
    <row r="52" spans="2:7">
      <c r="B52" s="202" t="s">
        <v>8</v>
      </c>
      <c r="C52" s="203" t="s">
        <v>115</v>
      </c>
      <c r="D52" s="234">
        <v>164.34</v>
      </c>
      <c r="E52" s="81">
        <v>173.55</v>
      </c>
    </row>
    <row r="53" spans="2:7" ht="13.5" thickBot="1">
      <c r="B53" s="206" t="s">
        <v>9</v>
      </c>
      <c r="C53" s="207" t="s">
        <v>41</v>
      </c>
      <c r="D53" s="235">
        <v>163.61000000000001</v>
      </c>
      <c r="E53" s="272">
        <v>172.96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16701.47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16701.47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16701.47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16701.47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4"/>
  <dimension ref="A1:L81"/>
  <sheetViews>
    <sheetView zoomScale="80" zoomScaleNormal="80" workbookViewId="0">
      <selection activeCell="G17" sqref="G17:K5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232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31861.9</v>
      </c>
      <c r="E11" s="284">
        <f>SUM(E12:E14)</f>
        <v>34070.420000000006</v>
      </c>
    </row>
    <row r="12" spans="2:12">
      <c r="B12" s="191" t="s">
        <v>4</v>
      </c>
      <c r="C12" s="192" t="s">
        <v>5</v>
      </c>
      <c r="D12" s="329">
        <v>31861.9</v>
      </c>
      <c r="E12" s="353">
        <f>34088.37-17.95</f>
        <v>34070.420000000006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31861.9</v>
      </c>
      <c r="E21" s="155">
        <f>E11-E17</f>
        <v>34070.420000000006</v>
      </c>
      <c r="F21" s="83"/>
      <c r="G21" s="83"/>
      <c r="H21" s="176"/>
      <c r="J21" s="258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94410.57</v>
      </c>
      <c r="E26" s="270">
        <f>D21</f>
        <v>31861.9</v>
      </c>
      <c r="G26" s="80"/>
    </row>
    <row r="27" spans="2:11">
      <c r="B27" s="9" t="s">
        <v>17</v>
      </c>
      <c r="C27" s="10" t="s">
        <v>111</v>
      </c>
      <c r="D27" s="226">
        <v>-6662.7800000000007</v>
      </c>
      <c r="E27" s="263">
        <f>E28-E32</f>
        <v>-333.78000000000003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8.2799999999999994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8.2799999999999994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6671.06</v>
      </c>
      <c r="E32" s="264">
        <f>SUM(E33:E39)</f>
        <v>333.78000000000003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5830.72</v>
      </c>
      <c r="E33" s="265">
        <v>1.33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27.68</v>
      </c>
      <c r="E35" s="265">
        <v>16.47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812.66</v>
      </c>
      <c r="E37" s="265">
        <v>315.98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-15726.38</v>
      </c>
      <c r="E40" s="271">
        <v>2542.3000000000002</v>
      </c>
      <c r="G40" s="80"/>
    </row>
    <row r="41" spans="2:10" ht="13.5" thickBot="1">
      <c r="B41" s="106" t="s">
        <v>37</v>
      </c>
      <c r="C41" s="107" t="s">
        <v>38</v>
      </c>
      <c r="D41" s="230">
        <v>72021.41</v>
      </c>
      <c r="E41" s="155">
        <f>E26+E27+E40</f>
        <v>34070.420000000006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494.01166999999998</v>
      </c>
      <c r="E47" s="79">
        <v>235.82192000000001</v>
      </c>
      <c r="G47" s="76"/>
    </row>
    <row r="48" spans="2:10">
      <c r="B48" s="204" t="s">
        <v>6</v>
      </c>
      <c r="C48" s="205" t="s">
        <v>41</v>
      </c>
      <c r="D48" s="232">
        <v>457.92500000000001</v>
      </c>
      <c r="E48" s="156">
        <f>E21/E53</f>
        <v>233.48697916666671</v>
      </c>
      <c r="G48" s="210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191.11</v>
      </c>
      <c r="E50" s="81">
        <v>135.11000000000001</v>
      </c>
      <c r="G50" s="190"/>
    </row>
    <row r="51" spans="2:7">
      <c r="B51" s="202" t="s">
        <v>6</v>
      </c>
      <c r="C51" s="203" t="s">
        <v>114</v>
      </c>
      <c r="D51" s="234">
        <v>156.12</v>
      </c>
      <c r="E51" s="81">
        <v>135.11000000000001</v>
      </c>
      <c r="G51" s="190"/>
    </row>
    <row r="52" spans="2:7">
      <c r="B52" s="202" t="s">
        <v>8</v>
      </c>
      <c r="C52" s="203" t="s">
        <v>115</v>
      </c>
      <c r="D52" s="234">
        <v>196.99</v>
      </c>
      <c r="E52" s="81">
        <v>150.36000000000001</v>
      </c>
    </row>
    <row r="53" spans="2:7" ht="14.25" customHeight="1" thickBot="1">
      <c r="B53" s="206" t="s">
        <v>9</v>
      </c>
      <c r="C53" s="207" t="s">
        <v>41</v>
      </c>
      <c r="D53" s="235">
        <v>157.32</v>
      </c>
      <c r="E53" s="272">
        <v>145.91999999999999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34070.420000000006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34070.420000000006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34070.420000000006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34070.420000000006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5">
    <pageSetUpPr fitToPage="1"/>
  </sheetPr>
  <dimension ref="A1:L81"/>
  <sheetViews>
    <sheetView zoomScale="80" zoomScaleNormal="80" workbookViewId="0">
      <selection activeCell="E27" sqref="E27:E3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281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/>
      <c r="E11" s="284"/>
    </row>
    <row r="12" spans="2:12">
      <c r="B12" s="191" t="s">
        <v>4</v>
      </c>
      <c r="C12" s="192" t="s">
        <v>5</v>
      </c>
      <c r="D12" s="329"/>
      <c r="E12" s="353"/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/>
      <c r="E21" s="155"/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38896.86</v>
      </c>
      <c r="E26" s="270"/>
      <c r="G26" s="80"/>
    </row>
    <row r="27" spans="2:11">
      <c r="B27" s="9" t="s">
        <v>17</v>
      </c>
      <c r="C27" s="10" t="s">
        <v>111</v>
      </c>
      <c r="D27" s="226">
        <v>-24744.54</v>
      </c>
      <c r="E27" s="263"/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20524.03</v>
      </c>
      <c r="E28" s="264"/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20524.03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45268.57</v>
      </c>
      <c r="E32" s="264"/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5929.13</v>
      </c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45.86</v>
      </c>
      <c r="E35" s="265"/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231.2</v>
      </c>
      <c r="E37" s="265"/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39062.379999999997</v>
      </c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-8204.51</v>
      </c>
      <c r="E40" s="271"/>
      <c r="G40" s="80"/>
    </row>
    <row r="41" spans="2:10" ht="13.5" thickBot="1">
      <c r="B41" s="106" t="s">
        <v>37</v>
      </c>
      <c r="C41" s="107" t="s">
        <v>38</v>
      </c>
      <c r="D41" s="230">
        <v>5947.8099999999995</v>
      </c>
      <c r="E41" s="155"/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443.42070000000001</v>
      </c>
      <c r="E47" s="79"/>
      <c r="G47" s="76"/>
    </row>
    <row r="48" spans="2:10">
      <c r="B48" s="204" t="s">
        <v>6</v>
      </c>
      <c r="C48" s="205" t="s">
        <v>41</v>
      </c>
      <c r="D48" s="232">
        <v>94.081100000000006</v>
      </c>
      <c r="E48" s="156"/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87.72</v>
      </c>
      <c r="E50" s="81"/>
      <c r="G50" s="190"/>
    </row>
    <row r="51" spans="2:7">
      <c r="B51" s="202" t="s">
        <v>6</v>
      </c>
      <c r="C51" s="203" t="s">
        <v>114</v>
      </c>
      <c r="D51" s="234">
        <v>61.48</v>
      </c>
      <c r="E51" s="81"/>
      <c r="G51" s="190"/>
    </row>
    <row r="52" spans="2:7">
      <c r="B52" s="202" t="s">
        <v>8</v>
      </c>
      <c r="C52" s="203" t="s">
        <v>115</v>
      </c>
      <c r="D52" s="234">
        <v>100.39</v>
      </c>
      <c r="E52" s="81"/>
    </row>
    <row r="53" spans="2:7" ht="13.5" customHeight="1" thickBot="1">
      <c r="B53" s="206" t="s">
        <v>9</v>
      </c>
      <c r="C53" s="207" t="s">
        <v>41</v>
      </c>
      <c r="D53" s="235">
        <v>63.22</v>
      </c>
      <c r="E53" s="272"/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0</v>
      </c>
      <c r="E58" s="32">
        <v>0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0</v>
      </c>
      <c r="E64" s="87">
        <v>0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0</v>
      </c>
      <c r="E74" s="69">
        <v>0</v>
      </c>
    </row>
    <row r="75" spans="2:5">
      <c r="B75" s="109" t="s">
        <v>4</v>
      </c>
      <c r="C75" s="15" t="s">
        <v>67</v>
      </c>
      <c r="D75" s="84">
        <f>D74</f>
        <v>0</v>
      </c>
      <c r="E75" s="85">
        <v>0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6"/>
  <dimension ref="A1:L81"/>
  <sheetViews>
    <sheetView zoomScale="80" zoomScaleNormal="80" workbookViewId="0">
      <selection activeCell="G16" sqref="G16:K4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233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225660.9</v>
      </c>
      <c r="E11" s="284">
        <f>SUM(E12:E14)</f>
        <v>215986.6</v>
      </c>
    </row>
    <row r="12" spans="2:12">
      <c r="B12" s="191" t="s">
        <v>4</v>
      </c>
      <c r="C12" s="192" t="s">
        <v>5</v>
      </c>
      <c r="D12" s="329">
        <v>225660.9</v>
      </c>
      <c r="E12" s="353">
        <f>216020.79-34.19</f>
        <v>215986.6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225660.9</v>
      </c>
      <c r="E21" s="155">
        <f>E11-E17</f>
        <v>215986.6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475426.36</v>
      </c>
      <c r="E26" s="270">
        <f>D21</f>
        <v>225660.9</v>
      </c>
      <c r="G26" s="80"/>
    </row>
    <row r="27" spans="2:11">
      <c r="B27" s="9" t="s">
        <v>17</v>
      </c>
      <c r="C27" s="10" t="s">
        <v>111</v>
      </c>
      <c r="D27" s="226">
        <v>-242845.52</v>
      </c>
      <c r="E27" s="263">
        <f>E28-E32</f>
        <v>-12470.029999999999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30964.86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>
        <v>30964.86</v>
      </c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242845.52</v>
      </c>
      <c r="E32" s="264">
        <f>SUM(E33:E39)</f>
        <v>43434.89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238507.51999999999</v>
      </c>
      <c r="E33" s="265">
        <v>10246.57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103.76</v>
      </c>
      <c r="E35" s="265">
        <v>121.99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4234.24</v>
      </c>
      <c r="E37" s="265">
        <v>2336.1799999999998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>
        <v>30730.15</v>
      </c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5588.21</v>
      </c>
      <c r="E40" s="271">
        <v>2795.73</v>
      </c>
      <c r="G40" s="80"/>
    </row>
    <row r="41" spans="2:10" ht="13.5" thickBot="1">
      <c r="B41" s="106" t="s">
        <v>37</v>
      </c>
      <c r="C41" s="107" t="s">
        <v>38</v>
      </c>
      <c r="D41" s="230">
        <v>238169.05</v>
      </c>
      <c r="E41" s="155">
        <f>E26+E27+E40</f>
        <v>215986.6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3249.4454000000001</v>
      </c>
      <c r="E47" s="79">
        <v>1509.5384309999999</v>
      </c>
      <c r="G47" s="76"/>
    </row>
    <row r="48" spans="2:10">
      <c r="B48" s="204" t="s">
        <v>6</v>
      </c>
      <c r="C48" s="205" t="s">
        <v>41</v>
      </c>
      <c r="D48" s="232">
        <v>1608.0551599999999</v>
      </c>
      <c r="E48" s="156">
        <f>E21/E53</f>
        <v>1428.4828042328045</v>
      </c>
      <c r="G48" s="211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146.31</v>
      </c>
      <c r="E50" s="81">
        <v>149.49</v>
      </c>
      <c r="G50" s="190"/>
    </row>
    <row r="51" spans="2:7">
      <c r="B51" s="202" t="s">
        <v>6</v>
      </c>
      <c r="C51" s="203" t="s">
        <v>114</v>
      </c>
      <c r="D51" s="234">
        <v>146.31</v>
      </c>
      <c r="E51" s="81">
        <v>149.54</v>
      </c>
      <c r="G51" s="190"/>
    </row>
    <row r="52" spans="2:7">
      <c r="B52" s="202" t="s">
        <v>8</v>
      </c>
      <c r="C52" s="203" t="s">
        <v>115</v>
      </c>
      <c r="D52" s="234">
        <v>148.16</v>
      </c>
      <c r="E52" s="81">
        <v>151.21</v>
      </c>
    </row>
    <row r="53" spans="2:7" ht="13.5" customHeight="1" thickBot="1">
      <c r="B53" s="206" t="s">
        <v>9</v>
      </c>
      <c r="C53" s="207" t="s">
        <v>41</v>
      </c>
      <c r="D53" s="235">
        <v>148.11000000000001</v>
      </c>
      <c r="E53" s="272">
        <v>151.19999999999999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215986.6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E12</f>
        <v>215986.6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7" t="s">
        <v>64</v>
      </c>
      <c r="C74" s="128" t="s">
        <v>66</v>
      </c>
      <c r="D74" s="129">
        <f>D58-D73</f>
        <v>215986.6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215986.6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7">
    <pageSetUpPr fitToPage="1"/>
  </sheetPr>
  <dimension ref="A1:L81"/>
  <sheetViews>
    <sheetView zoomScale="80" zoomScaleNormal="80" workbookViewId="0">
      <selection activeCell="E27" sqref="E27:E3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282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/>
      <c r="E11" s="284"/>
    </row>
    <row r="12" spans="2:12">
      <c r="B12" s="191" t="s">
        <v>4</v>
      </c>
      <c r="C12" s="192" t="s">
        <v>5</v>
      </c>
      <c r="D12" s="329"/>
      <c r="E12" s="353"/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/>
      <c r="E21" s="155"/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11160.73</v>
      </c>
      <c r="E26" s="270"/>
      <c r="G26" s="80"/>
    </row>
    <row r="27" spans="2:11">
      <c r="B27" s="9" t="s">
        <v>17</v>
      </c>
      <c r="C27" s="10" t="s">
        <v>111</v>
      </c>
      <c r="D27" s="226">
        <v>-2558.6499999999996</v>
      </c>
      <c r="E27" s="263"/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/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2558.6499999999996</v>
      </c>
      <c r="E32" s="264"/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2434.41</v>
      </c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12.2</v>
      </c>
      <c r="E35" s="265"/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112.04</v>
      </c>
      <c r="E37" s="265"/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67.78</v>
      </c>
      <c r="E40" s="271"/>
      <c r="G40" s="80"/>
    </row>
    <row r="41" spans="2:10" ht="13.5" thickBot="1">
      <c r="B41" s="106" t="s">
        <v>37</v>
      </c>
      <c r="C41" s="107" t="s">
        <v>38</v>
      </c>
      <c r="D41" s="230">
        <v>8669.86</v>
      </c>
      <c r="E41" s="155"/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129.83629999999999</v>
      </c>
      <c r="E47" s="79"/>
      <c r="G47" s="76"/>
    </row>
    <row r="48" spans="2:10">
      <c r="B48" s="204" t="s">
        <v>6</v>
      </c>
      <c r="C48" s="205" t="s">
        <v>41</v>
      </c>
      <c r="D48" s="232">
        <v>101.012</v>
      </c>
      <c r="E48" s="156"/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85.96</v>
      </c>
      <c r="E50" s="81"/>
      <c r="G50" s="190"/>
    </row>
    <row r="51" spans="2:7">
      <c r="B51" s="202" t="s">
        <v>6</v>
      </c>
      <c r="C51" s="203" t="s">
        <v>114</v>
      </c>
      <c r="D51" s="234">
        <v>79.790000000000006</v>
      </c>
      <c r="E51" s="81"/>
      <c r="G51" s="190"/>
    </row>
    <row r="52" spans="2:7">
      <c r="B52" s="202" t="s">
        <v>8</v>
      </c>
      <c r="C52" s="203" t="s">
        <v>115</v>
      </c>
      <c r="D52" s="234">
        <v>93.26</v>
      </c>
      <c r="E52" s="81"/>
    </row>
    <row r="53" spans="2:7" ht="12.75" customHeight="1" thickBot="1">
      <c r="B53" s="206" t="s">
        <v>9</v>
      </c>
      <c r="C53" s="207" t="s">
        <v>41</v>
      </c>
      <c r="D53" s="235">
        <v>85.83</v>
      </c>
      <c r="E53" s="272"/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0</v>
      </c>
      <c r="E58" s="32">
        <v>0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0</v>
      </c>
      <c r="E64" s="87">
        <v>0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0</v>
      </c>
      <c r="E74" s="69">
        <f>E58+E72-E73</f>
        <v>0</v>
      </c>
    </row>
    <row r="75" spans="2:5">
      <c r="B75" s="109" t="s">
        <v>4</v>
      </c>
      <c r="C75" s="15" t="s">
        <v>67</v>
      </c>
      <c r="D75" s="84">
        <f>D74</f>
        <v>0</v>
      </c>
      <c r="E75" s="85">
        <f>E74</f>
        <v>0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8"/>
  <dimension ref="A1:L81"/>
  <sheetViews>
    <sheetView zoomScale="80" zoomScaleNormal="80" workbookViewId="0">
      <selection activeCell="G17" sqref="G17:K4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234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15201.67</v>
      </c>
      <c r="E11" s="284">
        <f>SUM(E12:E14)</f>
        <v>15870.18</v>
      </c>
    </row>
    <row r="12" spans="2:12">
      <c r="B12" s="191" t="s">
        <v>4</v>
      </c>
      <c r="C12" s="192" t="s">
        <v>5</v>
      </c>
      <c r="D12" s="329">
        <v>15201.67</v>
      </c>
      <c r="E12" s="353">
        <v>15870.18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15201.67</v>
      </c>
      <c r="E21" s="155">
        <f>E11-E17</f>
        <v>15870.18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20215.990000000002</v>
      </c>
      <c r="E26" s="270">
        <f>D21</f>
        <v>15201.67</v>
      </c>
      <c r="G26" s="80"/>
    </row>
    <row r="27" spans="2:11">
      <c r="B27" s="9" t="s">
        <v>17</v>
      </c>
      <c r="C27" s="10" t="s">
        <v>111</v>
      </c>
      <c r="D27" s="226">
        <v>-618.99</v>
      </c>
      <c r="E27" s="263">
        <f>E28-E32</f>
        <v>-103.86999999999999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618.99</v>
      </c>
      <c r="E32" s="264">
        <f>SUM(E33:E39)</f>
        <v>103.86999999999999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461.74</v>
      </c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1.99</v>
      </c>
      <c r="E35" s="265">
        <v>5.27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155.26</v>
      </c>
      <c r="E37" s="265">
        <v>98.6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-1814.16</v>
      </c>
      <c r="E40" s="271">
        <v>772.38</v>
      </c>
      <c r="G40" s="80"/>
    </row>
    <row r="41" spans="2:10" ht="13.5" thickBot="1">
      <c r="B41" s="106" t="s">
        <v>37</v>
      </c>
      <c r="C41" s="107" t="s">
        <v>38</v>
      </c>
      <c r="D41" s="230">
        <v>17782.84</v>
      </c>
      <c r="E41" s="155">
        <f>E26+E27+E40</f>
        <v>15870.179999999998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127.1846</v>
      </c>
      <c r="E47" s="79">
        <v>121.5453</v>
      </c>
      <c r="G47" s="76"/>
    </row>
    <row r="48" spans="2:10">
      <c r="B48" s="204" t="s">
        <v>6</v>
      </c>
      <c r="C48" s="205" t="s">
        <v>41</v>
      </c>
      <c r="D48" s="232">
        <v>123.1413</v>
      </c>
      <c r="E48" s="156">
        <v>120.7409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158.94999999999999</v>
      </c>
      <c r="E50" s="81">
        <v>125.07</v>
      </c>
      <c r="G50" s="190"/>
    </row>
    <row r="51" spans="2:7">
      <c r="B51" s="202" t="s">
        <v>6</v>
      </c>
      <c r="C51" s="203" t="s">
        <v>114</v>
      </c>
      <c r="D51" s="234">
        <v>143.63999999999999</v>
      </c>
      <c r="E51" s="81">
        <v>125.81</v>
      </c>
      <c r="G51" s="190"/>
    </row>
    <row r="52" spans="2:7">
      <c r="B52" s="202" t="s">
        <v>8</v>
      </c>
      <c r="C52" s="203" t="s">
        <v>115</v>
      </c>
      <c r="D52" s="234">
        <v>160.91999999999999</v>
      </c>
      <c r="E52" s="81">
        <v>132.25</v>
      </c>
    </row>
    <row r="53" spans="2:7" ht="13.5" customHeight="1" thickBot="1">
      <c r="B53" s="206" t="s">
        <v>9</v>
      </c>
      <c r="C53" s="207" t="s">
        <v>41</v>
      </c>
      <c r="D53" s="235">
        <v>144.41</v>
      </c>
      <c r="E53" s="272">
        <v>131.44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15870.18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15870.18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15870.18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15870.18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9"/>
  <dimension ref="A1:L81"/>
  <sheetViews>
    <sheetView zoomScale="80" zoomScaleNormal="80" workbookViewId="0">
      <selection activeCell="E27" sqref="E27:E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283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/>
      <c r="E11" s="284"/>
    </row>
    <row r="12" spans="2:12">
      <c r="B12" s="191" t="s">
        <v>4</v>
      </c>
      <c r="C12" s="192" t="s">
        <v>5</v>
      </c>
      <c r="D12" s="329"/>
      <c r="E12" s="353"/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/>
      <c r="E21" s="155"/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33298.449999999997</v>
      </c>
      <c r="E26" s="270"/>
      <c r="G26" s="80"/>
    </row>
    <row r="27" spans="2:11">
      <c r="B27" s="9" t="s">
        <v>17</v>
      </c>
      <c r="C27" s="10" t="s">
        <v>111</v>
      </c>
      <c r="D27" s="226">
        <v>8526.179999999993</v>
      </c>
      <c r="E27" s="263"/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84516.14</v>
      </c>
      <c r="E28" s="264"/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84516.14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75989.960000000006</v>
      </c>
      <c r="E32" s="264"/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133.05000000000001</v>
      </c>
      <c r="E35" s="265"/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572.27</v>
      </c>
      <c r="E37" s="265"/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75284.639999999999</v>
      </c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7687.44</v>
      </c>
      <c r="E40" s="271"/>
      <c r="G40" s="80"/>
    </row>
    <row r="41" spans="2:10" ht="13.5" thickBot="1">
      <c r="B41" s="106" t="s">
        <v>37</v>
      </c>
      <c r="C41" s="107" t="s">
        <v>38</v>
      </c>
      <c r="D41" s="230">
        <v>49512.069999999992</v>
      </c>
      <c r="E41" s="155"/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511.57549999999998</v>
      </c>
      <c r="E47" s="79"/>
      <c r="G47" s="76"/>
    </row>
    <row r="48" spans="2:10">
      <c r="B48" s="204" t="s">
        <v>6</v>
      </c>
      <c r="C48" s="205" t="s">
        <v>41</v>
      </c>
      <c r="D48" s="232">
        <v>673.2672</v>
      </c>
      <c r="E48" s="156"/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65.09</v>
      </c>
      <c r="E50" s="81"/>
      <c r="G50" s="190"/>
    </row>
    <row r="51" spans="2:7">
      <c r="B51" s="202" t="s">
        <v>6</v>
      </c>
      <c r="C51" s="203" t="s">
        <v>114</v>
      </c>
      <c r="D51" s="234">
        <v>60.45</v>
      </c>
      <c r="E51" s="81"/>
      <c r="G51" s="190"/>
    </row>
    <row r="52" spans="2:7">
      <c r="B52" s="202" t="s">
        <v>8</v>
      </c>
      <c r="C52" s="203" t="s">
        <v>115</v>
      </c>
      <c r="D52" s="234">
        <v>74.44</v>
      </c>
      <c r="E52" s="81"/>
    </row>
    <row r="53" spans="2:7" ht="13.5" customHeight="1" thickBot="1">
      <c r="B53" s="206" t="s">
        <v>9</v>
      </c>
      <c r="C53" s="207" t="s">
        <v>41</v>
      </c>
      <c r="D53" s="235">
        <v>73.540000000000006</v>
      </c>
      <c r="E53" s="272"/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0</v>
      </c>
      <c r="E58" s="32">
        <v>0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0</v>
      </c>
      <c r="E64" s="87">
        <v>0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0</v>
      </c>
      <c r="E74" s="69">
        <f>E58+E72-E73</f>
        <v>0</v>
      </c>
    </row>
    <row r="75" spans="2:5">
      <c r="B75" s="109" t="s">
        <v>4</v>
      </c>
      <c r="C75" s="15" t="s">
        <v>67</v>
      </c>
      <c r="D75" s="84">
        <f>D74</f>
        <v>0</v>
      </c>
      <c r="E75" s="85">
        <f>E74</f>
        <v>0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Q81"/>
  <sheetViews>
    <sheetView zoomScale="80" zoomScaleNormal="80" workbookViewId="0">
      <selection activeCell="G20" sqref="G20:K4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0.42578125" customWidth="1"/>
    <col min="9" max="9" width="13.28515625" customWidth="1"/>
    <col min="10" max="10" width="13.5703125" customWidth="1"/>
    <col min="11" max="11" width="15.710937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2"/>
      <c r="C4" s="92"/>
      <c r="D4" s="92"/>
      <c r="E4" s="92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146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3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18124183.550000001</v>
      </c>
      <c r="E11" s="284">
        <f>SUM(E12:E14)</f>
        <v>17313639.149999999</v>
      </c>
    </row>
    <row r="12" spans="2:12">
      <c r="B12" s="113" t="s">
        <v>4</v>
      </c>
      <c r="C12" s="6" t="s">
        <v>5</v>
      </c>
      <c r="D12" s="329">
        <v>18093769.400000002</v>
      </c>
      <c r="E12" s="353">
        <f>15125328.44+2159500+59.16-10479.48</f>
        <v>17274408.119999997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>
        <v>30414.15</v>
      </c>
      <c r="E14" s="354">
        <f>E15</f>
        <v>39231.03</v>
      </c>
    </row>
    <row r="15" spans="2:12">
      <c r="B15" s="113" t="s">
        <v>106</v>
      </c>
      <c r="C15" s="71" t="s">
        <v>11</v>
      </c>
      <c r="D15" s="322">
        <v>30414.15</v>
      </c>
      <c r="E15" s="354">
        <v>39231.03</v>
      </c>
    </row>
    <row r="16" spans="2:12">
      <c r="B16" s="114" t="s">
        <v>107</v>
      </c>
      <c r="C16" s="98" t="s">
        <v>12</v>
      </c>
      <c r="D16" s="324"/>
      <c r="E16" s="355"/>
    </row>
    <row r="17" spans="2:17">
      <c r="B17" s="9" t="s">
        <v>13</v>
      </c>
      <c r="C17" s="11" t="s">
        <v>65</v>
      </c>
      <c r="D17" s="325">
        <v>55746.18</v>
      </c>
      <c r="E17" s="356">
        <f>E18</f>
        <v>123052.72</v>
      </c>
    </row>
    <row r="18" spans="2:17">
      <c r="B18" s="113" t="s">
        <v>4</v>
      </c>
      <c r="C18" s="6" t="s">
        <v>11</v>
      </c>
      <c r="D18" s="324">
        <v>55746.18</v>
      </c>
      <c r="E18" s="355">
        <v>123052.72</v>
      </c>
    </row>
    <row r="19" spans="2:17" ht="15" customHeight="1">
      <c r="B19" s="113" t="s">
        <v>6</v>
      </c>
      <c r="C19" s="71" t="s">
        <v>108</v>
      </c>
      <c r="D19" s="322"/>
      <c r="E19" s="354"/>
    </row>
    <row r="20" spans="2:17" ht="13.5" thickBot="1">
      <c r="B20" s="115" t="s">
        <v>8</v>
      </c>
      <c r="C20" s="72" t="s">
        <v>14</v>
      </c>
      <c r="D20" s="285"/>
      <c r="E20" s="286"/>
    </row>
    <row r="21" spans="2:17" ht="13.5" thickBot="1">
      <c r="B21" s="505" t="s">
        <v>110</v>
      </c>
      <c r="C21" s="506"/>
      <c r="D21" s="287">
        <v>18068437.370000001</v>
      </c>
      <c r="E21" s="155">
        <f>E11-E17</f>
        <v>17190586.43</v>
      </c>
      <c r="F21" s="83"/>
      <c r="G21" s="83"/>
      <c r="H21" s="176"/>
      <c r="J21" s="254"/>
      <c r="K21" s="70"/>
    </row>
    <row r="22" spans="2:17">
      <c r="B22" s="3"/>
      <c r="C22" s="7"/>
      <c r="D22" s="8"/>
      <c r="E22" s="8"/>
      <c r="G22" s="169"/>
    </row>
    <row r="23" spans="2:17" ht="13.5">
      <c r="B23" s="499" t="s">
        <v>104</v>
      </c>
      <c r="C23" s="507"/>
      <c r="D23" s="507"/>
      <c r="E23" s="507"/>
      <c r="G23" s="76"/>
    </row>
    <row r="24" spans="2:17" ht="15.75" customHeight="1" thickBot="1">
      <c r="B24" s="498" t="s">
        <v>105</v>
      </c>
      <c r="C24" s="508"/>
      <c r="D24" s="508"/>
      <c r="E24" s="508"/>
    </row>
    <row r="25" spans="2:17" ht="13.5" thickBot="1">
      <c r="B25" s="93"/>
      <c r="C25" s="5" t="s">
        <v>2</v>
      </c>
      <c r="D25" s="73" t="s">
        <v>125</v>
      </c>
      <c r="E25" s="29" t="s">
        <v>145</v>
      </c>
      <c r="G25" s="185"/>
      <c r="Q25" s="190"/>
    </row>
    <row r="26" spans="2:17">
      <c r="B26" s="102" t="s">
        <v>15</v>
      </c>
      <c r="C26" s="103" t="s">
        <v>16</v>
      </c>
      <c r="D26" s="225">
        <v>22948215.490000002</v>
      </c>
      <c r="E26" s="270">
        <f>D21</f>
        <v>18068437.370000001</v>
      </c>
      <c r="G26" s="80"/>
    </row>
    <row r="27" spans="2:17">
      <c r="B27" s="9" t="s">
        <v>17</v>
      </c>
      <c r="C27" s="10" t="s">
        <v>111</v>
      </c>
      <c r="D27" s="226">
        <v>-2164467.71</v>
      </c>
      <c r="E27" s="263">
        <f>E28-E32</f>
        <v>-1985853.9100000006</v>
      </c>
      <c r="F27" s="76"/>
      <c r="G27" s="160"/>
      <c r="H27" s="160"/>
      <c r="I27" s="160"/>
      <c r="J27" s="160"/>
    </row>
    <row r="28" spans="2:17">
      <c r="B28" s="9" t="s">
        <v>18</v>
      </c>
      <c r="C28" s="10" t="s">
        <v>19</v>
      </c>
      <c r="D28" s="226">
        <v>727505.22</v>
      </c>
      <c r="E28" s="264">
        <f>SUM(E29:E31)</f>
        <v>683445.23</v>
      </c>
      <c r="F28" s="76"/>
      <c r="G28" s="160"/>
      <c r="H28" s="160"/>
      <c r="I28" s="160"/>
      <c r="J28" s="160"/>
    </row>
    <row r="29" spans="2:17">
      <c r="B29" s="111" t="s">
        <v>4</v>
      </c>
      <c r="C29" s="6" t="s">
        <v>20</v>
      </c>
      <c r="D29" s="227">
        <v>674258.96</v>
      </c>
      <c r="E29" s="265">
        <v>655137.11</v>
      </c>
      <c r="F29" s="76"/>
      <c r="G29" s="160"/>
      <c r="H29" s="160"/>
      <c r="I29" s="160"/>
      <c r="J29" s="160"/>
    </row>
    <row r="30" spans="2:17">
      <c r="B30" s="111" t="s">
        <v>6</v>
      </c>
      <c r="C30" s="6" t="s">
        <v>21</v>
      </c>
      <c r="D30" s="227"/>
      <c r="E30" s="265"/>
      <c r="F30" s="76"/>
      <c r="G30" s="160"/>
      <c r="H30" s="160"/>
      <c r="I30" s="160"/>
      <c r="J30" s="160"/>
    </row>
    <row r="31" spans="2:17">
      <c r="B31" s="111" t="s">
        <v>8</v>
      </c>
      <c r="C31" s="6" t="s">
        <v>22</v>
      </c>
      <c r="D31" s="227">
        <v>53246.259999999995</v>
      </c>
      <c r="E31" s="265">
        <v>28308.12</v>
      </c>
      <c r="F31" s="76"/>
      <c r="G31" s="160"/>
      <c r="H31" s="160"/>
      <c r="I31" s="160"/>
      <c r="J31" s="160"/>
    </row>
    <row r="32" spans="2:17">
      <c r="B32" s="99" t="s">
        <v>23</v>
      </c>
      <c r="C32" s="11" t="s">
        <v>24</v>
      </c>
      <c r="D32" s="226">
        <v>2891972.93</v>
      </c>
      <c r="E32" s="264">
        <f>SUM(E33:E39)</f>
        <v>2669299.1400000006</v>
      </c>
      <c r="F32" s="76"/>
      <c r="G32" s="160"/>
      <c r="H32" s="160"/>
      <c r="I32" s="160"/>
      <c r="J32" s="160"/>
    </row>
    <row r="33" spans="2:10">
      <c r="B33" s="111" t="s">
        <v>4</v>
      </c>
      <c r="C33" s="6" t="s">
        <v>25</v>
      </c>
      <c r="D33" s="227">
        <v>2339156.48</v>
      </c>
      <c r="E33" s="265">
        <f>2249981.97+7663.62</f>
        <v>2257645.5900000003</v>
      </c>
      <c r="F33" s="76"/>
      <c r="G33" s="160"/>
      <c r="H33" s="160"/>
      <c r="I33" s="160"/>
      <c r="J33" s="160"/>
    </row>
    <row r="34" spans="2:10">
      <c r="B34" s="111" t="s">
        <v>6</v>
      </c>
      <c r="C34" s="6" t="s">
        <v>26</v>
      </c>
      <c r="D34" s="227"/>
      <c r="E34" s="265"/>
      <c r="F34" s="76"/>
      <c r="G34" s="160"/>
      <c r="H34" s="160"/>
      <c r="I34" s="160"/>
      <c r="J34" s="160"/>
    </row>
    <row r="35" spans="2:10">
      <c r="B35" s="111" t="s">
        <v>8</v>
      </c>
      <c r="C35" s="6" t="s">
        <v>27</v>
      </c>
      <c r="D35" s="227">
        <v>59242.05</v>
      </c>
      <c r="E35" s="265">
        <v>54479.19</v>
      </c>
      <c r="F35" s="76"/>
      <c r="G35" s="160"/>
      <c r="H35" s="160"/>
      <c r="I35" s="160"/>
      <c r="J35" s="160"/>
    </row>
    <row r="36" spans="2:10">
      <c r="B36" s="111" t="s">
        <v>9</v>
      </c>
      <c r="C36" s="6" t="s">
        <v>28</v>
      </c>
      <c r="D36" s="227"/>
      <c r="E36" s="265"/>
      <c r="F36" s="76"/>
      <c r="G36" s="160"/>
      <c r="H36" s="160"/>
      <c r="I36" s="160"/>
      <c r="J36" s="160"/>
    </row>
    <row r="37" spans="2:10" ht="25.5">
      <c r="B37" s="111" t="s">
        <v>29</v>
      </c>
      <c r="C37" s="6" t="s">
        <v>30</v>
      </c>
      <c r="D37" s="227">
        <v>178532.76</v>
      </c>
      <c r="E37" s="265">
        <v>142541.47</v>
      </c>
      <c r="F37" s="76"/>
      <c r="G37" s="160"/>
      <c r="H37" s="160"/>
      <c r="I37" s="160"/>
      <c r="J37" s="160"/>
    </row>
    <row r="38" spans="2:10">
      <c r="B38" s="111" t="s">
        <v>31</v>
      </c>
      <c r="C38" s="6" t="s">
        <v>32</v>
      </c>
      <c r="D38" s="227"/>
      <c r="E38" s="265"/>
      <c r="F38" s="76"/>
      <c r="G38" s="160"/>
      <c r="H38" s="160"/>
      <c r="I38" s="160"/>
      <c r="J38" s="160"/>
    </row>
    <row r="39" spans="2:10">
      <c r="B39" s="112" t="s">
        <v>33</v>
      </c>
      <c r="C39" s="12" t="s">
        <v>34</v>
      </c>
      <c r="D39" s="228">
        <v>315041.64</v>
      </c>
      <c r="E39" s="266">
        <v>214632.89</v>
      </c>
      <c r="F39" s="76"/>
      <c r="G39" s="160"/>
      <c r="H39" s="160"/>
      <c r="I39" s="160"/>
      <c r="J39" s="160"/>
    </row>
    <row r="40" spans="2:10" ht="13.5" thickBot="1">
      <c r="B40" s="104" t="s">
        <v>35</v>
      </c>
      <c r="C40" s="105" t="s">
        <v>36</v>
      </c>
      <c r="D40" s="229">
        <v>-414855.9</v>
      </c>
      <c r="E40" s="271">
        <v>1108002.97</v>
      </c>
      <c r="G40" s="80"/>
    </row>
    <row r="41" spans="2:10" ht="13.5" thickBot="1">
      <c r="B41" s="106" t="s">
        <v>37</v>
      </c>
      <c r="C41" s="107" t="s">
        <v>38</v>
      </c>
      <c r="D41" s="230">
        <v>20368891.880000003</v>
      </c>
      <c r="E41" s="155">
        <f>E26+E27+E40</f>
        <v>17190586.43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3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304">
        <v>152899.14616</v>
      </c>
      <c r="E47" s="79">
        <v>130373.15091</v>
      </c>
      <c r="G47" s="76"/>
    </row>
    <row r="48" spans="2:10">
      <c r="B48" s="130" t="s">
        <v>6</v>
      </c>
      <c r="C48" s="22" t="s">
        <v>41</v>
      </c>
      <c r="D48" s="304">
        <v>138356.60363999999</v>
      </c>
      <c r="E48" s="317">
        <v>116838.32567351359</v>
      </c>
      <c r="G48" s="213"/>
    </row>
    <row r="49" spans="2:7">
      <c r="B49" s="127" t="s">
        <v>23</v>
      </c>
      <c r="C49" s="131" t="s">
        <v>113</v>
      </c>
      <c r="D49" s="326"/>
      <c r="E49" s="132"/>
    </row>
    <row r="50" spans="2:7">
      <c r="B50" s="109" t="s">
        <v>4</v>
      </c>
      <c r="C50" s="15" t="s">
        <v>40</v>
      </c>
      <c r="D50" s="304">
        <v>150.08727037164601</v>
      </c>
      <c r="E50" s="79">
        <v>138.590171703446</v>
      </c>
      <c r="G50" s="190"/>
    </row>
    <row r="51" spans="2:7">
      <c r="B51" s="109" t="s">
        <v>6</v>
      </c>
      <c r="C51" s="15" t="s">
        <v>114</v>
      </c>
      <c r="D51" s="304">
        <v>142.38399999999999</v>
      </c>
      <c r="E51" s="79">
        <v>138.0283</v>
      </c>
      <c r="G51" s="190"/>
    </row>
    <row r="52" spans="2:7" ht="12.75" customHeight="1">
      <c r="B52" s="109" t="s">
        <v>8</v>
      </c>
      <c r="C52" s="15" t="s">
        <v>115</v>
      </c>
      <c r="D52" s="304">
        <v>154.66499999999999</v>
      </c>
      <c r="E52" s="79">
        <v>150.6722</v>
      </c>
    </row>
    <row r="53" spans="2:7" ht="13.5" thickBot="1">
      <c r="B53" s="110" t="s">
        <v>9</v>
      </c>
      <c r="C53" s="17" t="s">
        <v>41</v>
      </c>
      <c r="D53" s="235">
        <v>147.220236289871</v>
      </c>
      <c r="E53" s="272">
        <v>147.13140000000001</v>
      </c>
    </row>
    <row r="54" spans="2:7">
      <c r="B54" s="116"/>
      <c r="C54" s="117"/>
      <c r="D54" s="118"/>
      <c r="E54" s="222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D64+D69</f>
        <v>17274408.119999997</v>
      </c>
      <c r="E58" s="32">
        <f>D58/E21</f>
        <v>1.0048760227198368</v>
      </c>
    </row>
    <row r="59" spans="2:7" ht="25.5">
      <c r="B59" s="21" t="s">
        <v>4</v>
      </c>
      <c r="C59" s="22" t="s">
        <v>44</v>
      </c>
      <c r="D59" s="86">
        <v>0</v>
      </c>
      <c r="E59" s="87">
        <v>0</v>
      </c>
    </row>
    <row r="60" spans="2:7" ht="24" customHeight="1">
      <c r="B60" s="14" t="s">
        <v>6</v>
      </c>
      <c r="C60" s="15" t="s">
        <v>45</v>
      </c>
      <c r="D60" s="84">
        <v>0</v>
      </c>
      <c r="E60" s="85">
        <v>0</v>
      </c>
    </row>
    <row r="61" spans="2:7">
      <c r="B61" s="14" t="s">
        <v>8</v>
      </c>
      <c r="C61" s="15" t="s">
        <v>46</v>
      </c>
      <c r="D61" s="84">
        <v>0</v>
      </c>
      <c r="E61" s="85">
        <v>0</v>
      </c>
    </row>
    <row r="62" spans="2:7">
      <c r="B62" s="14" t="s">
        <v>9</v>
      </c>
      <c r="C62" s="15" t="s">
        <v>47</v>
      </c>
      <c r="D62" s="84">
        <v>0</v>
      </c>
      <c r="E62" s="85">
        <v>0</v>
      </c>
    </row>
    <row r="63" spans="2:7">
      <c r="B63" s="14" t="s">
        <v>29</v>
      </c>
      <c r="C63" s="15" t="s">
        <v>48</v>
      </c>
      <c r="D63" s="84">
        <v>0</v>
      </c>
      <c r="E63" s="85">
        <v>0</v>
      </c>
    </row>
    <row r="64" spans="2:7">
      <c r="B64" s="21" t="s">
        <v>31</v>
      </c>
      <c r="C64" s="22" t="s">
        <v>49</v>
      </c>
      <c r="D64" s="314">
        <f>15125328.44-10479.48</f>
        <v>15114848.959999999</v>
      </c>
      <c r="E64" s="87">
        <f>D64/E21</f>
        <v>0.87925150323100409</v>
      </c>
    </row>
    <row r="65" spans="2:5">
      <c r="B65" s="21" t="s">
        <v>33</v>
      </c>
      <c r="C65" s="22" t="s">
        <v>118</v>
      </c>
      <c r="D65" s="86">
        <v>0</v>
      </c>
      <c r="E65" s="87">
        <v>0</v>
      </c>
    </row>
    <row r="66" spans="2:5">
      <c r="B66" s="21" t="s">
        <v>50</v>
      </c>
      <c r="C66" s="22" t="s">
        <v>51</v>
      </c>
      <c r="D66" s="86">
        <v>0</v>
      </c>
      <c r="E66" s="87">
        <v>0</v>
      </c>
    </row>
    <row r="67" spans="2:5">
      <c r="B67" s="14" t="s">
        <v>52</v>
      </c>
      <c r="C67" s="15" t="s">
        <v>53</v>
      </c>
      <c r="D67" s="84">
        <v>0</v>
      </c>
      <c r="E67" s="85">
        <v>0</v>
      </c>
    </row>
    <row r="68" spans="2:5">
      <c r="B68" s="14" t="s">
        <v>54</v>
      </c>
      <c r="C68" s="15" t="s">
        <v>55</v>
      </c>
      <c r="D68" s="84">
        <v>0</v>
      </c>
      <c r="E68" s="85">
        <v>0</v>
      </c>
    </row>
    <row r="69" spans="2:5">
      <c r="B69" s="14" t="s">
        <v>56</v>
      </c>
      <c r="C69" s="15" t="s">
        <v>57</v>
      </c>
      <c r="D69" s="334">
        <v>2159559.16</v>
      </c>
      <c r="E69" s="85">
        <f>D69/E21</f>
        <v>0.12562451948883283</v>
      </c>
    </row>
    <row r="70" spans="2:5">
      <c r="B70" s="119" t="s">
        <v>58</v>
      </c>
      <c r="C70" s="120" t="s">
        <v>59</v>
      </c>
      <c r="D70" s="121">
        <v>0</v>
      </c>
      <c r="E70" s="122">
        <v>0</v>
      </c>
    </row>
    <row r="71" spans="2:5">
      <c r="B71" s="127" t="s">
        <v>23</v>
      </c>
      <c r="C71" s="128" t="s">
        <v>61</v>
      </c>
      <c r="D71" s="129">
        <f>E13</f>
        <v>0</v>
      </c>
      <c r="E71" s="69">
        <v>0</v>
      </c>
    </row>
    <row r="72" spans="2:5">
      <c r="B72" s="123" t="s">
        <v>60</v>
      </c>
      <c r="C72" s="124" t="s">
        <v>63</v>
      </c>
      <c r="D72" s="125">
        <f>E14</f>
        <v>39231.03</v>
      </c>
      <c r="E72" s="126">
        <f>D72/E21</f>
        <v>2.282122844368841E-3</v>
      </c>
    </row>
    <row r="73" spans="2:5">
      <c r="B73" s="23" t="s">
        <v>62</v>
      </c>
      <c r="C73" s="24" t="s">
        <v>65</v>
      </c>
      <c r="D73" s="25">
        <f>E17</f>
        <v>123052.72</v>
      </c>
      <c r="E73" s="26">
        <f>D73/E21</f>
        <v>7.1581455642057467E-3</v>
      </c>
    </row>
    <row r="74" spans="2:5">
      <c r="B74" s="127" t="s">
        <v>64</v>
      </c>
      <c r="C74" s="128" t="s">
        <v>66</v>
      </c>
      <c r="D74" s="129">
        <f>D58+D71+D72-D73</f>
        <v>17190586.43</v>
      </c>
      <c r="E74" s="69">
        <f>E58+E72-E73</f>
        <v>0.99999999999999978</v>
      </c>
    </row>
    <row r="75" spans="2:5">
      <c r="B75" s="14" t="s">
        <v>4</v>
      </c>
      <c r="C75" s="15" t="s">
        <v>67</v>
      </c>
      <c r="D75" s="84">
        <f>D74</f>
        <v>17190586.43</v>
      </c>
      <c r="E75" s="85">
        <f>E74</f>
        <v>0.99999999999999978</v>
      </c>
    </row>
    <row r="76" spans="2:5">
      <c r="B76" s="14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6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52"/>
      <c r="E78" s="25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0">
    <pageSetUpPr fitToPage="1"/>
  </sheetPr>
  <dimension ref="A1:L81"/>
  <sheetViews>
    <sheetView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284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/>
      <c r="E11" s="284"/>
    </row>
    <row r="12" spans="2:12">
      <c r="B12" s="191" t="s">
        <v>4</v>
      </c>
      <c r="C12" s="192" t="s">
        <v>5</v>
      </c>
      <c r="D12" s="329"/>
      <c r="E12" s="353"/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/>
      <c r="E21" s="155"/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311762.11</v>
      </c>
      <c r="E26" s="270"/>
      <c r="G26" s="80"/>
    </row>
    <row r="27" spans="2:11">
      <c r="B27" s="9" t="s">
        <v>17</v>
      </c>
      <c r="C27" s="10" t="s">
        <v>111</v>
      </c>
      <c r="D27" s="226">
        <v>-224792.97999999998</v>
      </c>
      <c r="E27" s="263"/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/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224792.97999999998</v>
      </c>
      <c r="E32" s="264"/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222521.03</v>
      </c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99.02</v>
      </c>
      <c r="E35" s="265"/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2172.9299999999998</v>
      </c>
      <c r="E37" s="265"/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-2581.3000000000002</v>
      </c>
      <c r="E40" s="271"/>
      <c r="G40" s="80"/>
    </row>
    <row r="41" spans="2:10" ht="13.5" thickBot="1">
      <c r="B41" s="106" t="s">
        <v>37</v>
      </c>
      <c r="C41" s="107" t="s">
        <v>38</v>
      </c>
      <c r="D41" s="230">
        <v>84387.83</v>
      </c>
      <c r="E41" s="155"/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2668.5106999999998</v>
      </c>
      <c r="E47" s="79"/>
      <c r="G47" s="76"/>
    </row>
    <row r="48" spans="2:10">
      <c r="B48" s="204" t="s">
        <v>6</v>
      </c>
      <c r="C48" s="205" t="s">
        <v>41</v>
      </c>
      <c r="D48" s="232">
        <v>748.65</v>
      </c>
      <c r="E48" s="156"/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116.83</v>
      </c>
      <c r="E50" s="81"/>
      <c r="G50" s="190"/>
    </row>
    <row r="51" spans="2:7">
      <c r="B51" s="202" t="s">
        <v>6</v>
      </c>
      <c r="C51" s="203" t="s">
        <v>114</v>
      </c>
      <c r="D51" s="234">
        <v>111.36</v>
      </c>
      <c r="E51" s="81"/>
      <c r="G51" s="190"/>
    </row>
    <row r="52" spans="2:7">
      <c r="B52" s="202" t="s">
        <v>8</v>
      </c>
      <c r="C52" s="203" t="s">
        <v>115</v>
      </c>
      <c r="D52" s="234">
        <v>118.67</v>
      </c>
      <c r="E52" s="81"/>
    </row>
    <row r="53" spans="2:7" ht="14.25" customHeight="1" thickBot="1">
      <c r="B53" s="206" t="s">
        <v>9</v>
      </c>
      <c r="C53" s="207" t="s">
        <v>41</v>
      </c>
      <c r="D53" s="235">
        <v>112.72</v>
      </c>
      <c r="E53" s="272"/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0</v>
      </c>
      <c r="E58" s="32">
        <v>0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0</v>
      </c>
      <c r="E64" s="87">
        <v>0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0</v>
      </c>
      <c r="E74" s="69">
        <f>E58+E72-E73</f>
        <v>0</v>
      </c>
    </row>
    <row r="75" spans="2:5">
      <c r="B75" s="109" t="s">
        <v>4</v>
      </c>
      <c r="C75" s="15" t="s">
        <v>67</v>
      </c>
      <c r="D75" s="84">
        <f>D74</f>
        <v>0</v>
      </c>
      <c r="E75" s="85">
        <f>E74</f>
        <v>0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2"/>
  <dimension ref="A1:L81"/>
  <sheetViews>
    <sheetView zoomScale="80" zoomScaleNormal="80" workbookViewId="0">
      <selection activeCell="G15" sqref="G15:K4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235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89072.15</v>
      </c>
      <c r="E11" s="284">
        <f>SUM(E12:E14)</f>
        <v>93749.89</v>
      </c>
    </row>
    <row r="12" spans="2:12">
      <c r="B12" s="191" t="s">
        <v>4</v>
      </c>
      <c r="C12" s="192" t="s">
        <v>5</v>
      </c>
      <c r="D12" s="329">
        <v>89072.15</v>
      </c>
      <c r="E12" s="353">
        <v>93749.89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89072.15</v>
      </c>
      <c r="E21" s="155">
        <f>E11-E17</f>
        <v>93749.89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257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701126.99</v>
      </c>
      <c r="E26" s="270">
        <f>D21</f>
        <v>89072.15</v>
      </c>
      <c r="G26" s="80"/>
    </row>
    <row r="27" spans="2:11">
      <c r="B27" s="9" t="s">
        <v>17</v>
      </c>
      <c r="C27" s="10" t="s">
        <v>111</v>
      </c>
      <c r="D27" s="226">
        <v>105558.69</v>
      </c>
      <c r="E27" s="263">
        <f>E28-E32</f>
        <v>-502.87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114626.75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114626.75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9068.0600000000013</v>
      </c>
      <c r="E32" s="264">
        <f>SUM(E33:E39)</f>
        <v>502.87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2736.59</v>
      </c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145.58000000000001</v>
      </c>
      <c r="E35" s="265"/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6185.89</v>
      </c>
      <c r="E37" s="265">
        <v>502.87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-18937.07</v>
      </c>
      <c r="E40" s="271">
        <v>5180.6099999999997</v>
      </c>
      <c r="G40" s="80"/>
    </row>
    <row r="41" spans="2:10" ht="13.5" thickBot="1">
      <c r="B41" s="106" t="s">
        <v>37</v>
      </c>
      <c r="C41" s="107" t="s">
        <v>38</v>
      </c>
      <c r="D41" s="230">
        <v>787748.61</v>
      </c>
      <c r="E41" s="155">
        <f>E26+E27+E40</f>
        <v>93749.89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1264.33</v>
      </c>
      <c r="E47" s="79">
        <v>172.39</v>
      </c>
      <c r="G47" s="76"/>
    </row>
    <row r="48" spans="2:10">
      <c r="B48" s="204" t="s">
        <v>6</v>
      </c>
      <c r="C48" s="205" t="s">
        <v>41</v>
      </c>
      <c r="D48" s="232">
        <v>1449.81</v>
      </c>
      <c r="E48" s="156">
        <v>171.47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554.54430000000002</v>
      </c>
      <c r="E50" s="81">
        <v>516.68979999999999</v>
      </c>
      <c r="G50" s="190"/>
    </row>
    <row r="51" spans="2:7">
      <c r="B51" s="202" t="s">
        <v>6</v>
      </c>
      <c r="C51" s="203" t="s">
        <v>114</v>
      </c>
      <c r="D51" s="234">
        <v>537.93190000000004</v>
      </c>
      <c r="E51" s="81">
        <v>510.9015</v>
      </c>
      <c r="G51" s="190"/>
    </row>
    <row r="52" spans="2:7">
      <c r="B52" s="202" t="s">
        <v>8</v>
      </c>
      <c r="C52" s="203" t="s">
        <v>115</v>
      </c>
      <c r="D52" s="234">
        <v>577.61500000000001</v>
      </c>
      <c r="E52" s="81">
        <v>559.06830000000002</v>
      </c>
    </row>
    <row r="53" spans="2:7" ht="12.75" customHeight="1" thickBot="1">
      <c r="B53" s="206" t="s">
        <v>9</v>
      </c>
      <c r="C53" s="207" t="s">
        <v>41</v>
      </c>
      <c r="D53" s="235">
        <v>543.34609999999998</v>
      </c>
      <c r="E53" s="272">
        <v>546.74220000000003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93749.89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93749.89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93749.89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93749.89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3"/>
  <dimension ref="A1:L81"/>
  <sheetViews>
    <sheetView zoomScale="80" zoomScaleNormal="80" workbookViewId="0">
      <selection activeCell="G16" sqref="G16:L4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236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244"/>
      <c r="C10" s="246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44595.06</v>
      </c>
      <c r="E11" s="284">
        <f>SUM(E12:E14)</f>
        <v>50326.07</v>
      </c>
    </row>
    <row r="12" spans="2:12">
      <c r="B12" s="191" t="s">
        <v>4</v>
      </c>
      <c r="C12" s="192" t="s">
        <v>5</v>
      </c>
      <c r="D12" s="329">
        <v>44595.06</v>
      </c>
      <c r="E12" s="353">
        <v>50326.07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44595.06</v>
      </c>
      <c r="E21" s="155">
        <f>E11-E17</f>
        <v>50326.07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73246.179999999993</v>
      </c>
      <c r="E26" s="270">
        <f>D21</f>
        <v>44595.06</v>
      </c>
      <c r="G26" s="80"/>
    </row>
    <row r="27" spans="2:11">
      <c r="B27" s="9" t="s">
        <v>17</v>
      </c>
      <c r="C27" s="10" t="s">
        <v>111</v>
      </c>
      <c r="D27" s="226">
        <v>-17176.57</v>
      </c>
      <c r="E27" s="263">
        <f>E28-E32</f>
        <v>-500.41999999999996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17176.57</v>
      </c>
      <c r="E32" s="264">
        <f>SUM(E33:E39)</f>
        <v>500.41999999999996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16758.23</v>
      </c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62.32</v>
      </c>
      <c r="E35" s="265">
        <v>97.08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356.02</v>
      </c>
      <c r="E37" s="265">
        <v>403.34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-2596.5500000000002</v>
      </c>
      <c r="E40" s="271">
        <v>6231.43</v>
      </c>
      <c r="G40" s="80"/>
    </row>
    <row r="41" spans="2:10" ht="13.5" thickBot="1">
      <c r="B41" s="106" t="s">
        <v>37</v>
      </c>
      <c r="C41" s="107" t="s">
        <v>38</v>
      </c>
      <c r="D41" s="230">
        <v>53473.05999999999</v>
      </c>
      <c r="E41" s="155">
        <f>E26+E27+E40</f>
        <v>50326.07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1123.53</v>
      </c>
      <c r="E47" s="79">
        <v>826.07</v>
      </c>
      <c r="G47" s="76"/>
    </row>
    <row r="48" spans="2:10">
      <c r="B48" s="204" t="s">
        <v>6</v>
      </c>
      <c r="C48" s="205" t="s">
        <v>41</v>
      </c>
      <c r="D48" s="232">
        <v>854.22</v>
      </c>
      <c r="E48" s="156">
        <v>818.08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65.192899999999995</v>
      </c>
      <c r="E50" s="81">
        <v>53.9846</v>
      </c>
      <c r="G50" s="190"/>
    </row>
    <row r="51" spans="2:7">
      <c r="B51" s="202" t="s">
        <v>6</v>
      </c>
      <c r="C51" s="203" t="s">
        <v>114</v>
      </c>
      <c r="D51" s="234">
        <v>61.564300000000003</v>
      </c>
      <c r="E51" s="81">
        <v>52.552300000000002</v>
      </c>
      <c r="G51" s="190"/>
    </row>
    <row r="52" spans="2:7">
      <c r="B52" s="202" t="s">
        <v>8</v>
      </c>
      <c r="C52" s="203" t="s">
        <v>115</v>
      </c>
      <c r="D52" s="234">
        <v>69.4101</v>
      </c>
      <c r="E52" s="81">
        <v>64.505600000000001</v>
      </c>
    </row>
    <row r="53" spans="2:7" ht="12.75" customHeight="1" thickBot="1">
      <c r="B53" s="206" t="s">
        <v>9</v>
      </c>
      <c r="C53" s="207" t="s">
        <v>41</v>
      </c>
      <c r="D53" s="235">
        <v>62.598700000000001</v>
      </c>
      <c r="E53" s="272">
        <v>61.517299999999999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50326.07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50326.07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50326.07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50326.07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4"/>
  <dimension ref="A1:L81"/>
  <sheetViews>
    <sheetView zoomScale="80" zoomScaleNormal="80" workbookViewId="0">
      <selection activeCell="G17" sqref="G17:K4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237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66325.960000000006</v>
      </c>
      <c r="E11" s="284">
        <f>SUM(E12:E14)</f>
        <v>67804.34</v>
      </c>
    </row>
    <row r="12" spans="2:12">
      <c r="B12" s="191" t="s">
        <v>4</v>
      </c>
      <c r="C12" s="192" t="s">
        <v>5</v>
      </c>
      <c r="D12" s="329">
        <v>66325.960000000006</v>
      </c>
      <c r="E12" s="353">
        <v>67804.34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66325.960000000006</v>
      </c>
      <c r="E21" s="155">
        <f>E11-E17</f>
        <v>67804.34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157878.49</v>
      </c>
      <c r="E26" s="270">
        <f>D21</f>
        <v>66325.960000000006</v>
      </c>
      <c r="G26" s="80"/>
    </row>
    <row r="27" spans="2:11">
      <c r="B27" s="9" t="s">
        <v>17</v>
      </c>
      <c r="C27" s="10" t="s">
        <v>111</v>
      </c>
      <c r="D27" s="226">
        <v>-87013.89</v>
      </c>
      <c r="E27" s="263">
        <f>E28-E32</f>
        <v>-546.28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87013.89</v>
      </c>
      <c r="E32" s="264">
        <f>SUM(E33:E39)</f>
        <v>546.28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86021.3</v>
      </c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16.78</v>
      </c>
      <c r="E35" s="265">
        <v>20.399999999999999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975.81</v>
      </c>
      <c r="E37" s="265">
        <v>525.88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-3024.52</v>
      </c>
      <c r="E40" s="271">
        <v>2024.66</v>
      </c>
      <c r="G40" s="80"/>
    </row>
    <row r="41" spans="2:10" ht="13.5" thickBot="1">
      <c r="B41" s="106" t="s">
        <v>37</v>
      </c>
      <c r="C41" s="107" t="s">
        <v>38</v>
      </c>
      <c r="D41" s="230">
        <v>67840.079999999987</v>
      </c>
      <c r="E41" s="155">
        <f>E26+E27+E40</f>
        <v>67804.340000000011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1313.9</v>
      </c>
      <c r="E47" s="79">
        <v>583.62</v>
      </c>
      <c r="G47" s="76"/>
    </row>
    <row r="48" spans="2:10">
      <c r="B48" s="204" t="s">
        <v>6</v>
      </c>
      <c r="C48" s="205" t="s">
        <v>41</v>
      </c>
      <c r="D48" s="232">
        <v>588.26</v>
      </c>
      <c r="E48" s="156">
        <v>578.79999999999995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120.1602</v>
      </c>
      <c r="E50" s="81">
        <v>113.64579999999999</v>
      </c>
      <c r="G50" s="190"/>
    </row>
    <row r="51" spans="2:7">
      <c r="B51" s="202" t="s">
        <v>6</v>
      </c>
      <c r="C51" s="203" t="s">
        <v>114</v>
      </c>
      <c r="D51" s="234">
        <v>115.2199</v>
      </c>
      <c r="E51" s="81">
        <v>113.0044</v>
      </c>
      <c r="G51" s="190"/>
    </row>
    <row r="52" spans="2:7">
      <c r="B52" s="202" t="s">
        <v>8</v>
      </c>
      <c r="C52" s="203" t="s">
        <v>115</v>
      </c>
      <c r="D52" s="234">
        <v>124.76</v>
      </c>
      <c r="E52" s="81">
        <v>117.47930000000001</v>
      </c>
    </row>
    <row r="53" spans="2:7" ht="13.5" customHeight="1" thickBot="1">
      <c r="B53" s="206" t="s">
        <v>9</v>
      </c>
      <c r="C53" s="207" t="s">
        <v>41</v>
      </c>
      <c r="D53" s="235">
        <v>115.3233</v>
      </c>
      <c r="E53" s="272">
        <v>117.1464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67804.34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67804.34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67804.34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67804.34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5"/>
  <dimension ref="A1:L81"/>
  <sheetViews>
    <sheetView zoomScale="80" zoomScaleNormal="80" workbookViewId="0">
      <selection activeCell="G13" sqref="G13:K4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238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1112675.3500000001</v>
      </c>
      <c r="E11" s="284">
        <f>SUM(E12:E14)</f>
        <v>1033889.88</v>
      </c>
    </row>
    <row r="12" spans="2:12">
      <c r="B12" s="191" t="s">
        <v>4</v>
      </c>
      <c r="C12" s="192" t="s">
        <v>5</v>
      </c>
      <c r="D12" s="329">
        <v>1112675.3500000001</v>
      </c>
      <c r="E12" s="353">
        <v>1033889.88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1112675.3500000001</v>
      </c>
      <c r="E21" s="155">
        <f>E11-E17</f>
        <v>1033889.88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1547000.98</v>
      </c>
      <c r="E26" s="270">
        <f>D21</f>
        <v>1112675.3500000001</v>
      </c>
      <c r="G26" s="80"/>
    </row>
    <row r="27" spans="2:11">
      <c r="B27" s="9" t="s">
        <v>17</v>
      </c>
      <c r="C27" s="10" t="s">
        <v>111</v>
      </c>
      <c r="D27" s="226">
        <v>-128280.23000000004</v>
      </c>
      <c r="E27" s="263">
        <f>E28-E32</f>
        <v>-203250.53999999998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264478.38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264478.38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392758.61000000004</v>
      </c>
      <c r="E32" s="264">
        <f>SUM(E33:E39)</f>
        <v>203250.53999999998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348824.11</v>
      </c>
      <c r="E33" s="265">
        <v>10730.98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988.39</v>
      </c>
      <c r="E35" s="265">
        <v>742.56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11392.27</v>
      </c>
      <c r="E37" s="265">
        <v>7665.45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31553.84</v>
      </c>
      <c r="E39" s="266">
        <v>184111.55</v>
      </c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-19925.38</v>
      </c>
      <c r="E40" s="271">
        <v>124465.07</v>
      </c>
      <c r="G40" s="80"/>
    </row>
    <row r="41" spans="2:10" ht="13.5" thickBot="1">
      <c r="B41" s="106" t="s">
        <v>37</v>
      </c>
      <c r="C41" s="107" t="s">
        <v>38</v>
      </c>
      <c r="D41" s="230">
        <v>1398795.37</v>
      </c>
      <c r="E41" s="155">
        <f>E26+E27+E40</f>
        <v>1033889.8800000001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12705.57</v>
      </c>
      <c r="E47" s="79">
        <v>10943.3</v>
      </c>
      <c r="G47" s="76"/>
    </row>
    <row r="48" spans="2:10">
      <c r="B48" s="204" t="s">
        <v>6</v>
      </c>
      <c r="C48" s="205" t="s">
        <v>41</v>
      </c>
      <c r="D48" s="232">
        <v>11607.22</v>
      </c>
      <c r="E48" s="156">
        <v>9057.5300000000007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121.7577</v>
      </c>
      <c r="E50" s="81">
        <v>101.6764</v>
      </c>
      <c r="G50" s="190"/>
    </row>
    <row r="51" spans="2:7">
      <c r="B51" s="202" t="s">
        <v>6</v>
      </c>
      <c r="C51" s="203" t="s">
        <v>114</v>
      </c>
      <c r="D51" s="234">
        <v>118.11199999999999</v>
      </c>
      <c r="E51" s="81">
        <v>101.1045</v>
      </c>
      <c r="G51" s="190"/>
    </row>
    <row r="52" spans="2:7">
      <c r="B52" s="202" t="s">
        <v>8</v>
      </c>
      <c r="C52" s="203" t="s">
        <v>115</v>
      </c>
      <c r="D52" s="234">
        <v>128.25800000000001</v>
      </c>
      <c r="E52" s="81">
        <v>117.5651</v>
      </c>
    </row>
    <row r="53" spans="2:7" ht="12.75" customHeight="1" thickBot="1">
      <c r="B53" s="206" t="s">
        <v>9</v>
      </c>
      <c r="C53" s="207" t="s">
        <v>41</v>
      </c>
      <c r="D53" s="235">
        <v>120.5108</v>
      </c>
      <c r="E53" s="272">
        <v>114.14700000000001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1033889.88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1033889.88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1033889.88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1033889.88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6">
    <pageSetUpPr fitToPage="1"/>
  </sheetPr>
  <dimension ref="A1:L81"/>
  <sheetViews>
    <sheetView zoomScale="80" zoomScaleNormal="80" workbookViewId="0">
      <selection activeCell="G19" sqref="G19:L4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239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728664.48</v>
      </c>
      <c r="E11" s="284">
        <f>SUM(E12:E14)</f>
        <v>810380.17999999993</v>
      </c>
    </row>
    <row r="12" spans="2:12">
      <c r="B12" s="191" t="s">
        <v>4</v>
      </c>
      <c r="C12" s="192" t="s">
        <v>5</v>
      </c>
      <c r="D12" s="329">
        <v>728664.48</v>
      </c>
      <c r="E12" s="353">
        <f>810405.69-25.51</f>
        <v>810380.17999999993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728664.48</v>
      </c>
      <c r="E21" s="155">
        <f>E11-E17</f>
        <v>810380.17999999993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1474348.99</v>
      </c>
      <c r="E26" s="270">
        <f>D21</f>
        <v>728664.48</v>
      </c>
      <c r="G26" s="80"/>
    </row>
    <row r="27" spans="2:11">
      <c r="B27" s="9" t="s">
        <v>17</v>
      </c>
      <c r="C27" s="10" t="s">
        <v>111</v>
      </c>
      <c r="D27" s="226">
        <v>-487456.80000000005</v>
      </c>
      <c r="E27" s="263">
        <f>E28-E32</f>
        <v>-6171.95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4346.87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4346.87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491803.67000000004</v>
      </c>
      <c r="E32" s="264">
        <f>SUM(E33:E39)</f>
        <v>6171.95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433659.32</v>
      </c>
      <c r="E33" s="265">
        <v>2.75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240.09</v>
      </c>
      <c r="E35" s="265">
        <v>113.78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9982.11</v>
      </c>
      <c r="E37" s="265">
        <v>6055.42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47922.15</v>
      </c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-85664.47</v>
      </c>
      <c r="E40" s="271">
        <v>87887.65</v>
      </c>
      <c r="G40" s="80"/>
    </row>
    <row r="41" spans="2:10" ht="13.5" thickBot="1">
      <c r="B41" s="106" t="s">
        <v>37</v>
      </c>
      <c r="C41" s="107" t="s">
        <v>38</v>
      </c>
      <c r="D41" s="230">
        <v>901227.72</v>
      </c>
      <c r="E41" s="155">
        <f>E26+E27+E40</f>
        <v>810380.18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3059.04</v>
      </c>
      <c r="E47" s="79">
        <v>1921.119983</v>
      </c>
      <c r="G47" s="76"/>
    </row>
    <row r="48" spans="2:10">
      <c r="B48" s="204" t="s">
        <v>6</v>
      </c>
      <c r="C48" s="205" t="s">
        <v>41</v>
      </c>
      <c r="D48" s="232">
        <v>2090.1799999999998</v>
      </c>
      <c r="E48" s="156">
        <f>E21/E53</f>
        <v>1906.0100053860681</v>
      </c>
      <c r="G48" s="211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481.96460000000002</v>
      </c>
      <c r="E50" s="81">
        <v>379.29149999999998</v>
      </c>
      <c r="G50" s="190"/>
    </row>
    <row r="51" spans="2:7">
      <c r="B51" s="202" t="s">
        <v>6</v>
      </c>
      <c r="C51" s="203" t="s">
        <v>114</v>
      </c>
      <c r="D51" s="234">
        <v>429.23559999999998</v>
      </c>
      <c r="E51" s="81">
        <v>379.29149999999998</v>
      </c>
      <c r="G51" s="190"/>
    </row>
    <row r="52" spans="2:7">
      <c r="B52" s="202" t="s">
        <v>8</v>
      </c>
      <c r="C52" s="203" t="s">
        <v>115</v>
      </c>
      <c r="D52" s="234">
        <v>519.31799999999998</v>
      </c>
      <c r="E52" s="273">
        <v>427.39070000000004</v>
      </c>
    </row>
    <row r="53" spans="2:7" ht="12.75" customHeight="1" thickBot="1">
      <c r="B53" s="206" t="s">
        <v>9</v>
      </c>
      <c r="C53" s="207" t="s">
        <v>41</v>
      </c>
      <c r="D53" s="235">
        <v>431.17230000000001</v>
      </c>
      <c r="E53" s="272">
        <v>425.17099999999999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810380.17999999993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810380.17999999993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810380.17999999993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810380.17999999993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7">
    <pageSetUpPr fitToPage="1"/>
  </sheetPr>
  <dimension ref="A1:L81"/>
  <sheetViews>
    <sheetView zoomScale="80" zoomScaleNormal="80" workbookViewId="0">
      <selection activeCell="G15" sqref="G15:M4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240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741231.13</v>
      </c>
      <c r="E11" s="284">
        <f>SUM(E12:E14)</f>
        <v>786169.75</v>
      </c>
    </row>
    <row r="12" spans="2:12">
      <c r="B12" s="191" t="s">
        <v>4</v>
      </c>
      <c r="C12" s="192" t="s">
        <v>5</v>
      </c>
      <c r="D12" s="329">
        <v>741231.13</v>
      </c>
      <c r="E12" s="353">
        <v>786169.75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741231.13</v>
      </c>
      <c r="E21" s="155">
        <f>E11-E17</f>
        <v>786169.75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1142542.57</v>
      </c>
      <c r="E26" s="270">
        <f>D21</f>
        <v>741231.13</v>
      </c>
      <c r="G26" s="80"/>
    </row>
    <row r="27" spans="2:11">
      <c r="B27" s="9" t="s">
        <v>17</v>
      </c>
      <c r="C27" s="10" t="s">
        <v>111</v>
      </c>
      <c r="D27" s="226">
        <v>74829.33</v>
      </c>
      <c r="E27" s="263">
        <f>E28-E32</f>
        <v>-6321.18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152552.97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152552.97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77723.64</v>
      </c>
      <c r="E32" s="264">
        <f>SUM(E33:E39)</f>
        <v>6321.18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67627.33</v>
      </c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256.26</v>
      </c>
      <c r="E35" s="265">
        <v>335.02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9840.0499999999993</v>
      </c>
      <c r="E37" s="265">
        <v>5986.16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-28032.240000000002</v>
      </c>
      <c r="E40" s="271">
        <v>51259.8</v>
      </c>
      <c r="G40" s="80"/>
    </row>
    <row r="41" spans="2:10" ht="13.5" thickBot="1">
      <c r="B41" s="106" t="s">
        <v>37</v>
      </c>
      <c r="C41" s="107" t="s">
        <v>38</v>
      </c>
      <c r="D41" s="230">
        <v>1189339.6600000001</v>
      </c>
      <c r="E41" s="155">
        <f>E26+E27+E40</f>
        <v>786169.75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1856.41</v>
      </c>
      <c r="E47" s="79">
        <v>1314.62</v>
      </c>
      <c r="G47" s="76"/>
    </row>
    <row r="48" spans="2:10">
      <c r="B48" s="204" t="s">
        <v>6</v>
      </c>
      <c r="C48" s="205" t="s">
        <v>41</v>
      </c>
      <c r="D48" s="232">
        <v>1970.22</v>
      </c>
      <c r="E48" s="156">
        <v>1303.8800000000001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615.45809999999994</v>
      </c>
      <c r="E50" s="81">
        <v>563.83680000000004</v>
      </c>
      <c r="G50" s="190"/>
    </row>
    <row r="51" spans="2:7">
      <c r="B51" s="202" t="s">
        <v>6</v>
      </c>
      <c r="C51" s="203" t="s">
        <v>114</v>
      </c>
      <c r="D51" s="234">
        <v>602.36760000000004</v>
      </c>
      <c r="E51" s="81">
        <v>565.31780000000003</v>
      </c>
      <c r="G51" s="190"/>
    </row>
    <row r="52" spans="2:7">
      <c r="B52" s="202" t="s">
        <v>8</v>
      </c>
      <c r="C52" s="203" t="s">
        <v>115</v>
      </c>
      <c r="D52" s="234">
        <v>632.10299999999995</v>
      </c>
      <c r="E52" s="81">
        <v>605.66340000000002</v>
      </c>
    </row>
    <row r="53" spans="2:7" ht="13.5" customHeight="1" thickBot="1">
      <c r="B53" s="206" t="s">
        <v>9</v>
      </c>
      <c r="C53" s="207" t="s">
        <v>41</v>
      </c>
      <c r="D53" s="235">
        <v>603.65830000000005</v>
      </c>
      <c r="E53" s="272">
        <v>602.94640000000004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786169.75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786169.75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786169.75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786169.75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8">
    <pageSetUpPr fitToPage="1"/>
  </sheetPr>
  <dimension ref="A1:L81"/>
  <sheetViews>
    <sheetView zoomScale="80" zoomScaleNormal="80" workbookViewId="0">
      <selection activeCell="G19" sqref="G19:L3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  <c r="H1" s="167"/>
      <c r="I1" s="167"/>
      <c r="J1" s="167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241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692537.26</v>
      </c>
      <c r="E11" s="284">
        <f>SUM(E12:E14)</f>
        <v>749455.42</v>
      </c>
    </row>
    <row r="12" spans="2:12">
      <c r="B12" s="191" t="s">
        <v>4</v>
      </c>
      <c r="C12" s="192" t="s">
        <v>5</v>
      </c>
      <c r="D12" s="329">
        <v>692537.26</v>
      </c>
      <c r="E12" s="353">
        <v>749455.42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692537.26</v>
      </c>
      <c r="E21" s="155">
        <f>E11-E17</f>
        <v>749455.42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691426.31</v>
      </c>
      <c r="E26" s="270">
        <f>D21</f>
        <v>692537.26</v>
      </c>
      <c r="G26" s="80"/>
    </row>
    <row r="27" spans="2:11">
      <c r="B27" s="9" t="s">
        <v>17</v>
      </c>
      <c r="C27" s="10" t="s">
        <v>111</v>
      </c>
      <c r="D27" s="226">
        <v>146201.35999999999</v>
      </c>
      <c r="E27" s="263">
        <f>E28-E32</f>
        <v>-7141.85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152552.95999999999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152552.95999999999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6351.6</v>
      </c>
      <c r="E32" s="264">
        <f>SUM(E33:E39)</f>
        <v>7141.85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>
        <v>1169.83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50.96</v>
      </c>
      <c r="E35" s="265">
        <v>46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6300.64</v>
      </c>
      <c r="E37" s="265">
        <v>5926.02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-50912.17</v>
      </c>
      <c r="E40" s="271">
        <v>64060.01</v>
      </c>
      <c r="G40" s="80"/>
    </row>
    <row r="41" spans="2:10" ht="13.5" thickBot="1">
      <c r="B41" s="106" t="s">
        <v>37</v>
      </c>
      <c r="C41" s="107" t="s">
        <v>38</v>
      </c>
      <c r="D41" s="230">
        <v>786715.5</v>
      </c>
      <c r="E41" s="155">
        <f>E26+E27+E40</f>
        <v>749455.42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1745.02</v>
      </c>
      <c r="E47" s="79">
        <v>1929.68</v>
      </c>
      <c r="G47" s="76"/>
    </row>
    <row r="48" spans="2:10">
      <c r="B48" s="204" t="s">
        <v>6</v>
      </c>
      <c r="C48" s="205" t="s">
        <v>41</v>
      </c>
      <c r="D48" s="232">
        <v>2105.29</v>
      </c>
      <c r="E48" s="156">
        <v>1911.02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396.22829999999999</v>
      </c>
      <c r="E50" s="81">
        <v>358.88709999999998</v>
      </c>
      <c r="G50" s="190"/>
    </row>
    <row r="51" spans="2:7">
      <c r="B51" s="202" t="s">
        <v>6</v>
      </c>
      <c r="C51" s="203" t="s">
        <v>114</v>
      </c>
      <c r="D51" s="234">
        <v>373.52409999999998</v>
      </c>
      <c r="E51" s="81">
        <v>358.4853</v>
      </c>
      <c r="G51" s="190"/>
    </row>
    <row r="52" spans="2:7">
      <c r="B52" s="202" t="s">
        <v>8</v>
      </c>
      <c r="C52" s="203" t="s">
        <v>115</v>
      </c>
      <c r="D52" s="234">
        <v>405.21600000000001</v>
      </c>
      <c r="E52" s="81">
        <v>395.08680000000004</v>
      </c>
    </row>
    <row r="53" spans="2:7" ht="14.25" customHeight="1" thickBot="1">
      <c r="B53" s="206" t="s">
        <v>9</v>
      </c>
      <c r="C53" s="207" t="s">
        <v>41</v>
      </c>
      <c r="D53" s="235">
        <v>373.68509999999998</v>
      </c>
      <c r="E53" s="272">
        <v>392.17559999999997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749455.42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749455.42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749455.42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749455.42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9">
    <pageSetUpPr fitToPage="1"/>
  </sheetPr>
  <dimension ref="A1:L81"/>
  <sheetViews>
    <sheetView zoomScale="80" zoomScaleNormal="80" workbookViewId="0">
      <selection activeCell="G14" sqref="G14:L4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8"/>
      <c r="C4" s="148"/>
      <c r="D4" s="148"/>
      <c r="E4" s="148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285</v>
      </c>
      <c r="C6" s="497"/>
      <c r="D6" s="497"/>
      <c r="E6" s="497"/>
    </row>
    <row r="7" spans="2:12" ht="14.25">
      <c r="B7" s="146"/>
      <c r="C7" s="146"/>
      <c r="D7" s="146"/>
      <c r="E7" s="14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7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/>
      <c r="E11" s="284"/>
    </row>
    <row r="12" spans="2:12">
      <c r="B12" s="191" t="s">
        <v>4</v>
      </c>
      <c r="C12" s="192" t="s">
        <v>5</v>
      </c>
      <c r="D12" s="329"/>
      <c r="E12" s="353"/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/>
      <c r="E21" s="155"/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0</v>
      </c>
      <c r="E26" s="270">
        <f>D21</f>
        <v>0</v>
      </c>
      <c r="G26" s="80"/>
    </row>
    <row r="27" spans="2:11">
      <c r="B27" s="9" t="s">
        <v>17</v>
      </c>
      <c r="C27" s="10" t="s">
        <v>111</v>
      </c>
      <c r="D27" s="226">
        <v>-0.52</v>
      </c>
      <c r="E27" s="263">
        <f>E28-E32</f>
        <v>-0.33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0.52</v>
      </c>
      <c r="E32" s="264">
        <f>SUM(E33:E39)</f>
        <v>0.33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>
        <v>0.33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/>
      <c r="E35" s="265"/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/>
      <c r="E37" s="265"/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0.52</v>
      </c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0.52</v>
      </c>
      <c r="E40" s="271">
        <v>0.33</v>
      </c>
      <c r="G40" s="80"/>
    </row>
    <row r="41" spans="2:10" ht="13.5" thickBot="1">
      <c r="B41" s="106" t="s">
        <v>37</v>
      </c>
      <c r="C41" s="107" t="s">
        <v>38</v>
      </c>
      <c r="D41" s="230">
        <v>0</v>
      </c>
      <c r="E41" s="155">
        <f>E26+E27+E40</f>
        <v>0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/>
      <c r="E47" s="79"/>
      <c r="G47" s="210"/>
    </row>
    <row r="48" spans="2:10">
      <c r="B48" s="204" t="s">
        <v>6</v>
      </c>
      <c r="C48" s="205" t="s">
        <v>41</v>
      </c>
      <c r="D48" s="232"/>
      <c r="E48" s="156"/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/>
      <c r="E50" s="81"/>
      <c r="G50" s="190"/>
    </row>
    <row r="51" spans="2:7">
      <c r="B51" s="202" t="s">
        <v>6</v>
      </c>
      <c r="C51" s="203" t="s">
        <v>114</v>
      </c>
      <c r="D51" s="234"/>
      <c r="E51" s="273"/>
      <c r="G51" s="190"/>
    </row>
    <row r="52" spans="2:7">
      <c r="B52" s="202" t="s">
        <v>8</v>
      </c>
      <c r="C52" s="203" t="s">
        <v>115</v>
      </c>
      <c r="D52" s="234"/>
      <c r="E52" s="273"/>
    </row>
    <row r="53" spans="2:7" ht="12.75" customHeight="1" thickBot="1">
      <c r="B53" s="206" t="s">
        <v>9</v>
      </c>
      <c r="C53" s="207" t="s">
        <v>41</v>
      </c>
      <c r="D53" s="235"/>
      <c r="E53" s="272"/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0</v>
      </c>
      <c r="E58" s="32">
        <v>0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E12</f>
        <v>0</v>
      </c>
      <c r="E64" s="87">
        <v>0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D58-D73</f>
        <v>0</v>
      </c>
      <c r="E74" s="69">
        <f>E58+E72-E73</f>
        <v>0</v>
      </c>
    </row>
    <row r="75" spans="2:5">
      <c r="B75" s="109" t="s">
        <v>4</v>
      </c>
      <c r="C75" s="15" t="s">
        <v>67</v>
      </c>
      <c r="D75" s="84">
        <f>D74</f>
        <v>0</v>
      </c>
      <c r="E75" s="85">
        <f>E74</f>
        <v>0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0">
    <pageSetUpPr fitToPage="1"/>
  </sheetPr>
  <dimension ref="A1:L81"/>
  <sheetViews>
    <sheetView zoomScale="80" zoomScaleNormal="80" workbookViewId="0">
      <selection activeCell="G15" sqref="G15:O7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1"/>
      <c r="C4" s="151"/>
      <c r="D4" s="151"/>
      <c r="E4" s="15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242</v>
      </c>
      <c r="C6" s="497"/>
      <c r="D6" s="497"/>
      <c r="E6" s="497"/>
    </row>
    <row r="7" spans="2:12" ht="14.25">
      <c r="B7" s="149"/>
      <c r="C7" s="149"/>
      <c r="D7" s="149"/>
      <c r="E7" s="149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0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13683.78</v>
      </c>
      <c r="E11" s="284">
        <f>SUM(E12:E14)</f>
        <v>13117.2</v>
      </c>
    </row>
    <row r="12" spans="2:12">
      <c r="B12" s="191" t="s">
        <v>4</v>
      </c>
      <c r="C12" s="192" t="s">
        <v>5</v>
      </c>
      <c r="D12" s="329">
        <v>13683.78</v>
      </c>
      <c r="E12" s="353">
        <v>13117.2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13683.78</v>
      </c>
      <c r="E21" s="155">
        <f>E11-E17</f>
        <v>13117.2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18631.87</v>
      </c>
      <c r="E26" s="270">
        <f>D21</f>
        <v>13683.78</v>
      </c>
      <c r="G26" s="80"/>
    </row>
    <row r="27" spans="2:11">
      <c r="B27" s="9" t="s">
        <v>17</v>
      </c>
      <c r="C27" s="10" t="s">
        <v>111</v>
      </c>
      <c r="D27" s="226">
        <v>-208.35</v>
      </c>
      <c r="E27" s="263">
        <f>E28-E32</f>
        <v>-1155.17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208.35</v>
      </c>
      <c r="E32" s="264">
        <f>SUM(E33:E39)</f>
        <v>1155.17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>
        <v>992.23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33.76</v>
      </c>
      <c r="E35" s="265">
        <v>29.04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174.59</v>
      </c>
      <c r="E37" s="265">
        <v>133.9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-221.72</v>
      </c>
      <c r="E40" s="271">
        <v>588.59</v>
      </c>
      <c r="G40" s="80"/>
    </row>
    <row r="41" spans="2:10" ht="13.5" thickBot="1">
      <c r="B41" s="106" t="s">
        <v>37</v>
      </c>
      <c r="C41" s="107" t="s">
        <v>38</v>
      </c>
      <c r="D41" s="230">
        <v>18201.8</v>
      </c>
      <c r="E41" s="155">
        <f>E26+E27+E40</f>
        <v>13117.2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134.68170000000001</v>
      </c>
      <c r="E47" s="79">
        <v>102.50020000000001</v>
      </c>
      <c r="G47" s="76"/>
    </row>
    <row r="48" spans="2:10">
      <c r="B48" s="204" t="s">
        <v>6</v>
      </c>
      <c r="C48" s="205" t="s">
        <v>41</v>
      </c>
      <c r="D48" s="232">
        <v>133.17089999999999</v>
      </c>
      <c r="E48" s="156">
        <v>94.090800000000002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138.34</v>
      </c>
      <c r="E50" s="81">
        <v>133.5</v>
      </c>
      <c r="G50" s="190"/>
    </row>
    <row r="51" spans="2:7">
      <c r="B51" s="202" t="s">
        <v>6</v>
      </c>
      <c r="C51" s="203" t="s">
        <v>114</v>
      </c>
      <c r="D51" s="234">
        <v>136.58000000000001</v>
      </c>
      <c r="E51" s="81">
        <v>133.32</v>
      </c>
      <c r="G51" s="190"/>
    </row>
    <row r="52" spans="2:7">
      <c r="B52" s="202" t="s">
        <v>8</v>
      </c>
      <c r="C52" s="203" t="s">
        <v>115</v>
      </c>
      <c r="D52" s="234">
        <v>139.07</v>
      </c>
      <c r="E52" s="81">
        <v>139.66</v>
      </c>
    </row>
    <row r="53" spans="2:7" ht="12.75" customHeight="1" thickBot="1">
      <c r="B53" s="206" t="s">
        <v>9</v>
      </c>
      <c r="C53" s="207" t="s">
        <v>41</v>
      </c>
      <c r="D53" s="235">
        <v>136.68</v>
      </c>
      <c r="E53" s="272">
        <v>139.41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13117.2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13117.2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13117.2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13117.2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L81"/>
  <sheetViews>
    <sheetView zoomScale="80" zoomScaleNormal="80" workbookViewId="0">
      <selection activeCell="J32" sqref="J3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570312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2"/>
      <c r="C4" s="92"/>
      <c r="D4" s="92"/>
      <c r="E4" s="92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147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3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11434728.35</v>
      </c>
      <c r="E11" s="284">
        <f>SUM(E12:E14)</f>
        <v>11355928.84</v>
      </c>
    </row>
    <row r="12" spans="2:12">
      <c r="B12" s="113" t="s">
        <v>4</v>
      </c>
      <c r="C12" s="6" t="s">
        <v>5</v>
      </c>
      <c r="D12" s="329">
        <v>11410854.119999999</v>
      </c>
      <c r="E12" s="353">
        <f>10692118.58+659282.12+18.06-3272.99</f>
        <v>11348145.77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>
        <v>23874.23</v>
      </c>
      <c r="E14" s="354">
        <f>E15</f>
        <v>7783.07</v>
      </c>
    </row>
    <row r="15" spans="2:12">
      <c r="B15" s="113" t="s">
        <v>106</v>
      </c>
      <c r="C15" s="71" t="s">
        <v>11</v>
      </c>
      <c r="D15" s="322">
        <v>23874.23</v>
      </c>
      <c r="E15" s="354">
        <v>7783.07</v>
      </c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>
        <v>16964.79</v>
      </c>
      <c r="E17" s="356">
        <f>E18</f>
        <v>105776.38</v>
      </c>
    </row>
    <row r="18" spans="2:11">
      <c r="B18" s="113" t="s">
        <v>4</v>
      </c>
      <c r="C18" s="6" t="s">
        <v>11</v>
      </c>
      <c r="D18" s="324">
        <v>16964.79</v>
      </c>
      <c r="E18" s="355">
        <v>105776.38</v>
      </c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11417763.560000001</v>
      </c>
      <c r="E21" s="155">
        <f>E11-E17</f>
        <v>11250152.459999999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8" customHeight="1" thickBot="1">
      <c r="B24" s="498" t="s">
        <v>105</v>
      </c>
      <c r="C24" s="508"/>
      <c r="D24" s="508"/>
      <c r="E24" s="508"/>
    </row>
    <row r="25" spans="2:11" ht="13.5" thickBot="1">
      <c r="B25" s="93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16103957.739999998</v>
      </c>
      <c r="E26" s="270">
        <f>D21</f>
        <v>11417763.560000001</v>
      </c>
      <c r="G26" s="80"/>
    </row>
    <row r="27" spans="2:11">
      <c r="B27" s="9" t="s">
        <v>17</v>
      </c>
      <c r="C27" s="10" t="s">
        <v>111</v>
      </c>
      <c r="D27" s="226">
        <v>-1702918.67</v>
      </c>
      <c r="E27" s="263">
        <f>E28-E32</f>
        <v>-968629.9800000001</v>
      </c>
      <c r="F27" s="76"/>
      <c r="G27" s="160"/>
      <c r="H27" s="278"/>
      <c r="I27" s="359"/>
      <c r="J27" s="359"/>
    </row>
    <row r="28" spans="2:11">
      <c r="B28" s="9" t="s">
        <v>18</v>
      </c>
      <c r="C28" s="10" t="s">
        <v>19</v>
      </c>
      <c r="D28" s="226">
        <v>705039.33000000007</v>
      </c>
      <c r="E28" s="264">
        <f>SUM(E29:E31)</f>
        <v>551459.1</v>
      </c>
      <c r="F28" s="76"/>
      <c r="G28" s="160"/>
      <c r="H28" s="359"/>
      <c r="I28" s="359"/>
      <c r="J28" s="359"/>
    </row>
    <row r="29" spans="2:11">
      <c r="B29" s="111" t="s">
        <v>4</v>
      </c>
      <c r="C29" s="6" t="s">
        <v>20</v>
      </c>
      <c r="D29" s="227">
        <v>654783.60000000009</v>
      </c>
      <c r="E29" s="265">
        <v>537447.72</v>
      </c>
      <c r="F29" s="76"/>
      <c r="G29" s="160"/>
      <c r="H29" s="359"/>
      <c r="I29" s="359"/>
      <c r="J29" s="359"/>
    </row>
    <row r="30" spans="2:11">
      <c r="B30" s="111" t="s">
        <v>6</v>
      </c>
      <c r="C30" s="6" t="s">
        <v>21</v>
      </c>
      <c r="D30" s="227"/>
      <c r="E30" s="265"/>
      <c r="F30" s="76"/>
      <c r="G30" s="160"/>
      <c r="H30" s="359"/>
      <c r="I30" s="359"/>
      <c r="J30" s="359"/>
    </row>
    <row r="31" spans="2:11">
      <c r="B31" s="111" t="s">
        <v>8</v>
      </c>
      <c r="C31" s="6" t="s">
        <v>22</v>
      </c>
      <c r="D31" s="227">
        <v>50255.73</v>
      </c>
      <c r="E31" s="265">
        <v>14011.38</v>
      </c>
      <c r="F31" s="76"/>
      <c r="G31" s="160"/>
      <c r="H31" s="359"/>
      <c r="I31" s="359"/>
      <c r="J31" s="359"/>
    </row>
    <row r="32" spans="2:11">
      <c r="B32" s="99" t="s">
        <v>23</v>
      </c>
      <c r="C32" s="11" t="s">
        <v>24</v>
      </c>
      <c r="D32" s="226">
        <v>2407958</v>
      </c>
      <c r="E32" s="264">
        <f>SUM(E33:E39)</f>
        <v>1520089.08</v>
      </c>
      <c r="F32" s="76"/>
      <c r="G32" s="160"/>
      <c r="H32" s="359"/>
      <c r="I32" s="359"/>
      <c r="J32" s="359"/>
    </row>
    <row r="33" spans="2:10">
      <c r="B33" s="111" t="s">
        <v>4</v>
      </c>
      <c r="C33" s="6" t="s">
        <v>25</v>
      </c>
      <c r="D33" s="227">
        <v>1998710.36</v>
      </c>
      <c r="E33" s="265">
        <f>1129153.67+1009.49</f>
        <v>1130163.1599999999</v>
      </c>
      <c r="F33" s="76"/>
      <c r="G33" s="160"/>
      <c r="H33" s="359"/>
      <c r="I33" s="359"/>
      <c r="J33" s="359"/>
    </row>
    <row r="34" spans="2:10">
      <c r="B34" s="111" t="s">
        <v>6</v>
      </c>
      <c r="C34" s="6" t="s">
        <v>26</v>
      </c>
      <c r="D34" s="227"/>
      <c r="E34" s="265"/>
      <c r="F34" s="76"/>
      <c r="G34" s="160"/>
      <c r="H34" s="359"/>
      <c r="I34" s="359"/>
      <c r="J34" s="359"/>
    </row>
    <row r="35" spans="2:10">
      <c r="B35" s="111" t="s">
        <v>8</v>
      </c>
      <c r="C35" s="6" t="s">
        <v>27</v>
      </c>
      <c r="D35" s="227">
        <v>64492.07</v>
      </c>
      <c r="E35" s="265">
        <v>67114.8</v>
      </c>
      <c r="F35" s="76"/>
      <c r="G35" s="160"/>
      <c r="H35" s="359"/>
      <c r="I35" s="359"/>
      <c r="J35" s="359"/>
    </row>
    <row r="36" spans="2:10">
      <c r="B36" s="111" t="s">
        <v>9</v>
      </c>
      <c r="C36" s="6" t="s">
        <v>28</v>
      </c>
      <c r="D36" s="227"/>
      <c r="E36" s="265"/>
      <c r="F36" s="76"/>
      <c r="G36" s="160"/>
      <c r="H36" s="359"/>
      <c r="I36" s="359"/>
      <c r="J36" s="359"/>
    </row>
    <row r="37" spans="2:10" ht="25.5">
      <c r="B37" s="111" t="s">
        <v>29</v>
      </c>
      <c r="C37" s="6" t="s">
        <v>30</v>
      </c>
      <c r="D37" s="227">
        <v>121017.57</v>
      </c>
      <c r="E37" s="265">
        <v>88187.260000000009</v>
      </c>
      <c r="F37" s="76"/>
      <c r="G37" s="160"/>
      <c r="H37" s="359"/>
      <c r="I37" s="359"/>
      <c r="J37" s="359"/>
    </row>
    <row r="38" spans="2:10">
      <c r="B38" s="111" t="s">
        <v>31</v>
      </c>
      <c r="C38" s="6" t="s">
        <v>32</v>
      </c>
      <c r="D38" s="227"/>
      <c r="E38" s="265"/>
      <c r="F38" s="76"/>
      <c r="G38" s="160"/>
      <c r="H38" s="359"/>
      <c r="I38" s="359"/>
      <c r="J38" s="359"/>
    </row>
    <row r="39" spans="2:10">
      <c r="B39" s="112" t="s">
        <v>33</v>
      </c>
      <c r="C39" s="12" t="s">
        <v>34</v>
      </c>
      <c r="D39" s="228">
        <v>223738</v>
      </c>
      <c r="E39" s="266">
        <v>234623.86</v>
      </c>
      <c r="F39" s="76"/>
      <c r="G39" s="160"/>
      <c r="H39" s="359"/>
      <c r="I39" s="359"/>
      <c r="J39" s="359"/>
    </row>
    <row r="40" spans="2:10" ht="13.5" thickBot="1">
      <c r="B40" s="104" t="s">
        <v>35</v>
      </c>
      <c r="C40" s="105" t="s">
        <v>36</v>
      </c>
      <c r="D40" s="229">
        <v>-882503.91</v>
      </c>
      <c r="E40" s="271">
        <v>801018.88</v>
      </c>
      <c r="G40" s="160"/>
      <c r="H40" s="190"/>
      <c r="I40" s="190"/>
      <c r="J40" s="190"/>
    </row>
    <row r="41" spans="2:10" ht="13.5" thickBot="1">
      <c r="B41" s="106" t="s">
        <v>37</v>
      </c>
      <c r="C41" s="107" t="s">
        <v>38</v>
      </c>
      <c r="D41" s="230">
        <v>13518535.159999998</v>
      </c>
      <c r="E41" s="155">
        <f>E26+E27+E40</f>
        <v>11250152.460000001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7.25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3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115705.8988</v>
      </c>
      <c r="E47" s="79">
        <v>97799.806599999996</v>
      </c>
      <c r="G47" s="76"/>
    </row>
    <row r="48" spans="2:10">
      <c r="B48" s="130" t="s">
        <v>6</v>
      </c>
      <c r="C48" s="22" t="s">
        <v>41</v>
      </c>
      <c r="D48" s="232">
        <v>103384.66680000001</v>
      </c>
      <c r="E48" s="317">
        <v>89928.844945587785</v>
      </c>
      <c r="G48" s="213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139.180092846614</v>
      </c>
      <c r="E50" s="79">
        <v>116.746279534903</v>
      </c>
      <c r="G50" s="190"/>
    </row>
    <row r="51" spans="2:7">
      <c r="B51" s="109" t="s">
        <v>6</v>
      </c>
      <c r="C51" s="15" t="s">
        <v>114</v>
      </c>
      <c r="D51" s="311">
        <v>129.27160000000001</v>
      </c>
      <c r="E51" s="273">
        <v>116.02849999999999</v>
      </c>
      <c r="G51" s="190"/>
    </row>
    <row r="52" spans="2:7" ht="12.75" customHeight="1">
      <c r="B52" s="109" t="s">
        <v>8</v>
      </c>
      <c r="C52" s="15" t="s">
        <v>115</v>
      </c>
      <c r="D52" s="311">
        <v>145.91399999999999</v>
      </c>
      <c r="E52" s="273">
        <v>129.62370000000001</v>
      </c>
    </row>
    <row r="53" spans="2:7" ht="13.5" thickBot="1">
      <c r="B53" s="110" t="s">
        <v>9</v>
      </c>
      <c r="C53" s="17" t="s">
        <v>41</v>
      </c>
      <c r="D53" s="235">
        <v>130.759575656772</v>
      </c>
      <c r="E53" s="272">
        <v>125.1006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8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SUM(D59:D70)</f>
        <v>11348145.77</v>
      </c>
      <c r="E58" s="32">
        <f>D58/E21</f>
        <v>1.0087103984011254</v>
      </c>
    </row>
    <row r="59" spans="2:7" ht="25.5">
      <c r="B59" s="21" t="s">
        <v>4</v>
      </c>
      <c r="C59" s="22" t="s">
        <v>44</v>
      </c>
      <c r="D59" s="86">
        <v>0</v>
      </c>
      <c r="E59" s="87">
        <v>0</v>
      </c>
    </row>
    <row r="60" spans="2:7" ht="24" customHeight="1">
      <c r="B60" s="14" t="s">
        <v>6</v>
      </c>
      <c r="C60" s="15" t="s">
        <v>45</v>
      </c>
      <c r="D60" s="84">
        <v>0</v>
      </c>
      <c r="E60" s="85">
        <v>0</v>
      </c>
    </row>
    <row r="61" spans="2:7">
      <c r="B61" s="14" t="s">
        <v>8</v>
      </c>
      <c r="C61" s="15" t="s">
        <v>46</v>
      </c>
      <c r="D61" s="84">
        <v>0</v>
      </c>
      <c r="E61" s="85">
        <v>0</v>
      </c>
    </row>
    <row r="62" spans="2:7">
      <c r="B62" s="14" t="s">
        <v>9</v>
      </c>
      <c r="C62" s="15" t="s">
        <v>47</v>
      </c>
      <c r="D62" s="84">
        <v>0</v>
      </c>
      <c r="E62" s="85">
        <v>0</v>
      </c>
    </row>
    <row r="63" spans="2:7">
      <c r="B63" s="14" t="s">
        <v>29</v>
      </c>
      <c r="C63" s="15" t="s">
        <v>48</v>
      </c>
      <c r="D63" s="84">
        <v>0</v>
      </c>
      <c r="E63" s="85">
        <v>0</v>
      </c>
    </row>
    <row r="64" spans="2:7">
      <c r="B64" s="21" t="s">
        <v>31</v>
      </c>
      <c r="C64" s="22" t="s">
        <v>49</v>
      </c>
      <c r="D64" s="314">
        <f>10692118.58-3272.99</f>
        <v>10688845.59</v>
      </c>
      <c r="E64" s="87">
        <f>D64/E21</f>
        <v>0.95010673215356589</v>
      </c>
    </row>
    <row r="65" spans="2:5">
      <c r="B65" s="21" t="s">
        <v>33</v>
      </c>
      <c r="C65" s="22" t="s">
        <v>118</v>
      </c>
      <c r="D65" s="86">
        <v>0</v>
      </c>
      <c r="E65" s="87">
        <v>0</v>
      </c>
    </row>
    <row r="66" spans="2:5">
      <c r="B66" s="21" t="s">
        <v>50</v>
      </c>
      <c r="C66" s="22" t="s">
        <v>51</v>
      </c>
      <c r="D66" s="86">
        <v>0</v>
      </c>
      <c r="E66" s="87">
        <v>0</v>
      </c>
    </row>
    <row r="67" spans="2:5">
      <c r="B67" s="14" t="s">
        <v>52</v>
      </c>
      <c r="C67" s="15" t="s">
        <v>53</v>
      </c>
      <c r="D67" s="84">
        <v>0</v>
      </c>
      <c r="E67" s="85">
        <v>0</v>
      </c>
    </row>
    <row r="68" spans="2:5">
      <c r="B68" s="14" t="s">
        <v>54</v>
      </c>
      <c r="C68" s="15" t="s">
        <v>55</v>
      </c>
      <c r="D68" s="84">
        <v>0</v>
      </c>
      <c r="E68" s="85">
        <v>0</v>
      </c>
    </row>
    <row r="69" spans="2:5">
      <c r="B69" s="14" t="s">
        <v>56</v>
      </c>
      <c r="C69" s="15" t="s">
        <v>57</v>
      </c>
      <c r="D69" s="334">
        <v>659300.18000000005</v>
      </c>
      <c r="E69" s="85">
        <f>D69/E21</f>
        <v>5.8603666247559465E-2</v>
      </c>
    </row>
    <row r="70" spans="2:5">
      <c r="B70" s="119" t="s">
        <v>58</v>
      </c>
      <c r="C70" s="120" t="s">
        <v>59</v>
      </c>
      <c r="D70" s="121">
        <v>0</v>
      </c>
      <c r="E70" s="122">
        <v>0</v>
      </c>
    </row>
    <row r="71" spans="2:5">
      <c r="B71" s="127" t="s">
        <v>23</v>
      </c>
      <c r="C71" s="128" t="s">
        <v>61</v>
      </c>
      <c r="D71" s="129">
        <f>E13</f>
        <v>0</v>
      </c>
      <c r="E71" s="69">
        <f>D71/E21</f>
        <v>0</v>
      </c>
    </row>
    <row r="72" spans="2:5">
      <c r="B72" s="123" t="s">
        <v>60</v>
      </c>
      <c r="C72" s="124" t="s">
        <v>63</v>
      </c>
      <c r="D72" s="125">
        <f>E14</f>
        <v>7783.07</v>
      </c>
      <c r="E72" s="126">
        <f>D72/E21</f>
        <v>6.9181906891242263E-4</v>
      </c>
    </row>
    <row r="73" spans="2:5">
      <c r="B73" s="23" t="s">
        <v>62</v>
      </c>
      <c r="C73" s="24" t="s">
        <v>65</v>
      </c>
      <c r="D73" s="25">
        <f>E17</f>
        <v>105776.38</v>
      </c>
      <c r="E73" s="26">
        <f>D73/E21</f>
        <v>9.4022174700377353E-3</v>
      </c>
    </row>
    <row r="74" spans="2:5">
      <c r="B74" s="127" t="s">
        <v>64</v>
      </c>
      <c r="C74" s="128" t="s">
        <v>66</v>
      </c>
      <c r="D74" s="129">
        <f>D58+D71+D72-D73</f>
        <v>11250152.459999999</v>
      </c>
      <c r="E74" s="69">
        <f>E58+E72-E73</f>
        <v>1.0000000000000002</v>
      </c>
    </row>
    <row r="75" spans="2:5">
      <c r="B75" s="14" t="s">
        <v>4</v>
      </c>
      <c r="C75" s="15" t="s">
        <v>67</v>
      </c>
      <c r="D75" s="84">
        <f>D74</f>
        <v>11250152.459999999</v>
      </c>
      <c r="E75" s="85">
        <f>E74</f>
        <v>1.0000000000000002</v>
      </c>
    </row>
    <row r="76" spans="2:5">
      <c r="B76" s="14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6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94488188976377963" right="0.74803149606299213" top="0.55118110236220474" bottom="0.47244094488188981" header="0.51181102362204722" footer="0.51181102362204722"/>
  <pageSetup paperSize="9" scale="70" orientation="portrait" r:id="rId1"/>
  <headerFooter alignWithMargins="0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1"/>
  <dimension ref="A1:L81"/>
  <sheetViews>
    <sheetView zoomScale="80" zoomScaleNormal="80" workbookViewId="0">
      <selection activeCell="G20" sqref="G20:L4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1"/>
      <c r="C4" s="151"/>
      <c r="D4" s="151"/>
      <c r="E4" s="15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243</v>
      </c>
      <c r="C6" s="497"/>
      <c r="D6" s="497"/>
      <c r="E6" s="497"/>
    </row>
    <row r="7" spans="2:12" ht="14.25">
      <c r="B7" s="149"/>
      <c r="C7" s="149"/>
      <c r="D7" s="149"/>
      <c r="E7" s="149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0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30091.18</v>
      </c>
      <c r="E11" s="284">
        <f>SUM(E12:E14)</f>
        <v>34993.949999999997</v>
      </c>
    </row>
    <row r="12" spans="2:12">
      <c r="B12" s="191" t="s">
        <v>4</v>
      </c>
      <c r="C12" s="192" t="s">
        <v>5</v>
      </c>
      <c r="D12" s="329">
        <v>30091.18</v>
      </c>
      <c r="E12" s="353">
        <v>34993.949999999997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30091.18</v>
      </c>
      <c r="E21" s="155">
        <f>E11-E17</f>
        <v>34993.949999999997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96476.89</v>
      </c>
      <c r="E26" s="270">
        <f>D21</f>
        <v>30091.18</v>
      </c>
      <c r="G26" s="80"/>
    </row>
    <row r="27" spans="2:11">
      <c r="B27" s="9" t="s">
        <v>17</v>
      </c>
      <c r="C27" s="10" t="s">
        <v>111</v>
      </c>
      <c r="D27" s="226">
        <v>-62076.84</v>
      </c>
      <c r="E27" s="263">
        <f>E28-E32</f>
        <v>1175.3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1493.34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>
        <v>1493.34</v>
      </c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62076.84</v>
      </c>
      <c r="E32" s="264">
        <f>SUM(E33:E39)</f>
        <v>318.04000000000002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61147.92</v>
      </c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15.09</v>
      </c>
      <c r="E35" s="265">
        <v>11.49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913.83</v>
      </c>
      <c r="E37" s="265">
        <v>306.55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1298.3699999999999</v>
      </c>
      <c r="E40" s="271">
        <v>3727.47</v>
      </c>
      <c r="G40" s="80"/>
    </row>
    <row r="41" spans="2:10" ht="13.5" thickBot="1">
      <c r="B41" s="106" t="s">
        <v>37</v>
      </c>
      <c r="C41" s="107" t="s">
        <v>38</v>
      </c>
      <c r="D41" s="230">
        <v>35698.420000000006</v>
      </c>
      <c r="E41" s="155">
        <f>E26+E27+E40</f>
        <v>34993.949999999997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987.98659999999995</v>
      </c>
      <c r="E47" s="79">
        <v>357.20769999999999</v>
      </c>
      <c r="G47" s="76"/>
    </row>
    <row r="48" spans="2:10">
      <c r="B48" s="204" t="s">
        <v>6</v>
      </c>
      <c r="C48" s="205" t="s">
        <v>41</v>
      </c>
      <c r="D48" s="232">
        <v>360.69940000000003</v>
      </c>
      <c r="E48" s="156">
        <v>368.90100000000001</v>
      </c>
      <c r="G48" s="16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97.65</v>
      </c>
      <c r="E50" s="81">
        <v>84.24</v>
      </c>
      <c r="G50" s="190"/>
    </row>
    <row r="51" spans="2:7">
      <c r="B51" s="202" t="s">
        <v>6</v>
      </c>
      <c r="C51" s="203" t="s">
        <v>114</v>
      </c>
      <c r="D51" s="234">
        <v>94.39</v>
      </c>
      <c r="E51" s="81">
        <v>83.93</v>
      </c>
      <c r="G51" s="190"/>
    </row>
    <row r="52" spans="2:7">
      <c r="B52" s="202" t="s">
        <v>8</v>
      </c>
      <c r="C52" s="203" t="s">
        <v>115</v>
      </c>
      <c r="D52" s="234">
        <v>105.09</v>
      </c>
      <c r="E52" s="81">
        <v>99.23</v>
      </c>
    </row>
    <row r="53" spans="2:7" ht="13.5" customHeight="1" thickBot="1">
      <c r="B53" s="206" t="s">
        <v>9</v>
      </c>
      <c r="C53" s="207" t="s">
        <v>41</v>
      </c>
      <c r="D53" s="235">
        <v>98.97</v>
      </c>
      <c r="E53" s="272">
        <v>94.86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34993.949999999997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34993.949999999997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34993.949999999997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34993.949999999997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="80" zoomScaleNormal="80" workbookViewId="0">
      <selection activeCell="G16" sqref="G16:L4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244</v>
      </c>
      <c r="C6" s="497"/>
      <c r="D6" s="497"/>
      <c r="E6" s="497"/>
    </row>
    <row r="7" spans="2:12" ht="14.25">
      <c r="B7" s="255"/>
      <c r="C7" s="255"/>
      <c r="D7" s="255"/>
      <c r="E7" s="255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256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9049.58</v>
      </c>
      <c r="E11" s="284">
        <f>SUM(E12:E14)</f>
        <v>11221.44</v>
      </c>
    </row>
    <row r="12" spans="2:12">
      <c r="B12" s="191" t="s">
        <v>4</v>
      </c>
      <c r="C12" s="192" t="s">
        <v>5</v>
      </c>
      <c r="D12" s="329">
        <v>9049.58</v>
      </c>
      <c r="E12" s="353">
        <v>11221.44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9049.58</v>
      </c>
      <c r="E21" s="155">
        <f>E11-E17</f>
        <v>11221.44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56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0</v>
      </c>
      <c r="E26" s="270">
        <f>D21</f>
        <v>9049.58</v>
      </c>
      <c r="G26" s="80"/>
    </row>
    <row r="27" spans="2:11">
      <c r="B27" s="9" t="s">
        <v>17</v>
      </c>
      <c r="C27" s="10" t="s">
        <v>111</v>
      </c>
      <c r="D27" s="226">
        <v>18708.11</v>
      </c>
      <c r="E27" s="263">
        <f>E28-E32</f>
        <v>-118.49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18806.95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18806.95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98.84</v>
      </c>
      <c r="E32" s="264">
        <f>SUM(E33:E39)</f>
        <v>118.49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26.6</v>
      </c>
      <c r="E35" s="265">
        <v>22.33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72.239999999999995</v>
      </c>
      <c r="E37" s="265">
        <v>96.16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-353.37</v>
      </c>
      <c r="E40" s="271">
        <v>2290.35</v>
      </c>
      <c r="G40" s="80"/>
    </row>
    <row r="41" spans="2:10" ht="13.5" thickBot="1">
      <c r="B41" s="106" t="s">
        <v>37</v>
      </c>
      <c r="C41" s="107" t="s">
        <v>38</v>
      </c>
      <c r="D41" s="230">
        <v>18354.740000000002</v>
      </c>
      <c r="E41" s="155">
        <f>E26+E27+E40</f>
        <v>11221.44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56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/>
      <c r="E47" s="79">
        <v>52.231200000000001</v>
      </c>
      <c r="G47" s="76"/>
    </row>
    <row r="48" spans="2:10">
      <c r="B48" s="204" t="s">
        <v>6</v>
      </c>
      <c r="C48" s="205" t="s">
        <v>41</v>
      </c>
      <c r="D48" s="232">
        <v>87.721000000000004</v>
      </c>
      <c r="E48" s="156">
        <v>51.687899999999999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/>
      <c r="E50" s="81">
        <v>173.26</v>
      </c>
      <c r="G50" s="190"/>
    </row>
    <row r="51" spans="2:7">
      <c r="B51" s="202" t="s">
        <v>6</v>
      </c>
      <c r="C51" s="203" t="s">
        <v>114</v>
      </c>
      <c r="D51" s="234">
        <v>194.69</v>
      </c>
      <c r="E51" s="81">
        <v>167.97</v>
      </c>
      <c r="G51" s="190"/>
    </row>
    <row r="52" spans="2:7">
      <c r="B52" s="202" t="s">
        <v>8</v>
      </c>
      <c r="C52" s="203" t="s">
        <v>115</v>
      </c>
      <c r="D52" s="234">
        <v>223.2</v>
      </c>
      <c r="E52" s="81">
        <v>222.52</v>
      </c>
    </row>
    <row r="53" spans="2:7" ht="13.5" customHeight="1" thickBot="1">
      <c r="B53" s="206" t="s">
        <v>9</v>
      </c>
      <c r="C53" s="207" t="s">
        <v>41</v>
      </c>
      <c r="D53" s="235">
        <v>209.24</v>
      </c>
      <c r="E53" s="272">
        <v>217.1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11221.44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11221.44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11221.44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11221.44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2"/>
  <dimension ref="A1:L81"/>
  <sheetViews>
    <sheetView zoomScale="80" zoomScaleNormal="80" workbookViewId="0">
      <selection activeCell="G19" sqref="G19:L4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1"/>
      <c r="C4" s="151"/>
      <c r="D4" s="151"/>
      <c r="E4" s="15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245</v>
      </c>
      <c r="C6" s="497"/>
      <c r="D6" s="497"/>
      <c r="E6" s="497"/>
    </row>
    <row r="7" spans="2:12" ht="14.25">
      <c r="B7" s="149"/>
      <c r="C7" s="149"/>
      <c r="D7" s="149"/>
      <c r="E7" s="149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0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257424.79</v>
      </c>
      <c r="E11" s="284">
        <f>SUM(E12:E14)</f>
        <v>295230.81</v>
      </c>
    </row>
    <row r="12" spans="2:12">
      <c r="B12" s="191" t="s">
        <v>4</v>
      </c>
      <c r="C12" s="192" t="s">
        <v>5</v>
      </c>
      <c r="D12" s="329">
        <v>257424.79</v>
      </c>
      <c r="E12" s="353">
        <v>295230.81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257424.79</v>
      </c>
      <c r="E21" s="155">
        <f>E11-E17</f>
        <v>295230.81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68499.899999999994</v>
      </c>
      <c r="E26" s="270">
        <f>D21</f>
        <v>257424.79</v>
      </c>
      <c r="G26" s="80"/>
    </row>
    <row r="27" spans="2:11">
      <c r="B27" s="9" t="s">
        <v>17</v>
      </c>
      <c r="C27" s="10" t="s">
        <v>111</v>
      </c>
      <c r="D27" s="226">
        <v>157552.16</v>
      </c>
      <c r="E27" s="263">
        <f>E28-E32</f>
        <v>-53210.23000000001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212985.31</v>
      </c>
      <c r="E28" s="264">
        <f>SUM(E29:E31)</f>
        <v>39936.160000000003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212985.31</v>
      </c>
      <c r="E31" s="265">
        <v>39936.160000000003</v>
      </c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55433.15</v>
      </c>
      <c r="E32" s="264">
        <f>SUM(E33:E39)</f>
        <v>93146.390000000014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5755.91</v>
      </c>
      <c r="E33" s="265">
        <v>53290.91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86.06</v>
      </c>
      <c r="E35" s="265">
        <v>455.44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1020.85</v>
      </c>
      <c r="E37" s="265">
        <v>2499.5300000000002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48570.33</v>
      </c>
      <c r="E39" s="266">
        <v>36900.51</v>
      </c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11875.73</v>
      </c>
      <c r="E40" s="271">
        <v>91016.25</v>
      </c>
      <c r="G40" s="80"/>
    </row>
    <row r="41" spans="2:10" ht="13.5" thickBot="1">
      <c r="B41" s="106" t="s">
        <v>37</v>
      </c>
      <c r="C41" s="107" t="s">
        <v>38</v>
      </c>
      <c r="D41" s="230">
        <v>237927.79</v>
      </c>
      <c r="E41" s="155">
        <f>E26+E27+E40</f>
        <v>295230.81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672.3587</v>
      </c>
      <c r="E47" s="79">
        <v>2679.5544</v>
      </c>
      <c r="G47" s="76"/>
    </row>
    <row r="48" spans="2:10">
      <c r="B48" s="204" t="s">
        <v>6</v>
      </c>
      <c r="C48" s="205" t="s">
        <v>41</v>
      </c>
      <c r="D48" s="232">
        <v>1996.0385000000001</v>
      </c>
      <c r="E48" s="156">
        <v>2176.5763000000002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101.88</v>
      </c>
      <c r="E50" s="81">
        <v>96.07</v>
      </c>
      <c r="G50" s="190"/>
    </row>
    <row r="51" spans="2:7">
      <c r="B51" s="202" t="s">
        <v>6</v>
      </c>
      <c r="C51" s="203" t="s">
        <v>114</v>
      </c>
      <c r="D51" s="234">
        <v>101.88</v>
      </c>
      <c r="E51" s="81">
        <v>93.320000000000007</v>
      </c>
      <c r="G51" s="190"/>
    </row>
    <row r="52" spans="2:7">
      <c r="B52" s="202" t="s">
        <v>8</v>
      </c>
      <c r="C52" s="203" t="s">
        <v>115</v>
      </c>
      <c r="D52" s="234">
        <v>126.83</v>
      </c>
      <c r="E52" s="81">
        <v>142.63</v>
      </c>
    </row>
    <row r="53" spans="2:7" ht="12.75" customHeight="1" thickBot="1">
      <c r="B53" s="206" t="s">
        <v>9</v>
      </c>
      <c r="C53" s="207" t="s">
        <v>41</v>
      </c>
      <c r="D53" s="235">
        <v>119.2</v>
      </c>
      <c r="E53" s="272">
        <v>135.63999999999999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295230.81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295230.81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295230.81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295230.81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4"/>
  <dimension ref="A1:L81"/>
  <sheetViews>
    <sheetView zoomScale="80" zoomScaleNormal="80" workbookViewId="0">
      <selection activeCell="H49" sqref="H4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6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246</v>
      </c>
      <c r="C6" s="497"/>
      <c r="D6" s="497"/>
      <c r="E6" s="497"/>
    </row>
    <row r="7" spans="2:12" ht="14.25">
      <c r="B7" s="179"/>
      <c r="C7" s="179"/>
      <c r="D7" s="179"/>
      <c r="E7" s="179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80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18073.759999999998</v>
      </c>
      <c r="E11" s="284">
        <f>SUM(E12:E14)</f>
        <v>17523.98</v>
      </c>
    </row>
    <row r="12" spans="2:12">
      <c r="B12" s="191" t="s">
        <v>4</v>
      </c>
      <c r="C12" s="192" t="s">
        <v>5</v>
      </c>
      <c r="D12" s="329">
        <v>18073.759999999998</v>
      </c>
      <c r="E12" s="353">
        <v>17523.98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18073.759999999998</v>
      </c>
      <c r="E21" s="155">
        <f>E11-E17</f>
        <v>17523.98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110929.34</v>
      </c>
      <c r="E26" s="270">
        <f>D21</f>
        <v>18073.759999999998</v>
      </c>
      <c r="G26" s="80"/>
    </row>
    <row r="27" spans="2:11">
      <c r="B27" s="9" t="s">
        <v>17</v>
      </c>
      <c r="C27" s="10" t="s">
        <v>111</v>
      </c>
      <c r="D27" s="226">
        <v>-61601.579999999994</v>
      </c>
      <c r="E27" s="263">
        <f>E28-E32</f>
        <v>-1285.6999999999998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61601.579999999994</v>
      </c>
      <c r="E32" s="264">
        <f>SUM(E33:E39)</f>
        <v>1285.6999999999998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60591.35</v>
      </c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32.71</v>
      </c>
      <c r="E35" s="265">
        <v>10.47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977.52</v>
      </c>
      <c r="E37" s="265">
        <v>151.15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>
        <v>1124.08</v>
      </c>
      <c r="F39" s="76"/>
      <c r="G39" s="160"/>
      <c r="H39" s="76"/>
      <c r="I39" s="76"/>
      <c r="J39" s="76"/>
    </row>
    <row r="40" spans="2:10" ht="15.75" customHeight="1" thickBot="1">
      <c r="B40" s="104" t="s">
        <v>35</v>
      </c>
      <c r="C40" s="105" t="s">
        <v>36</v>
      </c>
      <c r="D40" s="229">
        <v>-12136.23</v>
      </c>
      <c r="E40" s="271">
        <v>735.92</v>
      </c>
      <c r="G40" s="80"/>
    </row>
    <row r="41" spans="2:10" ht="13.5" thickBot="1">
      <c r="B41" s="106" t="s">
        <v>37</v>
      </c>
      <c r="C41" s="107" t="s">
        <v>38</v>
      </c>
      <c r="D41" s="230">
        <v>37191.53</v>
      </c>
      <c r="E41" s="155">
        <f>E26+E27+E40</f>
        <v>17523.979999999996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315.49869999999999</v>
      </c>
      <c r="E47" s="79">
        <v>61.5319</v>
      </c>
      <c r="G47" s="76"/>
    </row>
    <row r="48" spans="2:10">
      <c r="B48" s="204" t="s">
        <v>6</v>
      </c>
      <c r="C48" s="205" t="s">
        <v>41</v>
      </c>
      <c r="D48" s="232">
        <v>298.68189999999998</v>
      </c>
      <c r="E48" s="156">
        <v>57.476399999999998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351.6</v>
      </c>
      <c r="E50" s="81">
        <v>293.73</v>
      </c>
      <c r="G50" s="190"/>
    </row>
    <row r="51" spans="2:7">
      <c r="B51" s="202" t="s">
        <v>6</v>
      </c>
      <c r="C51" s="203" t="s">
        <v>114</v>
      </c>
      <c r="D51" s="234">
        <v>306.33999999999997</v>
      </c>
      <c r="E51" s="81">
        <v>281.31</v>
      </c>
      <c r="G51" s="190"/>
    </row>
    <row r="52" spans="2:7">
      <c r="B52" s="202" t="s">
        <v>8</v>
      </c>
      <c r="C52" s="203" t="s">
        <v>115</v>
      </c>
      <c r="D52" s="234">
        <v>369.84</v>
      </c>
      <c r="E52" s="81">
        <v>325.32</v>
      </c>
    </row>
    <row r="53" spans="2:7" ht="13.5" thickBot="1">
      <c r="B53" s="206" t="s">
        <v>9</v>
      </c>
      <c r="C53" s="207" t="s">
        <v>41</v>
      </c>
      <c r="D53" s="235">
        <v>311.62</v>
      </c>
      <c r="E53" s="272">
        <v>304.89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17523.98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17523.98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17523.98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17523.98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5"/>
  <dimension ref="A1:L81"/>
  <sheetViews>
    <sheetView zoomScale="80" zoomScaleNormal="80" workbookViewId="0">
      <selection activeCell="G17" sqref="G17:L4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247</v>
      </c>
      <c r="C6" s="497"/>
      <c r="D6" s="497"/>
      <c r="E6" s="497"/>
    </row>
    <row r="7" spans="2:12" ht="14.25">
      <c r="B7" s="179"/>
      <c r="C7" s="179"/>
      <c r="D7" s="179"/>
      <c r="E7" s="179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80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9361.31</v>
      </c>
      <c r="E11" s="284">
        <f>SUM(E12:E14)</f>
        <v>11703.28</v>
      </c>
    </row>
    <row r="12" spans="2:12">
      <c r="B12" s="191" t="s">
        <v>4</v>
      </c>
      <c r="C12" s="192" t="s">
        <v>5</v>
      </c>
      <c r="D12" s="329">
        <v>9361.31</v>
      </c>
      <c r="E12" s="353">
        <v>11703.28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9361.31</v>
      </c>
      <c r="E21" s="155">
        <f>E11-E17</f>
        <v>11703.28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0</v>
      </c>
      <c r="E26" s="270">
        <f>D21</f>
        <v>9361.31</v>
      </c>
      <c r="G26" s="80"/>
    </row>
    <row r="27" spans="2:11">
      <c r="B27" s="9" t="s">
        <v>17</v>
      </c>
      <c r="C27" s="10" t="s">
        <v>111</v>
      </c>
      <c r="D27" s="226">
        <v>11292.39</v>
      </c>
      <c r="E27" s="263">
        <f>E28-E32</f>
        <v>-114.56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11292.39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11292.39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0</v>
      </c>
      <c r="E32" s="264">
        <f>SUM(E33:E39)</f>
        <v>114.56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/>
      <c r="E35" s="265">
        <v>22.88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/>
      <c r="E37" s="265">
        <v>91.68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247.9</v>
      </c>
      <c r="E40" s="271">
        <v>2456.5300000000002</v>
      </c>
      <c r="G40" s="80"/>
    </row>
    <row r="41" spans="2:10" ht="13.5" thickBot="1">
      <c r="B41" s="106" t="s">
        <v>37</v>
      </c>
      <c r="C41" s="107" t="s">
        <v>38</v>
      </c>
      <c r="D41" s="230">
        <v>11540.289999999999</v>
      </c>
      <c r="E41" s="155">
        <f>E26+E27+E40</f>
        <v>11703.28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/>
      <c r="E47" s="79">
        <v>59.293799999999997</v>
      </c>
      <c r="G47" s="76"/>
    </row>
    <row r="48" spans="2:10">
      <c r="B48" s="204" t="s">
        <v>6</v>
      </c>
      <c r="C48" s="205" t="s">
        <v>41</v>
      </c>
      <c r="D48" s="232">
        <v>59.878</v>
      </c>
      <c r="E48" s="156">
        <v>58.671900000000001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/>
      <c r="E50" s="81">
        <v>157.88</v>
      </c>
      <c r="G50" s="190"/>
    </row>
    <row r="51" spans="2:7">
      <c r="B51" s="202" t="s">
        <v>6</v>
      </c>
      <c r="C51" s="203" t="s">
        <v>114</v>
      </c>
      <c r="D51" s="234">
        <v>170.09</v>
      </c>
      <c r="E51" s="81">
        <v>155.33000000000001</v>
      </c>
      <c r="G51" s="190"/>
    </row>
    <row r="52" spans="2:7">
      <c r="B52" s="202" t="s">
        <v>8</v>
      </c>
      <c r="C52" s="203" t="s">
        <v>115</v>
      </c>
      <c r="D52" s="234">
        <v>204.55</v>
      </c>
      <c r="E52" s="81">
        <v>203.03</v>
      </c>
    </row>
    <row r="53" spans="2:7" ht="13.5" thickBot="1">
      <c r="B53" s="206" t="s">
        <v>9</v>
      </c>
      <c r="C53" s="207" t="s">
        <v>41</v>
      </c>
      <c r="D53" s="235">
        <v>192.73</v>
      </c>
      <c r="E53" s="272">
        <v>199.47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11703.28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11703.28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11703.28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11703.28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6"/>
  <dimension ref="A1:L81"/>
  <sheetViews>
    <sheetView zoomScale="80" zoomScaleNormal="80" workbookViewId="0">
      <selection activeCell="E27" sqref="E2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1"/>
      <c r="C4" s="151"/>
      <c r="D4" s="151"/>
      <c r="E4" s="15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286</v>
      </c>
      <c r="C6" s="497"/>
      <c r="D6" s="497"/>
      <c r="E6" s="497"/>
    </row>
    <row r="7" spans="2:12" ht="14.25">
      <c r="B7" s="149"/>
      <c r="C7" s="149"/>
      <c r="D7" s="149"/>
      <c r="E7" s="149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0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/>
      <c r="E11" s="284"/>
    </row>
    <row r="12" spans="2:12">
      <c r="B12" s="191" t="s">
        <v>4</v>
      </c>
      <c r="C12" s="192" t="s">
        <v>5</v>
      </c>
      <c r="D12" s="329"/>
      <c r="E12" s="353"/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/>
      <c r="E21" s="155"/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10044.700000000001</v>
      </c>
      <c r="E26" s="270"/>
      <c r="G26" s="80"/>
    </row>
    <row r="27" spans="2:11">
      <c r="B27" s="9" t="s">
        <v>17</v>
      </c>
      <c r="C27" s="10" t="s">
        <v>111</v>
      </c>
      <c r="D27" s="226">
        <v>-9788.75</v>
      </c>
      <c r="E27" s="263"/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8692.43</v>
      </c>
      <c r="E28" s="264"/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8692.43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18481.18</v>
      </c>
      <c r="E32" s="264"/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5.8</v>
      </c>
      <c r="E35" s="265"/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60.89</v>
      </c>
      <c r="E37" s="265"/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18414.490000000002</v>
      </c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-255.95</v>
      </c>
      <c r="E40" s="271"/>
      <c r="G40" s="80"/>
    </row>
    <row r="41" spans="2:10" ht="13.5" thickBot="1">
      <c r="B41" s="106" t="s">
        <v>37</v>
      </c>
      <c r="C41" s="107" t="s">
        <v>38</v>
      </c>
      <c r="D41" s="230">
        <v>7.3896444519050419E-13</v>
      </c>
      <c r="E41" s="155"/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637.75900000000001</v>
      </c>
      <c r="E47" s="79"/>
      <c r="G47" s="76"/>
    </row>
    <row r="48" spans="2:10">
      <c r="B48" s="204" t="s">
        <v>6</v>
      </c>
      <c r="C48" s="205" t="s">
        <v>41</v>
      </c>
      <c r="D48" s="232"/>
      <c r="E48" s="156"/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15.75</v>
      </c>
      <c r="E50" s="81"/>
      <c r="G50" s="190"/>
    </row>
    <row r="51" spans="2:7">
      <c r="B51" s="202" t="s">
        <v>6</v>
      </c>
      <c r="C51" s="203" t="s">
        <v>114</v>
      </c>
      <c r="D51" s="234">
        <v>15.01</v>
      </c>
      <c r="E51" s="81"/>
      <c r="G51" s="190"/>
    </row>
    <row r="52" spans="2:7">
      <c r="B52" s="202" t="s">
        <v>8</v>
      </c>
      <c r="C52" s="203" t="s">
        <v>115</v>
      </c>
      <c r="D52" s="234">
        <v>17.3</v>
      </c>
      <c r="E52" s="81"/>
    </row>
    <row r="53" spans="2:7" ht="13.5" customHeight="1" thickBot="1">
      <c r="B53" s="206" t="s">
        <v>9</v>
      </c>
      <c r="C53" s="207" t="s">
        <v>41</v>
      </c>
      <c r="D53" s="235"/>
      <c r="E53" s="272"/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8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0</v>
      </c>
      <c r="E58" s="32">
        <v>0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0</v>
      </c>
      <c r="E64" s="87">
        <f>E58</f>
        <v>0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0</v>
      </c>
      <c r="E74" s="69">
        <f>E58+E72-E73</f>
        <v>0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0</v>
      </c>
      <c r="E76" s="85">
        <f>E74</f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7"/>
  <dimension ref="A1:L81"/>
  <sheetViews>
    <sheetView zoomScale="80" zoomScaleNormal="80" workbookViewId="0">
      <selection activeCell="G17" sqref="G17:K4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1"/>
      <c r="C4" s="151"/>
      <c r="D4" s="151"/>
      <c r="E4" s="15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248</v>
      </c>
      <c r="C6" s="497"/>
      <c r="D6" s="497"/>
      <c r="E6" s="497"/>
    </row>
    <row r="7" spans="2:12" ht="14.25">
      <c r="B7" s="149"/>
      <c r="C7" s="149"/>
      <c r="D7" s="149"/>
      <c r="E7" s="149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0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5624189.2999999998</v>
      </c>
      <c r="E11" s="284">
        <f>SUM(E12:E14)</f>
        <v>5500813.4900000002</v>
      </c>
    </row>
    <row r="12" spans="2:12">
      <c r="B12" s="191" t="s">
        <v>4</v>
      </c>
      <c r="C12" s="192" t="s">
        <v>5</v>
      </c>
      <c r="D12" s="329">
        <v>5624189.2999999998</v>
      </c>
      <c r="E12" s="353">
        <v>5500813.4900000002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5624189.2999999998</v>
      </c>
      <c r="E21" s="155">
        <f>E11-E17</f>
        <v>5500813.4900000002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6841466.8399999999</v>
      </c>
      <c r="E26" s="270">
        <f>D21</f>
        <v>5624189.2999999998</v>
      </c>
      <c r="G26" s="80"/>
    </row>
    <row r="27" spans="2:11">
      <c r="B27" s="9" t="s">
        <v>17</v>
      </c>
      <c r="C27" s="10" t="s">
        <v>111</v>
      </c>
      <c r="D27" s="226">
        <v>-712765.81</v>
      </c>
      <c r="E27" s="263">
        <f>E28-E32</f>
        <v>-243299.25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712765.81</v>
      </c>
      <c r="E32" s="264">
        <f>SUM(E33:E39)</f>
        <v>243299.25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322393.92</v>
      </c>
      <c r="E33" s="265">
        <v>195428.82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1939.84</v>
      </c>
      <c r="E35" s="265">
        <v>2826.27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53509.34</v>
      </c>
      <c r="E37" s="265">
        <v>45044.160000000003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334922.71000000002</v>
      </c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-119941.31</v>
      </c>
      <c r="E40" s="271">
        <v>119923.44</v>
      </c>
      <c r="G40" s="80"/>
    </row>
    <row r="41" spans="2:10" ht="13.5" thickBot="1">
      <c r="B41" s="106" t="s">
        <v>37</v>
      </c>
      <c r="C41" s="107" t="s">
        <v>38</v>
      </c>
      <c r="D41" s="230">
        <v>6008759.7199999997</v>
      </c>
      <c r="E41" s="155">
        <f>E26+E27+E40</f>
        <v>5500813.4900000002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480440.087</v>
      </c>
      <c r="E47" s="79">
        <v>394679.951</v>
      </c>
      <c r="G47" s="76"/>
    </row>
    <row r="48" spans="2:10">
      <c r="B48" s="204" t="s">
        <v>6</v>
      </c>
      <c r="C48" s="205" t="s">
        <v>41</v>
      </c>
      <c r="D48" s="232">
        <v>430735.46399999998</v>
      </c>
      <c r="E48" s="156">
        <v>378062.783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14.24</v>
      </c>
      <c r="E50" s="81">
        <v>14.25</v>
      </c>
      <c r="G50" s="190"/>
    </row>
    <row r="51" spans="2:7">
      <c r="B51" s="202" t="s">
        <v>6</v>
      </c>
      <c r="C51" s="203" t="s">
        <v>114</v>
      </c>
      <c r="D51" s="234">
        <v>13.9</v>
      </c>
      <c r="E51" s="81">
        <v>14.19</v>
      </c>
      <c r="G51" s="190"/>
    </row>
    <row r="52" spans="2:7">
      <c r="B52" s="202" t="s">
        <v>8</v>
      </c>
      <c r="C52" s="203" t="s">
        <v>115</v>
      </c>
      <c r="D52" s="234">
        <v>14.5</v>
      </c>
      <c r="E52" s="81">
        <v>14.74</v>
      </c>
    </row>
    <row r="53" spans="2:7" ht="14.25" customHeight="1" thickBot="1">
      <c r="B53" s="206" t="s">
        <v>9</v>
      </c>
      <c r="C53" s="207" t="s">
        <v>41</v>
      </c>
      <c r="D53" s="235">
        <v>13.95</v>
      </c>
      <c r="E53" s="272">
        <v>14.55</v>
      </c>
    </row>
    <row r="54" spans="2:7">
      <c r="B54" s="208"/>
      <c r="C54" s="209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5500813.4900000002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5500813.4900000002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5500813.4900000002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5500813.4900000002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8"/>
  <dimension ref="A1:L81"/>
  <sheetViews>
    <sheetView zoomScale="80" zoomScaleNormal="80" workbookViewId="0">
      <selection activeCell="G17" sqref="G17:K4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4.7109375" customWidth="1"/>
    <col min="11" max="11" width="16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1"/>
      <c r="C4" s="151"/>
      <c r="D4" s="151"/>
      <c r="E4" s="15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249</v>
      </c>
      <c r="C6" s="497"/>
      <c r="D6" s="497"/>
      <c r="E6" s="497"/>
    </row>
    <row r="7" spans="2:12" ht="14.25">
      <c r="B7" s="149"/>
      <c r="C7" s="149"/>
      <c r="D7" s="149"/>
      <c r="E7" s="149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0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8455491.9800000004</v>
      </c>
      <c r="E11" s="284">
        <f>SUM(E12:E14)</f>
        <v>8421363.0600000005</v>
      </c>
    </row>
    <row r="12" spans="2:12">
      <c r="B12" s="191" t="s">
        <v>4</v>
      </c>
      <c r="C12" s="192" t="s">
        <v>5</v>
      </c>
      <c r="D12" s="329">
        <v>8455491.9800000004</v>
      </c>
      <c r="E12" s="353">
        <f>8421408.65-45.59</f>
        <v>8421363.0600000005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8455491.9800000004</v>
      </c>
      <c r="E21" s="155">
        <f>E11-E17</f>
        <v>8421363.0600000005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11673425.619999999</v>
      </c>
      <c r="E26" s="270">
        <f>D21</f>
        <v>8455491.9800000004</v>
      </c>
      <c r="G26" s="80"/>
    </row>
    <row r="27" spans="2:11">
      <c r="B27" s="9" t="s">
        <v>17</v>
      </c>
      <c r="C27" s="10" t="s">
        <v>111</v>
      </c>
      <c r="D27" s="226">
        <v>-1792413.41</v>
      </c>
      <c r="E27" s="263">
        <f>E28-E32</f>
        <v>-234135.12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1792413.41</v>
      </c>
      <c r="E32" s="264">
        <f>SUM(E33:E39)</f>
        <v>234135.12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463867.69</v>
      </c>
      <c r="E33" s="265">
        <v>163432.94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5646.67</v>
      </c>
      <c r="E35" s="265">
        <v>5356.29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86446.9</v>
      </c>
      <c r="E37" s="265">
        <v>65345.89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1236452.1499999999</v>
      </c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-341833.85</v>
      </c>
      <c r="E40" s="271">
        <v>200006.2</v>
      </c>
      <c r="G40" s="80"/>
    </row>
    <row r="41" spans="2:10" ht="13.5" thickBot="1">
      <c r="B41" s="106" t="s">
        <v>37</v>
      </c>
      <c r="C41" s="107" t="s">
        <v>38</v>
      </c>
      <c r="D41" s="230">
        <v>9539178.3599999994</v>
      </c>
      <c r="E41" s="155">
        <f>E26+E27+E40</f>
        <v>8421363.0600000005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50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129575.656</v>
      </c>
      <c r="E47" s="79">
        <v>95305.365000000005</v>
      </c>
      <c r="G47" s="76"/>
    </row>
    <row r="48" spans="2:10">
      <c r="B48" s="130" t="s">
        <v>6</v>
      </c>
      <c r="C48" s="22" t="s">
        <v>41</v>
      </c>
      <c r="D48" s="232">
        <v>109822.4541</v>
      </c>
      <c r="E48" s="156">
        <f>E21/E53</f>
        <v>92725.865007707573</v>
      </c>
      <c r="G48" s="16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90.09</v>
      </c>
      <c r="E50" s="81">
        <v>88.72</v>
      </c>
      <c r="G50" s="190"/>
    </row>
    <row r="51" spans="2:7">
      <c r="B51" s="109" t="s">
        <v>6</v>
      </c>
      <c r="C51" s="15" t="s">
        <v>114</v>
      </c>
      <c r="D51" s="234">
        <v>86.86</v>
      </c>
      <c r="E51" s="81">
        <v>88.44</v>
      </c>
      <c r="G51" s="190"/>
    </row>
    <row r="52" spans="2:7">
      <c r="B52" s="109" t="s">
        <v>8</v>
      </c>
      <c r="C52" s="15" t="s">
        <v>115</v>
      </c>
      <c r="D52" s="234">
        <v>91.94</v>
      </c>
      <c r="E52" s="81">
        <v>92</v>
      </c>
    </row>
    <row r="53" spans="2:7" ht="14.25" customHeight="1" thickBot="1">
      <c r="B53" s="110" t="s">
        <v>9</v>
      </c>
      <c r="C53" s="17" t="s">
        <v>41</v>
      </c>
      <c r="D53" s="235">
        <v>86.86</v>
      </c>
      <c r="E53" s="272">
        <v>90.82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8421363.0600000005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8421363.0600000005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8421363.0600000005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8421363.0600000005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9"/>
  <dimension ref="A1:L81"/>
  <sheetViews>
    <sheetView zoomScale="80" zoomScaleNormal="80" workbookViewId="0">
      <selection activeCell="G19" sqref="G19:M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1"/>
      <c r="C4" s="151"/>
      <c r="D4" s="151"/>
      <c r="E4" s="15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250</v>
      </c>
      <c r="C6" s="497"/>
      <c r="D6" s="497"/>
      <c r="E6" s="497"/>
    </row>
    <row r="7" spans="2:12" ht="14.25">
      <c r="B7" s="149"/>
      <c r="C7" s="149"/>
      <c r="D7" s="149"/>
      <c r="E7" s="149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0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27104.97</v>
      </c>
      <c r="E11" s="284">
        <f>SUM(E12:E14)</f>
        <v>30888.86</v>
      </c>
    </row>
    <row r="12" spans="2:12">
      <c r="B12" s="191" t="s">
        <v>4</v>
      </c>
      <c r="C12" s="192" t="s">
        <v>5</v>
      </c>
      <c r="D12" s="329">
        <v>27104.97</v>
      </c>
      <c r="E12" s="353">
        <v>30888.86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27104.97</v>
      </c>
      <c r="E21" s="155">
        <f>E11-E17</f>
        <v>30888.86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53143.45</v>
      </c>
      <c r="E26" s="270">
        <f>D21</f>
        <v>27104.97</v>
      </c>
      <c r="G26" s="80"/>
    </row>
    <row r="27" spans="2:11">
      <c r="B27" s="9" t="s">
        <v>17</v>
      </c>
      <c r="C27" s="10" t="s">
        <v>111</v>
      </c>
      <c r="D27" s="226">
        <v>-17460.560000000001</v>
      </c>
      <c r="E27" s="263">
        <f>E28-E32</f>
        <v>0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17460.560000000001</v>
      </c>
      <c r="E32" s="264">
        <f>SUM(E33:E39)</f>
        <v>0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17137.36</v>
      </c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54.64</v>
      </c>
      <c r="E35" s="265"/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268.56</v>
      </c>
      <c r="E37" s="265"/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-4020.84</v>
      </c>
      <c r="E40" s="271">
        <v>3783.89</v>
      </c>
      <c r="G40" s="80"/>
    </row>
    <row r="41" spans="2:10" ht="13.5" thickBot="1">
      <c r="B41" s="106" t="s">
        <v>37</v>
      </c>
      <c r="C41" s="107" t="s">
        <v>38</v>
      </c>
      <c r="D41" s="230">
        <v>31662.05</v>
      </c>
      <c r="E41" s="155">
        <f>E26+E27+E40</f>
        <v>30888.86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6804.5389999999998</v>
      </c>
      <c r="E47" s="79">
        <v>3861.107</v>
      </c>
      <c r="G47" s="76"/>
    </row>
    <row r="48" spans="2:10">
      <c r="B48" s="204" t="s">
        <v>6</v>
      </c>
      <c r="C48" s="205" t="s">
        <v>41</v>
      </c>
      <c r="D48" s="232">
        <v>4732.7430000000004</v>
      </c>
      <c r="E48" s="156">
        <v>3861.107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7.81</v>
      </c>
      <c r="E50" s="81">
        <v>7.02</v>
      </c>
      <c r="G50" s="190"/>
    </row>
    <row r="51" spans="2:7">
      <c r="B51" s="202" t="s">
        <v>6</v>
      </c>
      <c r="C51" s="203" t="s">
        <v>114</v>
      </c>
      <c r="D51" s="234">
        <v>6.55</v>
      </c>
      <c r="E51" s="81">
        <v>7.02</v>
      </c>
      <c r="G51" s="190"/>
    </row>
    <row r="52" spans="2:7">
      <c r="B52" s="202" t="s">
        <v>8</v>
      </c>
      <c r="C52" s="203" t="s">
        <v>115</v>
      </c>
      <c r="D52" s="234">
        <v>8.84</v>
      </c>
      <c r="E52" s="81">
        <v>8.1300000000000008</v>
      </c>
    </row>
    <row r="53" spans="2:7" ht="14.25" customHeight="1" thickBot="1">
      <c r="B53" s="206" t="s">
        <v>9</v>
      </c>
      <c r="C53" s="207" t="s">
        <v>41</v>
      </c>
      <c r="D53" s="235">
        <v>6.69</v>
      </c>
      <c r="E53" s="272">
        <v>8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30888.86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30888.86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30888.86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30888.86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0"/>
  <dimension ref="A1:L81"/>
  <sheetViews>
    <sheetView zoomScale="80" zoomScaleNormal="80" workbookViewId="0">
      <selection activeCell="G18" sqref="G18:L4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1"/>
      <c r="C4" s="151"/>
      <c r="D4" s="151"/>
      <c r="E4" s="15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251</v>
      </c>
      <c r="C6" s="497"/>
      <c r="D6" s="497"/>
      <c r="E6" s="497"/>
    </row>
    <row r="7" spans="2:12" ht="14.25">
      <c r="B7" s="149"/>
      <c r="C7" s="149"/>
      <c r="D7" s="149"/>
      <c r="E7" s="149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0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144862.87</v>
      </c>
      <c r="E11" s="284">
        <f>SUM(E12:E14)</f>
        <v>156258.41</v>
      </c>
    </row>
    <row r="12" spans="2:12">
      <c r="B12" s="191" t="s">
        <v>4</v>
      </c>
      <c r="C12" s="192" t="s">
        <v>5</v>
      </c>
      <c r="D12" s="329">
        <v>144862.87</v>
      </c>
      <c r="E12" s="353">
        <v>156258.41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144862.87</v>
      </c>
      <c r="E21" s="155">
        <f>E11-E17</f>
        <v>156258.41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186984.3</v>
      </c>
      <c r="E26" s="270">
        <f>D21</f>
        <v>144862.87</v>
      </c>
      <c r="G26" s="80"/>
    </row>
    <row r="27" spans="2:11">
      <c r="B27" s="9" t="s">
        <v>17</v>
      </c>
      <c r="C27" s="10" t="s">
        <v>111</v>
      </c>
      <c r="D27" s="226">
        <v>-13137.7</v>
      </c>
      <c r="E27" s="263">
        <f>E28-E32</f>
        <v>-6270.47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13137.7</v>
      </c>
      <c r="E32" s="264">
        <f>SUM(E33:E39)</f>
        <v>6270.47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11664.02</v>
      </c>
      <c r="E33" s="265">
        <v>4902.2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273.07</v>
      </c>
      <c r="E35" s="265">
        <v>285.97000000000003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1200.6099999999999</v>
      </c>
      <c r="E37" s="265">
        <v>1082.3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-4462.55</v>
      </c>
      <c r="E40" s="271">
        <v>17666.009999999998</v>
      </c>
      <c r="G40" s="80"/>
    </row>
    <row r="41" spans="2:10" ht="13.5" thickBot="1">
      <c r="B41" s="106" t="s">
        <v>37</v>
      </c>
      <c r="C41" s="107" t="s">
        <v>38</v>
      </c>
      <c r="D41" s="230">
        <v>169384.05</v>
      </c>
      <c r="E41" s="155">
        <f>E26+E27+E40</f>
        <v>156258.41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1407.5903000000001</v>
      </c>
      <c r="E47" s="79">
        <v>1234.3462</v>
      </c>
      <c r="G47" s="76"/>
    </row>
    <row r="48" spans="2:10">
      <c r="B48" s="204" t="s">
        <v>6</v>
      </c>
      <c r="C48" s="205" t="s">
        <v>41</v>
      </c>
      <c r="D48" s="232">
        <v>1308.288</v>
      </c>
      <c r="E48" s="156">
        <v>1185.6621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132.84</v>
      </c>
      <c r="E50" s="81">
        <v>117.36</v>
      </c>
      <c r="G50" s="190"/>
    </row>
    <row r="51" spans="2:7">
      <c r="B51" s="202" t="s">
        <v>6</v>
      </c>
      <c r="C51" s="203" t="s">
        <v>114</v>
      </c>
      <c r="D51" s="234">
        <v>127.68</v>
      </c>
      <c r="E51" s="81">
        <v>116.10000000000001</v>
      </c>
      <c r="G51" s="190"/>
    </row>
    <row r="52" spans="2:7">
      <c r="B52" s="202" t="s">
        <v>8</v>
      </c>
      <c r="C52" s="203" t="s">
        <v>115</v>
      </c>
      <c r="D52" s="234">
        <v>139.44</v>
      </c>
      <c r="E52" s="81">
        <v>133.52000000000001</v>
      </c>
    </row>
    <row r="53" spans="2:7" ht="14.25" customHeight="1" thickBot="1">
      <c r="B53" s="206" t="s">
        <v>9</v>
      </c>
      <c r="C53" s="207" t="s">
        <v>41</v>
      </c>
      <c r="D53" s="235">
        <v>129.47</v>
      </c>
      <c r="E53" s="272">
        <v>131.79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156258.41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156258.41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156258.41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156258.41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Q81"/>
  <sheetViews>
    <sheetView zoomScale="80" zoomScaleNormal="80" workbookViewId="0">
      <selection activeCell="G18" sqref="G18:K4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20.2851562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2"/>
      <c r="C4" s="92"/>
      <c r="D4" s="92"/>
      <c r="E4" s="92"/>
    </row>
    <row r="5" spans="2:12" ht="21" customHeight="1">
      <c r="B5" s="496" t="s">
        <v>128</v>
      </c>
      <c r="C5" s="496"/>
      <c r="D5" s="496"/>
      <c r="E5" s="496"/>
    </row>
    <row r="6" spans="2:12" ht="14.25">
      <c r="B6" s="497" t="s">
        <v>148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129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3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130</v>
      </c>
      <c r="C11" s="135" t="s">
        <v>109</v>
      </c>
      <c r="D11" s="283">
        <v>20436417.82</v>
      </c>
      <c r="E11" s="284">
        <f>SUM(E12:E14)</f>
        <v>18988120.890000004</v>
      </c>
    </row>
    <row r="12" spans="2:12">
      <c r="B12" s="113">
        <v>1</v>
      </c>
      <c r="C12" s="6" t="s">
        <v>5</v>
      </c>
      <c r="D12" s="329">
        <v>20418547.73</v>
      </c>
      <c r="E12" s="353">
        <f>17790842.95+1190702.46+32.62-2423.49</f>
        <v>18979154.540000003</v>
      </c>
    </row>
    <row r="13" spans="2:12">
      <c r="B13" s="113">
        <v>2</v>
      </c>
      <c r="C13" s="71" t="s">
        <v>7</v>
      </c>
      <c r="D13" s="322"/>
      <c r="E13" s="354">
        <v>27.25</v>
      </c>
    </row>
    <row r="14" spans="2:12">
      <c r="B14" s="113">
        <v>3</v>
      </c>
      <c r="C14" s="71" t="s">
        <v>10</v>
      </c>
      <c r="D14" s="322">
        <v>17870.09</v>
      </c>
      <c r="E14" s="354">
        <f>E15</f>
        <v>8939.1</v>
      </c>
    </row>
    <row r="15" spans="2:12">
      <c r="B15" s="113">
        <v>31</v>
      </c>
      <c r="C15" s="71" t="s">
        <v>11</v>
      </c>
      <c r="D15" s="322">
        <v>17870.09</v>
      </c>
      <c r="E15" s="354">
        <v>8939.1</v>
      </c>
    </row>
    <row r="16" spans="2:12">
      <c r="B16" s="114">
        <v>32</v>
      </c>
      <c r="C16" s="98" t="s">
        <v>12</v>
      </c>
      <c r="D16" s="324"/>
      <c r="E16" s="355"/>
    </row>
    <row r="17" spans="2:17">
      <c r="B17" s="9" t="s">
        <v>131</v>
      </c>
      <c r="C17" s="11" t="s">
        <v>65</v>
      </c>
      <c r="D17" s="325">
        <v>11251.35</v>
      </c>
      <c r="E17" s="356">
        <f>E18</f>
        <v>55045.86</v>
      </c>
    </row>
    <row r="18" spans="2:17">
      <c r="B18" s="113">
        <v>1</v>
      </c>
      <c r="C18" s="6" t="s">
        <v>11</v>
      </c>
      <c r="D18" s="324">
        <v>11251.35</v>
      </c>
      <c r="E18" s="355">
        <v>55045.86</v>
      </c>
    </row>
    <row r="19" spans="2:17" ht="15" customHeight="1">
      <c r="B19" s="113">
        <v>2</v>
      </c>
      <c r="C19" s="71" t="s">
        <v>108</v>
      </c>
      <c r="D19" s="322"/>
      <c r="E19" s="354"/>
    </row>
    <row r="20" spans="2:17" ht="13.5" thickBot="1">
      <c r="B20" s="115">
        <v>3</v>
      </c>
      <c r="C20" s="72" t="s">
        <v>14</v>
      </c>
      <c r="D20" s="285"/>
      <c r="E20" s="286"/>
    </row>
    <row r="21" spans="2:17" ht="13.5" thickBot="1">
      <c r="B21" s="505" t="s">
        <v>132</v>
      </c>
      <c r="C21" s="506"/>
      <c r="D21" s="287">
        <v>20425166.469999999</v>
      </c>
      <c r="E21" s="155">
        <f>E11-E17</f>
        <v>18933075.030000005</v>
      </c>
      <c r="F21" s="83"/>
      <c r="G21" s="83"/>
      <c r="H21" s="176"/>
      <c r="J21" s="254"/>
      <c r="K21" s="70"/>
    </row>
    <row r="22" spans="2:17">
      <c r="B22" s="3"/>
      <c r="C22" s="7"/>
      <c r="D22" s="8"/>
      <c r="E22" s="8"/>
      <c r="G22" s="169"/>
      <c r="Q22" s="190"/>
    </row>
    <row r="23" spans="2:17" ht="13.5">
      <c r="B23" s="499" t="s">
        <v>133</v>
      </c>
      <c r="C23" s="507"/>
      <c r="D23" s="507"/>
      <c r="E23" s="507"/>
      <c r="G23" s="76"/>
    </row>
    <row r="24" spans="2:17" ht="15.75" customHeight="1" thickBot="1">
      <c r="B24" s="498" t="s">
        <v>105</v>
      </c>
      <c r="C24" s="508"/>
      <c r="D24" s="508"/>
      <c r="E24" s="508"/>
    </row>
    <row r="25" spans="2:17" ht="13.5" thickBot="1">
      <c r="B25" s="93"/>
      <c r="C25" s="5" t="s">
        <v>2</v>
      </c>
      <c r="D25" s="73" t="s">
        <v>125</v>
      </c>
      <c r="E25" s="29" t="s">
        <v>145</v>
      </c>
    </row>
    <row r="26" spans="2:17">
      <c r="B26" s="102" t="s">
        <v>134</v>
      </c>
      <c r="C26" s="103" t="s">
        <v>16</v>
      </c>
      <c r="D26" s="327">
        <v>27794805.75</v>
      </c>
      <c r="E26" s="270">
        <f>D21</f>
        <v>20425166.469999999</v>
      </c>
      <c r="G26" s="80"/>
    </row>
    <row r="27" spans="2:17">
      <c r="B27" s="9" t="s">
        <v>135</v>
      </c>
      <c r="C27" s="10" t="s">
        <v>111</v>
      </c>
      <c r="D27" s="328">
        <v>-3951258.1000000006</v>
      </c>
      <c r="E27" s="263">
        <f>E28-E32</f>
        <v>-2339580.17</v>
      </c>
      <c r="F27" s="76"/>
      <c r="G27" s="160"/>
      <c r="H27" s="359"/>
      <c r="I27" s="359"/>
      <c r="J27" s="359"/>
    </row>
    <row r="28" spans="2:17">
      <c r="B28" s="9" t="s">
        <v>129</v>
      </c>
      <c r="C28" s="10" t="s">
        <v>19</v>
      </c>
      <c r="D28" s="328">
        <v>658976.46</v>
      </c>
      <c r="E28" s="264">
        <f>SUM(E29:E31)</f>
        <v>606842.18999999994</v>
      </c>
      <c r="F28" s="76"/>
      <c r="G28" s="160"/>
      <c r="H28" s="359"/>
      <c r="I28" s="359"/>
      <c r="J28" s="359"/>
    </row>
    <row r="29" spans="2:17">
      <c r="B29" s="111">
        <v>1</v>
      </c>
      <c r="C29" s="6" t="s">
        <v>20</v>
      </c>
      <c r="D29" s="329">
        <v>658886.6</v>
      </c>
      <c r="E29" s="265">
        <v>606842.18999999994</v>
      </c>
      <c r="F29" s="76"/>
      <c r="G29" s="160"/>
      <c r="H29" s="359"/>
      <c r="I29" s="359"/>
      <c r="J29" s="359"/>
    </row>
    <row r="30" spans="2:17">
      <c r="B30" s="111">
        <v>2</v>
      </c>
      <c r="C30" s="6" t="s">
        <v>21</v>
      </c>
      <c r="D30" s="329"/>
      <c r="E30" s="265"/>
      <c r="F30" s="76"/>
      <c r="G30" s="160"/>
      <c r="H30" s="359"/>
      <c r="I30" s="359"/>
      <c r="J30" s="359"/>
    </row>
    <row r="31" spans="2:17">
      <c r="B31" s="111">
        <v>3</v>
      </c>
      <c r="C31" s="6" t="s">
        <v>22</v>
      </c>
      <c r="D31" s="329">
        <v>89.86</v>
      </c>
      <c r="E31" s="265"/>
      <c r="F31" s="76"/>
      <c r="G31" s="160"/>
      <c r="H31" s="359"/>
      <c r="I31" s="359"/>
      <c r="J31" s="359"/>
    </row>
    <row r="32" spans="2:17">
      <c r="B32" s="99" t="s">
        <v>136</v>
      </c>
      <c r="C32" s="11" t="s">
        <v>24</v>
      </c>
      <c r="D32" s="328">
        <v>4610234.5600000005</v>
      </c>
      <c r="E32" s="264">
        <f>SUM(E33:E39)</f>
        <v>2946422.36</v>
      </c>
      <c r="F32" s="76"/>
      <c r="G32" s="160"/>
      <c r="H32" s="359"/>
      <c r="I32" s="359"/>
      <c r="J32" s="359"/>
    </row>
    <row r="33" spans="2:10">
      <c r="B33" s="111">
        <v>1</v>
      </c>
      <c r="C33" s="6" t="s">
        <v>25</v>
      </c>
      <c r="D33" s="329">
        <v>4202231.16</v>
      </c>
      <c r="E33" s="265">
        <f>2377201.74-368.45</f>
        <v>2376833.29</v>
      </c>
      <c r="F33" s="76"/>
      <c r="G33" s="160"/>
      <c r="H33" s="359"/>
      <c r="I33" s="359"/>
      <c r="J33" s="359"/>
    </row>
    <row r="34" spans="2:10">
      <c r="B34" s="111">
        <v>2</v>
      </c>
      <c r="C34" s="6" t="s">
        <v>26</v>
      </c>
      <c r="D34" s="329"/>
      <c r="E34" s="265"/>
      <c r="F34" s="76"/>
      <c r="G34" s="160"/>
      <c r="H34" s="359"/>
      <c r="I34" s="359"/>
      <c r="J34" s="359"/>
    </row>
    <row r="35" spans="2:10">
      <c r="B35" s="111">
        <v>3</v>
      </c>
      <c r="C35" s="6" t="s">
        <v>27</v>
      </c>
      <c r="D35" s="329">
        <v>61882.130000000005</v>
      </c>
      <c r="E35" s="265">
        <v>64632.46</v>
      </c>
      <c r="F35" s="76"/>
      <c r="G35" s="160"/>
      <c r="H35" s="359"/>
      <c r="I35" s="359"/>
      <c r="J35" s="359"/>
    </row>
    <row r="36" spans="2:10">
      <c r="B36" s="111">
        <v>4</v>
      </c>
      <c r="C36" s="6" t="s">
        <v>28</v>
      </c>
      <c r="D36" s="329"/>
      <c r="E36" s="265"/>
      <c r="F36" s="76"/>
      <c r="G36" s="160"/>
      <c r="H36" s="359"/>
      <c r="I36" s="359"/>
      <c r="J36" s="359"/>
    </row>
    <row r="37" spans="2:10" ht="25.5">
      <c r="B37" s="111">
        <v>5</v>
      </c>
      <c r="C37" s="6" t="s">
        <v>30</v>
      </c>
      <c r="D37" s="329">
        <v>209179.58000000002</v>
      </c>
      <c r="E37" s="265">
        <v>154411.54999999999</v>
      </c>
      <c r="F37" s="76"/>
      <c r="G37" s="160"/>
      <c r="H37" s="359"/>
      <c r="I37" s="359"/>
      <c r="J37" s="359"/>
    </row>
    <row r="38" spans="2:10">
      <c r="B38" s="111">
        <v>6</v>
      </c>
      <c r="C38" s="6" t="s">
        <v>32</v>
      </c>
      <c r="D38" s="329"/>
      <c r="E38" s="265"/>
      <c r="F38" s="76"/>
      <c r="G38" s="160"/>
      <c r="H38" s="359"/>
      <c r="I38" s="359"/>
      <c r="J38" s="359"/>
    </row>
    <row r="39" spans="2:10">
      <c r="B39" s="112">
        <v>7</v>
      </c>
      <c r="C39" s="12" t="s">
        <v>34</v>
      </c>
      <c r="D39" s="330">
        <v>136941.69</v>
      </c>
      <c r="E39" s="266">
        <v>350545.06</v>
      </c>
      <c r="F39" s="76"/>
      <c r="G39" s="160"/>
      <c r="H39" s="359"/>
      <c r="I39" s="359"/>
      <c r="J39" s="359"/>
    </row>
    <row r="40" spans="2:10" ht="13.5" thickBot="1">
      <c r="B40" s="104" t="s">
        <v>137</v>
      </c>
      <c r="C40" s="105" t="s">
        <v>36</v>
      </c>
      <c r="D40" s="331">
        <v>-768742.26</v>
      </c>
      <c r="E40" s="271">
        <v>847488.73</v>
      </c>
      <c r="G40" s="80"/>
    </row>
    <row r="41" spans="2:10" ht="13.5" thickBot="1">
      <c r="B41" s="106" t="s">
        <v>138</v>
      </c>
      <c r="C41" s="107" t="s">
        <v>38</v>
      </c>
      <c r="D41" s="287">
        <v>23074805.389999997</v>
      </c>
      <c r="E41" s="155">
        <f>E26+E27+E40</f>
        <v>18933075.029999997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139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3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129</v>
      </c>
      <c r="C46" s="31" t="s">
        <v>112</v>
      </c>
      <c r="D46" s="108"/>
      <c r="E46" s="28"/>
      <c r="G46" s="76"/>
    </row>
    <row r="47" spans="2:10">
      <c r="B47" s="109">
        <v>1</v>
      </c>
      <c r="C47" s="15" t="s">
        <v>40</v>
      </c>
      <c r="D47" s="304">
        <v>200882.4307</v>
      </c>
      <c r="E47" s="79">
        <v>155682.65416000001</v>
      </c>
      <c r="G47" s="76"/>
    </row>
    <row r="48" spans="2:10">
      <c r="B48" s="130">
        <v>2</v>
      </c>
      <c r="C48" s="22" t="s">
        <v>41</v>
      </c>
      <c r="D48" s="307">
        <v>172023.05564000001</v>
      </c>
      <c r="E48" s="369">
        <v>138341.32116789927</v>
      </c>
      <c r="G48" s="213"/>
    </row>
    <row r="49" spans="2:7">
      <c r="B49" s="127" t="s">
        <v>136</v>
      </c>
      <c r="C49" s="131" t="s">
        <v>113</v>
      </c>
      <c r="D49" s="306"/>
      <c r="E49" s="132"/>
    </row>
    <row r="50" spans="2:7">
      <c r="B50" s="109">
        <v>1</v>
      </c>
      <c r="C50" s="15" t="s">
        <v>40</v>
      </c>
      <c r="D50" s="332">
        <v>138.36354752522999</v>
      </c>
      <c r="E50" s="79">
        <v>131.197445090125</v>
      </c>
      <c r="G50" s="190"/>
    </row>
    <row r="51" spans="2:7">
      <c r="B51" s="109">
        <v>2</v>
      </c>
      <c r="C51" s="15" t="s">
        <v>114</v>
      </c>
      <c r="D51" s="333">
        <v>133.65549999999999</v>
      </c>
      <c r="E51" s="273">
        <v>131.1311</v>
      </c>
      <c r="G51" s="190"/>
    </row>
    <row r="52" spans="2:7" ht="12.75" customHeight="1">
      <c r="B52" s="109">
        <v>3</v>
      </c>
      <c r="C52" s="15" t="s">
        <v>115</v>
      </c>
      <c r="D52" s="333">
        <v>140.15600000000001</v>
      </c>
      <c r="E52" s="273">
        <v>137.54490000000001</v>
      </c>
    </row>
    <row r="53" spans="2:7" ht="13.5" thickBot="1">
      <c r="B53" s="110">
        <v>4</v>
      </c>
      <c r="C53" s="17" t="s">
        <v>41</v>
      </c>
      <c r="D53" s="235">
        <v>134.13786485774901</v>
      </c>
      <c r="E53" s="272">
        <v>136.85769999999999</v>
      </c>
    </row>
    <row r="54" spans="2:7">
      <c r="B54" s="116"/>
      <c r="C54" s="117"/>
      <c r="D54" s="118"/>
      <c r="E54" s="118"/>
    </row>
    <row r="55" spans="2:7" ht="13.5">
      <c r="B55" s="500" t="s">
        <v>140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129</v>
      </c>
      <c r="C58" s="133" t="s">
        <v>43</v>
      </c>
      <c r="D58" s="134">
        <f>SUM(D59:D70)</f>
        <v>18979154.539999999</v>
      </c>
      <c r="E58" s="32">
        <f>D58/E21</f>
        <v>1.0024338101405599</v>
      </c>
    </row>
    <row r="59" spans="2:7" ht="25.5">
      <c r="B59" s="21">
        <v>1</v>
      </c>
      <c r="C59" s="22" t="s">
        <v>44</v>
      </c>
      <c r="D59" s="86">
        <v>0</v>
      </c>
      <c r="E59" s="87">
        <v>0</v>
      </c>
    </row>
    <row r="60" spans="2:7" ht="24" customHeight="1">
      <c r="B60" s="14">
        <v>2</v>
      </c>
      <c r="C60" s="15" t="s">
        <v>45</v>
      </c>
      <c r="D60" s="84">
        <v>0</v>
      </c>
      <c r="E60" s="85">
        <v>0</v>
      </c>
    </row>
    <row r="61" spans="2:7">
      <c r="B61" s="14">
        <v>3</v>
      </c>
      <c r="C61" s="15" t="s">
        <v>46</v>
      </c>
      <c r="D61" s="84">
        <v>0</v>
      </c>
      <c r="E61" s="85">
        <v>0</v>
      </c>
    </row>
    <row r="62" spans="2:7">
      <c r="B62" s="14">
        <v>4</v>
      </c>
      <c r="C62" s="15" t="s">
        <v>47</v>
      </c>
      <c r="D62" s="84">
        <v>0</v>
      </c>
      <c r="E62" s="85">
        <v>0</v>
      </c>
    </row>
    <row r="63" spans="2:7">
      <c r="B63" s="14">
        <v>5</v>
      </c>
      <c r="C63" s="15" t="s">
        <v>48</v>
      </c>
      <c r="D63" s="84">
        <v>0</v>
      </c>
      <c r="E63" s="85">
        <v>0</v>
      </c>
    </row>
    <row r="64" spans="2:7">
      <c r="B64" s="21">
        <v>6</v>
      </c>
      <c r="C64" s="22" t="s">
        <v>49</v>
      </c>
      <c r="D64" s="314">
        <f>17790842.95-2423.49</f>
        <v>17788419.460000001</v>
      </c>
      <c r="E64" s="87">
        <f>D64/E21</f>
        <v>0.93954201479758237</v>
      </c>
    </row>
    <row r="65" spans="2:5">
      <c r="B65" s="21">
        <v>7</v>
      </c>
      <c r="C65" s="22" t="s">
        <v>118</v>
      </c>
      <c r="D65" s="86">
        <v>0</v>
      </c>
      <c r="E65" s="87">
        <v>0</v>
      </c>
    </row>
    <row r="66" spans="2:5">
      <c r="B66" s="21">
        <v>8</v>
      </c>
      <c r="C66" s="22" t="s">
        <v>51</v>
      </c>
      <c r="D66" s="86">
        <v>0</v>
      </c>
      <c r="E66" s="87">
        <v>0</v>
      </c>
    </row>
    <row r="67" spans="2:5">
      <c r="B67" s="14">
        <v>9</v>
      </c>
      <c r="C67" s="15" t="s">
        <v>53</v>
      </c>
      <c r="D67" s="84">
        <v>0</v>
      </c>
      <c r="E67" s="85">
        <v>0</v>
      </c>
    </row>
    <row r="68" spans="2:5">
      <c r="B68" s="14">
        <v>10</v>
      </c>
      <c r="C68" s="15" t="s">
        <v>55</v>
      </c>
      <c r="D68" s="84">
        <v>0</v>
      </c>
      <c r="E68" s="85">
        <v>0</v>
      </c>
    </row>
    <row r="69" spans="2:5">
      <c r="B69" s="14">
        <v>11</v>
      </c>
      <c r="C69" s="15" t="s">
        <v>57</v>
      </c>
      <c r="D69" s="334">
        <v>1190735.08</v>
      </c>
      <c r="E69" s="85">
        <f>D69/E21</f>
        <v>6.2891795342977619E-2</v>
      </c>
    </row>
    <row r="70" spans="2:5">
      <c r="B70" s="119">
        <v>12</v>
      </c>
      <c r="C70" s="120" t="s">
        <v>59</v>
      </c>
      <c r="D70" s="121">
        <v>0</v>
      </c>
      <c r="E70" s="122">
        <v>0</v>
      </c>
    </row>
    <row r="71" spans="2:5">
      <c r="B71" s="127" t="s">
        <v>136</v>
      </c>
      <c r="C71" s="128" t="s">
        <v>61</v>
      </c>
      <c r="D71" s="129">
        <f>E13</f>
        <v>27.25</v>
      </c>
      <c r="E71" s="69">
        <f>D71/E21</f>
        <v>1.4392801991658296E-6</v>
      </c>
    </row>
    <row r="72" spans="2:5">
      <c r="B72" s="123" t="s">
        <v>139</v>
      </c>
      <c r="C72" s="124" t="s">
        <v>63</v>
      </c>
      <c r="D72" s="125">
        <f>E14</f>
        <v>8939.1</v>
      </c>
      <c r="E72" s="126">
        <f>D72/E21</f>
        <v>4.721420047105786E-4</v>
      </c>
    </row>
    <row r="73" spans="2:5">
      <c r="B73" s="23" t="s">
        <v>140</v>
      </c>
      <c r="C73" s="24" t="s">
        <v>65</v>
      </c>
      <c r="D73" s="25">
        <f>E17</f>
        <v>55045.86</v>
      </c>
      <c r="E73" s="26">
        <f>D73/E21</f>
        <v>2.9073914254698851E-3</v>
      </c>
    </row>
    <row r="74" spans="2:5">
      <c r="B74" s="127" t="s">
        <v>141</v>
      </c>
      <c r="C74" s="128" t="s">
        <v>66</v>
      </c>
      <c r="D74" s="129">
        <f>D58+D71+D72-D73</f>
        <v>18933075.030000001</v>
      </c>
      <c r="E74" s="69">
        <f>E58+E72-E73</f>
        <v>0.99999856071980064</v>
      </c>
    </row>
    <row r="75" spans="2:5">
      <c r="B75" s="14">
        <v>1</v>
      </c>
      <c r="C75" s="15" t="s">
        <v>67</v>
      </c>
      <c r="D75" s="84">
        <f>D74</f>
        <v>18933075.030000001</v>
      </c>
      <c r="E75" s="85">
        <f>E74</f>
        <v>0.99999856071980064</v>
      </c>
    </row>
    <row r="76" spans="2:5">
      <c r="B76" s="14">
        <v>2</v>
      </c>
      <c r="C76" s="15" t="s">
        <v>119</v>
      </c>
      <c r="D76" s="84">
        <v>0</v>
      </c>
      <c r="E76" s="85">
        <v>0</v>
      </c>
    </row>
    <row r="77" spans="2:5" ht="13.5" thickBot="1">
      <c r="B77" s="16">
        <v>3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1.03" right="0.75" top="0.6" bottom="0.19" header="0.5" footer="0.5"/>
  <pageSetup paperSize="9" scale="70" orientation="portrait" r:id="rId1"/>
  <headerFooter alignWithMargins="0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1"/>
  <dimension ref="A1:L81"/>
  <sheetViews>
    <sheetView zoomScale="80" zoomScaleNormal="80" workbookViewId="0">
      <selection activeCell="G15" sqref="G15:N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1"/>
      <c r="C4" s="151"/>
      <c r="D4" s="151"/>
      <c r="E4" s="15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252</v>
      </c>
      <c r="C6" s="497"/>
      <c r="D6" s="497"/>
      <c r="E6" s="497"/>
    </row>
    <row r="7" spans="2:12" ht="14.25">
      <c r="B7" s="149"/>
      <c r="C7" s="149"/>
      <c r="D7" s="149"/>
      <c r="E7" s="149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0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163286.05000000002</v>
      </c>
      <c r="E11" s="284">
        <f>SUM(E12:E14)</f>
        <v>180727</v>
      </c>
    </row>
    <row r="12" spans="2:12">
      <c r="B12" s="191" t="s">
        <v>4</v>
      </c>
      <c r="C12" s="192" t="s">
        <v>5</v>
      </c>
      <c r="D12" s="329">
        <v>163286.05000000002</v>
      </c>
      <c r="E12" s="353">
        <f>181128.49-401.49</f>
        <v>180727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163286.05000000002</v>
      </c>
      <c r="E21" s="155">
        <f>E11-E17</f>
        <v>180727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223618.74000000002</v>
      </c>
      <c r="E26" s="270">
        <f>D21</f>
        <v>163286.05000000002</v>
      </c>
      <c r="G26" s="80"/>
    </row>
    <row r="27" spans="2:11">
      <c r="B27" s="9" t="s">
        <v>17</v>
      </c>
      <c r="C27" s="10" t="s">
        <v>111</v>
      </c>
      <c r="D27" s="226">
        <v>-17767.830000000002</v>
      </c>
      <c r="E27" s="263">
        <f>E28-E32</f>
        <v>2583.79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8398.4500000000007</v>
      </c>
      <c r="E28" s="264">
        <f>SUM(E29:E31)</f>
        <v>6938.08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8334.94</v>
      </c>
      <c r="E29" s="265">
        <v>6154.39</v>
      </c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63.51</v>
      </c>
      <c r="E31" s="265">
        <v>783.69</v>
      </c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26166.280000000002</v>
      </c>
      <c r="E32" s="264">
        <f>SUM(E33:E39)</f>
        <v>4354.29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18073.66</v>
      </c>
      <c r="E33" s="265">
        <v>2594.5500000000002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400.9</v>
      </c>
      <c r="E35" s="265">
        <v>422.03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1579.61</v>
      </c>
      <c r="E37" s="265">
        <v>1337.71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6112.11</v>
      </c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-9776.1</v>
      </c>
      <c r="E40" s="271">
        <v>14857.16</v>
      </c>
      <c r="G40" s="80"/>
    </row>
    <row r="41" spans="2:10" ht="13.5" thickBot="1">
      <c r="B41" s="106" t="s">
        <v>37</v>
      </c>
      <c r="C41" s="107" t="s">
        <v>38</v>
      </c>
      <c r="D41" s="230">
        <v>196074.81000000003</v>
      </c>
      <c r="E41" s="155">
        <f>E26+E27+E40</f>
        <v>180727.00000000003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50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2030.498</v>
      </c>
      <c r="E47" s="79">
        <v>1872.9760000000001</v>
      </c>
      <c r="G47" s="76"/>
      <c r="H47" s="166"/>
    </row>
    <row r="48" spans="2:10">
      <c r="B48" s="130" t="s">
        <v>6</v>
      </c>
      <c r="C48" s="22" t="s">
        <v>41</v>
      </c>
      <c r="D48" s="232">
        <v>1871.6572000000001</v>
      </c>
      <c r="E48" s="156">
        <f>E21/E53</f>
        <v>1899.7897613791654</v>
      </c>
      <c r="G48" s="166"/>
    </row>
    <row r="49" spans="2:8">
      <c r="B49" s="127" t="s">
        <v>23</v>
      </c>
      <c r="C49" s="131" t="s">
        <v>113</v>
      </c>
      <c r="D49" s="233"/>
      <c r="E49" s="132"/>
      <c r="H49" s="159"/>
    </row>
    <row r="50" spans="2:8">
      <c r="B50" s="109" t="s">
        <v>4</v>
      </c>
      <c r="C50" s="15" t="s">
        <v>40</v>
      </c>
      <c r="D50" s="231">
        <v>110.13</v>
      </c>
      <c r="E50" s="81">
        <v>87.18</v>
      </c>
      <c r="G50" s="190"/>
    </row>
    <row r="51" spans="2:8">
      <c r="B51" s="109" t="s">
        <v>6</v>
      </c>
      <c r="C51" s="15" t="s">
        <v>114</v>
      </c>
      <c r="D51" s="234">
        <v>104.32</v>
      </c>
      <c r="E51" s="81">
        <v>86.76</v>
      </c>
      <c r="G51" s="190"/>
    </row>
    <row r="52" spans="2:8">
      <c r="B52" s="109" t="s">
        <v>8</v>
      </c>
      <c r="C52" s="15" t="s">
        <v>115</v>
      </c>
      <c r="D52" s="234">
        <v>115.01</v>
      </c>
      <c r="E52" s="81">
        <v>99.94</v>
      </c>
    </row>
    <row r="53" spans="2:8" ht="13.5" customHeight="1" thickBot="1">
      <c r="B53" s="110" t="s">
        <v>9</v>
      </c>
      <c r="C53" s="17" t="s">
        <v>41</v>
      </c>
      <c r="D53" s="235">
        <v>104.76</v>
      </c>
      <c r="E53" s="272">
        <v>95.13</v>
      </c>
    </row>
    <row r="54" spans="2:8">
      <c r="B54" s="116"/>
      <c r="C54" s="117"/>
      <c r="D54" s="118"/>
      <c r="E54" s="118"/>
    </row>
    <row r="55" spans="2:8" ht="13.5">
      <c r="B55" s="500" t="s">
        <v>62</v>
      </c>
      <c r="C55" s="501"/>
      <c r="D55" s="501"/>
      <c r="E55" s="501"/>
    </row>
    <row r="56" spans="2:8" ht="15.75" customHeight="1" thickBot="1">
      <c r="B56" s="498" t="s">
        <v>116</v>
      </c>
      <c r="C56" s="502"/>
      <c r="D56" s="502"/>
      <c r="E56" s="502"/>
    </row>
    <row r="57" spans="2:8" ht="23.25" thickBot="1">
      <c r="B57" s="493" t="s">
        <v>42</v>
      </c>
      <c r="C57" s="494"/>
      <c r="D57" s="18" t="s">
        <v>122</v>
      </c>
      <c r="E57" s="19" t="s">
        <v>117</v>
      </c>
    </row>
    <row r="58" spans="2:8">
      <c r="B58" s="20" t="s">
        <v>18</v>
      </c>
      <c r="C58" s="133" t="s">
        <v>43</v>
      </c>
      <c r="D58" s="134">
        <f>D64</f>
        <v>180727</v>
      </c>
      <c r="E58" s="32">
        <f>D58/E21</f>
        <v>1</v>
      </c>
    </row>
    <row r="59" spans="2:8" ht="25.5">
      <c r="B59" s="130" t="s">
        <v>4</v>
      </c>
      <c r="C59" s="22" t="s">
        <v>44</v>
      </c>
      <c r="D59" s="86">
        <v>0</v>
      </c>
      <c r="E59" s="87">
        <v>0</v>
      </c>
    </row>
    <row r="60" spans="2:8" ht="25.5">
      <c r="B60" s="109" t="s">
        <v>6</v>
      </c>
      <c r="C60" s="15" t="s">
        <v>45</v>
      </c>
      <c r="D60" s="84">
        <v>0</v>
      </c>
      <c r="E60" s="85">
        <v>0</v>
      </c>
    </row>
    <row r="61" spans="2:8">
      <c r="B61" s="109" t="s">
        <v>8</v>
      </c>
      <c r="C61" s="15" t="s">
        <v>46</v>
      </c>
      <c r="D61" s="84">
        <v>0</v>
      </c>
      <c r="E61" s="85">
        <v>0</v>
      </c>
    </row>
    <row r="62" spans="2:8">
      <c r="B62" s="109" t="s">
        <v>9</v>
      </c>
      <c r="C62" s="15" t="s">
        <v>47</v>
      </c>
      <c r="D62" s="84">
        <v>0</v>
      </c>
      <c r="E62" s="85">
        <v>0</v>
      </c>
    </row>
    <row r="63" spans="2:8">
      <c r="B63" s="109" t="s">
        <v>29</v>
      </c>
      <c r="C63" s="15" t="s">
        <v>48</v>
      </c>
      <c r="D63" s="84">
        <v>0</v>
      </c>
      <c r="E63" s="85">
        <v>0</v>
      </c>
    </row>
    <row r="64" spans="2:8">
      <c r="B64" s="130" t="s">
        <v>31</v>
      </c>
      <c r="C64" s="22" t="s">
        <v>49</v>
      </c>
      <c r="D64" s="86">
        <f>E12</f>
        <v>180727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7" t="s">
        <v>64</v>
      </c>
      <c r="C74" s="128" t="s">
        <v>66</v>
      </c>
      <c r="D74" s="129">
        <f>D75</f>
        <v>180727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D58-D73</f>
        <v>180727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2"/>
  <dimension ref="A1:L81"/>
  <sheetViews>
    <sheetView zoomScale="80" zoomScaleNormal="80" workbookViewId="0">
      <selection activeCell="G17" sqref="G17:K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253</v>
      </c>
      <c r="C6" s="497"/>
      <c r="D6" s="497"/>
      <c r="E6" s="497"/>
    </row>
    <row r="7" spans="2:12" ht="14.25">
      <c r="B7" s="152"/>
      <c r="C7" s="152"/>
      <c r="D7" s="152"/>
      <c r="E7" s="152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3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97105.64</v>
      </c>
      <c r="E11" s="284">
        <f>SUM(E12:E14)</f>
        <v>42668.6</v>
      </c>
    </row>
    <row r="12" spans="2:12">
      <c r="B12" s="191" t="s">
        <v>4</v>
      </c>
      <c r="C12" s="192" t="s">
        <v>5</v>
      </c>
      <c r="D12" s="329">
        <v>97105.64</v>
      </c>
      <c r="E12" s="353">
        <f>42832.24-163.64</f>
        <v>42668.6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97105.64</v>
      </c>
      <c r="E21" s="155">
        <f>E11-E17</f>
        <v>42668.6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  <c r="H22" s="167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115825.60000000001</v>
      </c>
      <c r="E26" s="270">
        <f>D21</f>
        <v>97105.64</v>
      </c>
      <c r="G26" s="80"/>
    </row>
    <row r="27" spans="2:11">
      <c r="B27" s="9" t="s">
        <v>17</v>
      </c>
      <c r="C27" s="10" t="s">
        <v>111</v>
      </c>
      <c r="D27" s="226">
        <v>21779.67</v>
      </c>
      <c r="E27" s="263">
        <f>E28-E32</f>
        <v>-58488.4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29482.01</v>
      </c>
      <c r="E28" s="264">
        <f>SUM(E29:E31)</f>
        <v>3043.6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3292.07</v>
      </c>
      <c r="E29" s="265">
        <v>3043.6</v>
      </c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26189.94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7702.34</v>
      </c>
      <c r="E32" s="264">
        <f>SUM(E33:E39)</f>
        <v>61532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4693.88</v>
      </c>
      <c r="E33" s="265">
        <v>52344.65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334.33</v>
      </c>
      <c r="E35" s="265">
        <v>222.02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374.02</v>
      </c>
      <c r="E37" s="265">
        <v>8965.33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2300.11</v>
      </c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-9538.2199999999993</v>
      </c>
      <c r="E40" s="271">
        <v>4051.36</v>
      </c>
      <c r="G40" s="80"/>
    </row>
    <row r="41" spans="2:10" ht="13.5" thickBot="1">
      <c r="B41" s="106" t="s">
        <v>37</v>
      </c>
      <c r="C41" s="107" t="s">
        <v>38</v>
      </c>
      <c r="D41" s="230">
        <v>128067.05000000002</v>
      </c>
      <c r="E41" s="155">
        <f>E26+E27+E40</f>
        <v>42668.6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865.79160000000002</v>
      </c>
      <c r="E47" s="79">
        <v>836.97329999999999</v>
      </c>
      <c r="G47" s="76"/>
    </row>
    <row r="48" spans="2:10">
      <c r="B48" s="204" t="s">
        <v>6</v>
      </c>
      <c r="C48" s="205" t="s">
        <v>41</v>
      </c>
      <c r="D48" s="232">
        <v>1027.578</v>
      </c>
      <c r="E48" s="156">
        <f>E21/E53</f>
        <v>346.87098609869116</v>
      </c>
      <c r="G48" s="16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133.78</v>
      </c>
      <c r="E50" s="81">
        <v>116.02</v>
      </c>
      <c r="G50" s="190"/>
    </row>
    <row r="51" spans="2:7">
      <c r="B51" s="202" t="s">
        <v>6</v>
      </c>
      <c r="C51" s="203" t="s">
        <v>114</v>
      </c>
      <c r="D51" s="234">
        <v>121.44</v>
      </c>
      <c r="E51" s="81">
        <v>115.37</v>
      </c>
      <c r="G51" s="190"/>
    </row>
    <row r="52" spans="2:7">
      <c r="B52" s="202" t="s">
        <v>8</v>
      </c>
      <c r="C52" s="203" t="s">
        <v>115</v>
      </c>
      <c r="D52" s="234">
        <v>139.91999999999999</v>
      </c>
      <c r="E52" s="81">
        <v>125.33</v>
      </c>
    </row>
    <row r="53" spans="2:7" ht="13.5" customHeight="1" thickBot="1">
      <c r="B53" s="206" t="s">
        <v>9</v>
      </c>
      <c r="C53" s="207" t="s">
        <v>41</v>
      </c>
      <c r="D53" s="235">
        <v>124.63</v>
      </c>
      <c r="E53" s="272">
        <v>123.01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42668.6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42668.6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42668.6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42668.6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1" right="0.75" top="0.56999999999999995" bottom="0.55000000000000004" header="0.5" footer="0.5"/>
  <pageSetup paperSize="9" scale="70" orientation="portrait" r:id="rId1"/>
  <headerFooter alignWithMargins="0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3"/>
  <dimension ref="A1:L81"/>
  <sheetViews>
    <sheetView zoomScale="80" zoomScaleNormal="80" workbookViewId="0">
      <selection activeCell="G17" sqref="G17:P5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254</v>
      </c>
      <c r="C6" s="497"/>
      <c r="D6" s="497"/>
      <c r="E6" s="497"/>
    </row>
    <row r="7" spans="2:12" ht="14.25">
      <c r="B7" s="152"/>
      <c r="C7" s="152"/>
      <c r="D7" s="152"/>
      <c r="E7" s="152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3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76861.98</v>
      </c>
      <c r="E11" s="284">
        <f>SUM(E12:E14)</f>
        <v>79939.59</v>
      </c>
    </row>
    <row r="12" spans="2:12">
      <c r="B12" s="191" t="s">
        <v>4</v>
      </c>
      <c r="C12" s="192" t="s">
        <v>5</v>
      </c>
      <c r="D12" s="329">
        <v>76861.98</v>
      </c>
      <c r="E12" s="353">
        <v>79939.59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76861.98</v>
      </c>
      <c r="E21" s="155">
        <f>E11-E17</f>
        <v>79939.59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90376.75</v>
      </c>
      <c r="E26" s="270">
        <f>D21</f>
        <v>76861.98</v>
      </c>
      <c r="G26" s="80"/>
    </row>
    <row r="27" spans="2:11">
      <c r="B27" s="9" t="s">
        <v>17</v>
      </c>
      <c r="C27" s="10" t="s">
        <v>111</v>
      </c>
      <c r="D27" s="226">
        <v>-823.83999999999992</v>
      </c>
      <c r="E27" s="263">
        <f>E28-E32</f>
        <v>-750.14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823.83999999999992</v>
      </c>
      <c r="E32" s="264">
        <f>SUM(E33:E39)</f>
        <v>750.14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65.319999999999993</v>
      </c>
      <c r="E35" s="265">
        <v>77.88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758.52</v>
      </c>
      <c r="E37" s="265">
        <v>672.26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-7379.6</v>
      </c>
      <c r="E40" s="271">
        <v>3827.75</v>
      </c>
      <c r="G40" s="80"/>
    </row>
    <row r="41" spans="2:10" ht="13.5" thickBot="1">
      <c r="B41" s="106" t="s">
        <v>37</v>
      </c>
      <c r="C41" s="107" t="s">
        <v>38</v>
      </c>
      <c r="D41" s="230">
        <v>82173.31</v>
      </c>
      <c r="E41" s="155">
        <f>E26+E27+E40</f>
        <v>79939.59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776.56600000000003</v>
      </c>
      <c r="E47" s="79">
        <v>762.14160000000004</v>
      </c>
      <c r="G47" s="76"/>
    </row>
    <row r="48" spans="2:10">
      <c r="B48" s="204" t="s">
        <v>6</v>
      </c>
      <c r="C48" s="205" t="s">
        <v>41</v>
      </c>
      <c r="D48" s="232">
        <v>769.41300000000001</v>
      </c>
      <c r="E48" s="156">
        <v>754.93050000000005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116.38</v>
      </c>
      <c r="E50" s="81">
        <v>100.85</v>
      </c>
      <c r="G50" s="190"/>
    </row>
    <row r="51" spans="2:7">
      <c r="B51" s="202" t="s">
        <v>6</v>
      </c>
      <c r="C51" s="203" t="s">
        <v>114</v>
      </c>
      <c r="D51" s="234">
        <v>106.68</v>
      </c>
      <c r="E51" s="81">
        <v>100.61</v>
      </c>
      <c r="G51" s="190"/>
    </row>
    <row r="52" spans="2:7">
      <c r="B52" s="202" t="s">
        <v>8</v>
      </c>
      <c r="C52" s="203" t="s">
        <v>115</v>
      </c>
      <c r="D52" s="234">
        <v>121.62</v>
      </c>
      <c r="E52" s="81">
        <v>108.25</v>
      </c>
    </row>
    <row r="53" spans="2:7" ht="12.75" customHeight="1" thickBot="1">
      <c r="B53" s="206" t="s">
        <v>9</v>
      </c>
      <c r="C53" s="207" t="s">
        <v>41</v>
      </c>
      <c r="D53" s="235">
        <v>106.8</v>
      </c>
      <c r="E53" s="272">
        <v>105.89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79939.59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79939.59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79939.59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79939.59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000000000000005" right="0.75" top="0.55000000000000004" bottom="0.52" header="0.5" footer="0.5"/>
  <pageSetup paperSize="9" scale="70" orientation="portrait" r:id="rId1"/>
  <headerFooter alignWithMargins="0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4"/>
  <dimension ref="A1:L81"/>
  <sheetViews>
    <sheetView zoomScale="80" zoomScaleNormal="80" workbookViewId="0">
      <selection activeCell="G16" sqref="G16:N4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255</v>
      </c>
      <c r="C6" s="497"/>
      <c r="D6" s="497"/>
      <c r="E6" s="497"/>
    </row>
    <row r="7" spans="2:12" ht="14.25">
      <c r="B7" s="152"/>
      <c r="C7" s="152"/>
      <c r="D7" s="152"/>
      <c r="E7" s="152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3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375341.18</v>
      </c>
      <c r="E11" s="284">
        <f>SUM(E12:E14)</f>
        <v>211753.4</v>
      </c>
    </row>
    <row r="12" spans="2:12">
      <c r="B12" s="191" t="s">
        <v>4</v>
      </c>
      <c r="C12" s="192" t="s">
        <v>5</v>
      </c>
      <c r="D12" s="329">
        <v>375341.18</v>
      </c>
      <c r="E12" s="353">
        <v>211753.4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375341.18</v>
      </c>
      <c r="E21" s="155">
        <f>E11-E17</f>
        <v>211753.4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565749.92000000004</v>
      </c>
      <c r="E26" s="270">
        <f>D21</f>
        <v>375341.18</v>
      </c>
      <c r="G26" s="80"/>
    </row>
    <row r="27" spans="2:11">
      <c r="B27" s="9" t="s">
        <v>17</v>
      </c>
      <c r="C27" s="10" t="s">
        <v>111</v>
      </c>
      <c r="D27" s="226">
        <v>-58803.5</v>
      </c>
      <c r="E27" s="263">
        <f>E28-E32</f>
        <v>-181470.47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1871.84</v>
      </c>
      <c r="E28" s="264">
        <f>SUM(E29:E31)</f>
        <v>2115.91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1871.84</v>
      </c>
      <c r="E29" s="265">
        <v>1975.9</v>
      </c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>
        <v>140.01</v>
      </c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60675.34</v>
      </c>
      <c r="E32" s="264">
        <f>SUM(E33:E39)</f>
        <v>183586.38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31075.69</v>
      </c>
      <c r="E33" s="265">
        <v>180784.53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241.33</v>
      </c>
      <c r="E35" s="265">
        <v>321.45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4039.23</v>
      </c>
      <c r="E37" s="265">
        <v>2480.4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25319.09</v>
      </c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-58808.68</v>
      </c>
      <c r="E40" s="271">
        <v>17882.689999999999</v>
      </c>
      <c r="G40" s="80"/>
    </row>
    <row r="41" spans="2:10" ht="13.5" thickBot="1">
      <c r="B41" s="106" t="s">
        <v>37</v>
      </c>
      <c r="C41" s="107" t="s">
        <v>38</v>
      </c>
      <c r="D41" s="230">
        <v>448137.74000000005</v>
      </c>
      <c r="E41" s="155">
        <f>E26+E27+E40</f>
        <v>211753.4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2369.4346999999998</v>
      </c>
      <c r="E47" s="79">
        <v>1823.2837</v>
      </c>
      <c r="G47" s="76"/>
    </row>
    <row r="48" spans="2:10">
      <c r="B48" s="204" t="s">
        <v>6</v>
      </c>
      <c r="C48" s="205" t="s">
        <v>41</v>
      </c>
      <c r="D48" s="232">
        <v>2110.8701999999998</v>
      </c>
      <c r="E48" s="156">
        <v>985.72479999999996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238.77</v>
      </c>
      <c r="E50" s="81">
        <v>205.86</v>
      </c>
      <c r="G50" s="190"/>
    </row>
    <row r="51" spans="2:7">
      <c r="B51" s="202" t="s">
        <v>6</v>
      </c>
      <c r="C51" s="203" t="s">
        <v>114</v>
      </c>
      <c r="D51" s="234">
        <v>211.92</v>
      </c>
      <c r="E51" s="81">
        <v>203.92000000000002</v>
      </c>
      <c r="G51" s="190"/>
    </row>
    <row r="52" spans="2:7">
      <c r="B52" s="202" t="s">
        <v>8</v>
      </c>
      <c r="C52" s="203" t="s">
        <v>115</v>
      </c>
      <c r="D52" s="234">
        <v>251.45</v>
      </c>
      <c r="E52" s="81">
        <v>220.15</v>
      </c>
    </row>
    <row r="53" spans="2:7" ht="13.5" customHeight="1" thickBot="1">
      <c r="B53" s="206" t="s">
        <v>9</v>
      </c>
      <c r="C53" s="207" t="s">
        <v>41</v>
      </c>
      <c r="D53" s="235">
        <v>212.3</v>
      </c>
      <c r="E53" s="272">
        <v>214.82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211753.4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211753.4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211753.4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211753.4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3" right="0.75" top="0.52" bottom="0.68" header="0.5" footer="0.5"/>
  <pageSetup paperSize="9" scale="70" orientation="portrait" r:id="rId1"/>
  <headerFooter alignWithMargins="0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5"/>
  <dimension ref="A1:L81"/>
  <sheetViews>
    <sheetView zoomScale="80" zoomScaleNormal="80" workbookViewId="0">
      <selection activeCell="G18" sqref="G18:K4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256</v>
      </c>
      <c r="C6" s="497"/>
      <c r="D6" s="497"/>
      <c r="E6" s="497"/>
    </row>
    <row r="7" spans="2:12" ht="14.25">
      <c r="B7" s="152"/>
      <c r="C7" s="152"/>
      <c r="D7" s="152"/>
      <c r="E7" s="152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3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326312.65999999997</v>
      </c>
      <c r="E11" s="284">
        <f>SUM(E12:E14)</f>
        <v>288765.53999999998</v>
      </c>
    </row>
    <row r="12" spans="2:12">
      <c r="B12" s="191" t="s">
        <v>4</v>
      </c>
      <c r="C12" s="192" t="s">
        <v>5</v>
      </c>
      <c r="D12" s="329">
        <v>326312.65999999997</v>
      </c>
      <c r="E12" s="353">
        <f>288972.75-207.21</f>
        <v>288765.53999999998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326312.65999999997</v>
      </c>
      <c r="E21" s="155">
        <f>E11-E17</f>
        <v>288765.53999999998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686021.21</v>
      </c>
      <c r="E26" s="270">
        <f>D21</f>
        <v>326312.65999999997</v>
      </c>
      <c r="G26" s="80"/>
    </row>
    <row r="27" spans="2:11">
      <c r="B27" s="9" t="s">
        <v>17</v>
      </c>
      <c r="C27" s="10" t="s">
        <v>111</v>
      </c>
      <c r="D27" s="226">
        <v>-11910.63</v>
      </c>
      <c r="E27" s="263">
        <f>E28-E32</f>
        <v>-43706.729999999996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7734.1</v>
      </c>
      <c r="E28" s="264">
        <f>SUM(E29:E31)</f>
        <v>16818.38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4604.1400000000003</v>
      </c>
      <c r="E29" s="265">
        <v>4073.44</v>
      </c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3129.96</v>
      </c>
      <c r="E31" s="265">
        <v>12744.94</v>
      </c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19644.73</v>
      </c>
      <c r="E32" s="264">
        <f>SUM(E33:E39)</f>
        <v>60525.11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10858.38</v>
      </c>
      <c r="E33" s="265">
        <v>41593.86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710.33</v>
      </c>
      <c r="E35" s="265">
        <v>692.55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4897.82</v>
      </c>
      <c r="E37" s="265">
        <v>8552.67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3178.2</v>
      </c>
      <c r="E39" s="266">
        <v>9686.0300000000007</v>
      </c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2592.48</v>
      </c>
      <c r="E40" s="271">
        <v>6159.61</v>
      </c>
      <c r="G40" s="80"/>
    </row>
    <row r="41" spans="2:10" ht="13.5" thickBot="1">
      <c r="B41" s="106" t="s">
        <v>37</v>
      </c>
      <c r="C41" s="107" t="s">
        <v>38</v>
      </c>
      <c r="D41" s="230">
        <v>676703.05999999994</v>
      </c>
      <c r="E41" s="155">
        <f>E26+E27+E40</f>
        <v>288765.53999999998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53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210"/>
    </row>
    <row r="47" spans="2:10">
      <c r="B47" s="109" t="s">
        <v>4</v>
      </c>
      <c r="C47" s="15" t="s">
        <v>40</v>
      </c>
      <c r="D47" s="231">
        <v>1983.3508099999999</v>
      </c>
      <c r="E47" s="79">
        <v>923.71811000000002</v>
      </c>
      <c r="G47" s="210"/>
    </row>
    <row r="48" spans="2:10">
      <c r="B48" s="130" t="s">
        <v>6</v>
      </c>
      <c r="C48" s="22" t="s">
        <v>41</v>
      </c>
      <c r="D48" s="232">
        <v>1949.1979699999999</v>
      </c>
      <c r="E48" s="156">
        <f>E21/E53</f>
        <v>800.19270097264939</v>
      </c>
      <c r="G48" s="210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345.89</v>
      </c>
      <c r="E50" s="81">
        <v>353.26</v>
      </c>
      <c r="G50" s="190"/>
    </row>
    <row r="51" spans="2:7">
      <c r="B51" s="109" t="s">
        <v>6</v>
      </c>
      <c r="C51" s="15" t="s">
        <v>114</v>
      </c>
      <c r="D51" s="234">
        <v>345.64</v>
      </c>
      <c r="E51" s="81">
        <v>352.17</v>
      </c>
      <c r="G51" s="190"/>
    </row>
    <row r="52" spans="2:7">
      <c r="B52" s="109" t="s">
        <v>8</v>
      </c>
      <c r="C52" s="15" t="s">
        <v>115</v>
      </c>
      <c r="D52" s="234">
        <v>351.52</v>
      </c>
      <c r="E52" s="81">
        <v>361.12</v>
      </c>
    </row>
    <row r="53" spans="2:7" ht="13.5" customHeight="1" thickBot="1">
      <c r="B53" s="110" t="s">
        <v>9</v>
      </c>
      <c r="C53" s="17" t="s">
        <v>41</v>
      </c>
      <c r="D53" s="235">
        <v>347.17</v>
      </c>
      <c r="E53" s="272">
        <v>360.87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288765.53999999998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E12</f>
        <v>288765.53999999998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7" t="s">
        <v>64</v>
      </c>
      <c r="C74" s="128" t="s">
        <v>66</v>
      </c>
      <c r="D74" s="129">
        <f>D58-D73</f>
        <v>288765.53999999998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288765.53999999998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6"/>
  <dimension ref="A1:L81"/>
  <sheetViews>
    <sheetView zoomScale="80" zoomScaleNormal="80" workbookViewId="0">
      <selection activeCell="G16" sqref="G16:L4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257</v>
      </c>
      <c r="C6" s="497"/>
      <c r="D6" s="497"/>
      <c r="E6" s="497"/>
    </row>
    <row r="7" spans="2:12" ht="14.25">
      <c r="B7" s="152"/>
      <c r="C7" s="152"/>
      <c r="D7" s="152"/>
      <c r="E7" s="152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3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148305.16999999998</v>
      </c>
      <c r="E11" s="284">
        <f>SUM(E12:E14)</f>
        <v>120319.29000000001</v>
      </c>
    </row>
    <row r="12" spans="2:12">
      <c r="B12" s="191" t="s">
        <v>4</v>
      </c>
      <c r="C12" s="192" t="s">
        <v>5</v>
      </c>
      <c r="D12" s="329">
        <v>148305.16999999998</v>
      </c>
      <c r="E12" s="353">
        <f>120435.1-115.81</f>
        <v>120319.29000000001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148305.16999999998</v>
      </c>
      <c r="E21" s="155">
        <f>E11-E17</f>
        <v>120319.29000000001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  <c r="H22" s="167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247940.58</v>
      </c>
      <c r="E26" s="270">
        <f>D21</f>
        <v>148305.16999999998</v>
      </c>
      <c r="G26" s="80"/>
    </row>
    <row r="27" spans="2:11">
      <c r="B27" s="9" t="s">
        <v>17</v>
      </c>
      <c r="C27" s="10" t="s">
        <v>111</v>
      </c>
      <c r="D27" s="226">
        <v>-74178.470000000016</v>
      </c>
      <c r="E27" s="263">
        <f>E28-E32</f>
        <v>-30529.850000000002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99531.76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99531.76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173710.23</v>
      </c>
      <c r="E32" s="264">
        <f>SUM(E33:E39)</f>
        <v>30529.850000000002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39475.14</v>
      </c>
      <c r="E33" s="265">
        <v>29163.49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201.52</v>
      </c>
      <c r="E35" s="265">
        <v>116.66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2013</v>
      </c>
      <c r="E37" s="265">
        <v>1249.7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132020.57</v>
      </c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2202.9699999999998</v>
      </c>
      <c r="E40" s="271">
        <v>2543.9699999999998</v>
      </c>
      <c r="G40" s="80"/>
    </row>
    <row r="41" spans="2:10" ht="13.5" thickBot="1">
      <c r="B41" s="106" t="s">
        <v>37</v>
      </c>
      <c r="C41" s="107" t="s">
        <v>38</v>
      </c>
      <c r="D41" s="230">
        <v>175965.08</v>
      </c>
      <c r="E41" s="155">
        <f>E26+E27+E40</f>
        <v>120319.28999999998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53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1145.5780999999999</v>
      </c>
      <c r="E47" s="79">
        <v>671.85452999999995</v>
      </c>
      <c r="G47" s="76"/>
    </row>
    <row r="48" spans="2:10">
      <c r="B48" s="130" t="s">
        <v>6</v>
      </c>
      <c r="C48" s="22" t="s">
        <v>41</v>
      </c>
      <c r="D48" s="232">
        <v>804.77970000000005</v>
      </c>
      <c r="E48" s="156">
        <f>E21/E53</f>
        <v>534.75240000000008</v>
      </c>
      <c r="G48" s="210"/>
      <c r="H48" s="16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216.53</v>
      </c>
      <c r="E50" s="81">
        <v>220.74</v>
      </c>
      <c r="G50" s="190"/>
    </row>
    <row r="51" spans="2:7">
      <c r="B51" s="109" t="s">
        <v>6</v>
      </c>
      <c r="C51" s="15" t="s">
        <v>114</v>
      </c>
      <c r="D51" s="234">
        <v>216.53</v>
      </c>
      <c r="E51" s="81">
        <v>220.52</v>
      </c>
      <c r="G51" s="190"/>
    </row>
    <row r="52" spans="2:7">
      <c r="B52" s="109" t="s">
        <v>8</v>
      </c>
      <c r="C52" s="15" t="s">
        <v>115</v>
      </c>
      <c r="D52" s="234">
        <v>219.18</v>
      </c>
      <c r="E52" s="81">
        <v>225.07</v>
      </c>
    </row>
    <row r="53" spans="2:7" ht="14.25" customHeight="1" thickBot="1">
      <c r="B53" s="110" t="s">
        <v>9</v>
      </c>
      <c r="C53" s="17" t="s">
        <v>41</v>
      </c>
      <c r="D53" s="235">
        <v>218.65</v>
      </c>
      <c r="E53" s="272">
        <v>225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120319.29000000001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E12</f>
        <v>120319.29000000001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0</v>
      </c>
      <c r="E73" s="87">
        <f>D73/E21</f>
        <v>0</v>
      </c>
    </row>
    <row r="74" spans="2:5">
      <c r="B74" s="137" t="s">
        <v>64</v>
      </c>
      <c r="C74" s="128" t="s">
        <v>66</v>
      </c>
      <c r="D74" s="129">
        <f>D58-D73</f>
        <v>120319.29000000001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120319.29000000001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61" bottom="0.6" header="0.5" footer="0.5"/>
  <pageSetup paperSize="9" scale="70" orientation="portrait" r:id="rId1"/>
  <headerFooter alignWithMargins="0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7"/>
  <dimension ref="A1:L81"/>
  <sheetViews>
    <sheetView zoomScale="80" zoomScaleNormal="80" workbookViewId="0">
      <selection activeCell="G15" sqref="G14:K4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258</v>
      </c>
      <c r="C6" s="497"/>
      <c r="D6" s="497"/>
      <c r="E6" s="497"/>
    </row>
    <row r="7" spans="2:12" ht="14.25">
      <c r="B7" s="152"/>
      <c r="C7" s="152"/>
      <c r="D7" s="152"/>
      <c r="E7" s="152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3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140492.79</v>
      </c>
      <c r="E11" s="284">
        <f>SUM(E12:E14)</f>
        <v>116993</v>
      </c>
    </row>
    <row r="12" spans="2:12">
      <c r="B12" s="191" t="s">
        <v>4</v>
      </c>
      <c r="C12" s="192" t="s">
        <v>5</v>
      </c>
      <c r="D12" s="329">
        <v>140492.79</v>
      </c>
      <c r="E12" s="353">
        <f>117471.45-478.45</f>
        <v>116993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140492.79</v>
      </c>
      <c r="E21" s="155">
        <f>E11-E17</f>
        <v>116993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  <c r="H22" s="167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150486.65</v>
      </c>
      <c r="E26" s="270">
        <f>D21</f>
        <v>140492.79</v>
      </c>
      <c r="G26" s="80"/>
    </row>
    <row r="27" spans="2:11">
      <c r="B27" s="9" t="s">
        <v>17</v>
      </c>
      <c r="C27" s="10" t="s">
        <v>111</v>
      </c>
      <c r="D27" s="226">
        <v>3866.9400000000005</v>
      </c>
      <c r="E27" s="263">
        <f>E28-E32</f>
        <v>-31953.020000000004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5088.1400000000003</v>
      </c>
      <c r="E28" s="264">
        <f>SUM(E29:E31)</f>
        <v>5284.08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5088.1400000000003</v>
      </c>
      <c r="E29" s="265">
        <v>5284.08</v>
      </c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1221.1999999999998</v>
      </c>
      <c r="E32" s="264">
        <f>SUM(E33:E39)</f>
        <v>37237.100000000006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>
        <v>33302.01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296.73</v>
      </c>
      <c r="E35" s="265">
        <v>214.86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917.18</v>
      </c>
      <c r="E37" s="265">
        <v>3720.23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7.29</v>
      </c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-7027.15</v>
      </c>
      <c r="E40" s="271">
        <v>8453.23</v>
      </c>
      <c r="G40" s="80"/>
    </row>
    <row r="41" spans="2:10" ht="13.5" thickBot="1">
      <c r="B41" s="106" t="s">
        <v>37</v>
      </c>
      <c r="C41" s="107" t="s">
        <v>38</v>
      </c>
      <c r="D41" s="230">
        <v>147326.44</v>
      </c>
      <c r="E41" s="155">
        <f>E26+E27+E40</f>
        <v>116993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53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444.59539999999998</v>
      </c>
      <c r="E47" s="79">
        <v>442.4273</v>
      </c>
      <c r="G47" s="76"/>
    </row>
    <row r="48" spans="2:10">
      <c r="B48" s="130" t="s">
        <v>6</v>
      </c>
      <c r="C48" s="22" t="s">
        <v>41</v>
      </c>
      <c r="D48" s="232">
        <v>456.11900000000003</v>
      </c>
      <c r="E48" s="156">
        <f>E21/E53</f>
        <v>344.63428285268208</v>
      </c>
      <c r="G48" s="210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338.48</v>
      </c>
      <c r="E50" s="81">
        <v>317.55</v>
      </c>
      <c r="G50" s="190"/>
    </row>
    <row r="51" spans="2:7">
      <c r="B51" s="109" t="s">
        <v>6</v>
      </c>
      <c r="C51" s="15" t="s">
        <v>114</v>
      </c>
      <c r="D51" s="234">
        <v>323</v>
      </c>
      <c r="E51" s="81">
        <v>317.47000000000003</v>
      </c>
      <c r="G51" s="190"/>
    </row>
    <row r="52" spans="2:7">
      <c r="B52" s="109" t="s">
        <v>8</v>
      </c>
      <c r="C52" s="15" t="s">
        <v>115</v>
      </c>
      <c r="D52" s="234">
        <v>350.65</v>
      </c>
      <c r="E52" s="81">
        <v>340.75</v>
      </c>
    </row>
    <row r="53" spans="2:7" ht="13.5" customHeight="1" thickBot="1">
      <c r="B53" s="110" t="s">
        <v>9</v>
      </c>
      <c r="C53" s="17" t="s">
        <v>41</v>
      </c>
      <c r="D53" s="235">
        <v>323</v>
      </c>
      <c r="E53" s="272">
        <v>339.47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116993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116993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116993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116993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55000000000000004" bottom="0.5" header="0.5" footer="0.5"/>
  <pageSetup paperSize="9" scale="70" orientation="portrait" r:id="rId1"/>
  <headerFooter alignWithMargins="0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8"/>
  <dimension ref="A1:L81"/>
  <sheetViews>
    <sheetView zoomScale="80" zoomScaleNormal="80" workbookViewId="0">
      <selection activeCell="G18" sqref="G18:L4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259</v>
      </c>
      <c r="C6" s="497"/>
      <c r="D6" s="497"/>
      <c r="E6" s="497"/>
    </row>
    <row r="7" spans="2:12" ht="14.25">
      <c r="B7" s="152"/>
      <c r="C7" s="152"/>
      <c r="D7" s="152"/>
      <c r="E7" s="152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3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27244.59</v>
      </c>
      <c r="E11" s="284">
        <f>SUM(E12:E14)</f>
        <v>27234.5</v>
      </c>
    </row>
    <row r="12" spans="2:12">
      <c r="B12" s="191" t="s">
        <v>4</v>
      </c>
      <c r="C12" s="192" t="s">
        <v>5</v>
      </c>
      <c r="D12" s="329">
        <v>27244.59</v>
      </c>
      <c r="E12" s="353">
        <v>27234.5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27244.59</v>
      </c>
      <c r="E21" s="155">
        <f>E11-E17</f>
        <v>27234.5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22242.32</v>
      </c>
      <c r="E26" s="270">
        <f>D21</f>
        <v>27244.59</v>
      </c>
      <c r="G26" s="80"/>
    </row>
    <row r="27" spans="2:11">
      <c r="B27" s="9" t="s">
        <v>17</v>
      </c>
      <c r="C27" s="10" t="s">
        <v>111</v>
      </c>
      <c r="D27" s="226">
        <v>-267.2</v>
      </c>
      <c r="E27" s="263">
        <f>E28-E32</f>
        <v>-252.91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267.2</v>
      </c>
      <c r="E32" s="264">
        <f>SUM(E33:E39)</f>
        <v>252.91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40.18</v>
      </c>
      <c r="E35" s="265">
        <v>35.159999999999997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227.02</v>
      </c>
      <c r="E37" s="265">
        <v>217.75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275.39</v>
      </c>
      <c r="E40" s="271">
        <v>242.82</v>
      </c>
      <c r="G40" s="80"/>
    </row>
    <row r="41" spans="2:10" ht="13.5" thickBot="1">
      <c r="B41" s="106" t="s">
        <v>37</v>
      </c>
      <c r="C41" s="107" t="s">
        <v>38</v>
      </c>
      <c r="D41" s="230">
        <v>22250.51</v>
      </c>
      <c r="E41" s="155">
        <f>E26+E27+E40</f>
        <v>27234.5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53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184.96729999999999</v>
      </c>
      <c r="E47" s="79">
        <v>221.48269999999999</v>
      </c>
      <c r="G47" s="76"/>
    </row>
    <row r="48" spans="2:10">
      <c r="B48" s="130" t="s">
        <v>6</v>
      </c>
      <c r="C48" s="22" t="s">
        <v>41</v>
      </c>
      <c r="D48" s="232">
        <v>182.75569999999999</v>
      </c>
      <c r="E48" s="156">
        <v>219.4384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120.25</v>
      </c>
      <c r="E50" s="81">
        <v>123.01</v>
      </c>
      <c r="G50" s="190"/>
    </row>
    <row r="51" spans="2:7">
      <c r="B51" s="109" t="s">
        <v>6</v>
      </c>
      <c r="C51" s="15" t="s">
        <v>114</v>
      </c>
      <c r="D51" s="234">
        <v>120.25</v>
      </c>
      <c r="E51" s="81">
        <v>123.01</v>
      </c>
      <c r="G51" s="190"/>
    </row>
    <row r="52" spans="2:7">
      <c r="B52" s="109" t="s">
        <v>8</v>
      </c>
      <c r="C52" s="15" t="s">
        <v>115</v>
      </c>
      <c r="D52" s="234">
        <v>121.75</v>
      </c>
      <c r="E52" s="81">
        <v>124.14</v>
      </c>
    </row>
    <row r="53" spans="2:7" ht="13.5" customHeight="1" thickBot="1">
      <c r="B53" s="110" t="s">
        <v>9</v>
      </c>
      <c r="C53" s="17" t="s">
        <v>41</v>
      </c>
      <c r="D53" s="235">
        <v>121.75</v>
      </c>
      <c r="E53" s="272">
        <v>124.11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27234.5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27234.5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27234.5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27234.5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4" right="0.75" top="0.55000000000000004" bottom="0.59" header="0.5" footer="0.5"/>
  <pageSetup paperSize="9" scale="70" orientation="portrait" r:id="rId1"/>
  <headerFooter alignWithMargins="0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9"/>
  <dimension ref="A1:L81"/>
  <sheetViews>
    <sheetView zoomScale="80" zoomScaleNormal="80" workbookViewId="0">
      <selection activeCell="G16" sqref="G16:K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260</v>
      </c>
      <c r="C6" s="497"/>
      <c r="D6" s="497"/>
      <c r="E6" s="497"/>
    </row>
    <row r="7" spans="2:12" ht="14.25">
      <c r="B7" s="152"/>
      <c r="C7" s="152"/>
      <c r="D7" s="152"/>
      <c r="E7" s="152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3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279765.01</v>
      </c>
      <c r="E11" s="284">
        <f>SUM(E12:E14)</f>
        <v>288031.11</v>
      </c>
    </row>
    <row r="12" spans="2:12">
      <c r="B12" s="191" t="s">
        <v>4</v>
      </c>
      <c r="C12" s="192" t="s">
        <v>5</v>
      </c>
      <c r="D12" s="329">
        <v>279765.01</v>
      </c>
      <c r="E12" s="353">
        <v>288031.11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279765.01</v>
      </c>
      <c r="E21" s="155">
        <f>E11-E17</f>
        <v>288031.11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596963.11</v>
      </c>
      <c r="E26" s="270">
        <f>D21</f>
        <v>279765.01</v>
      </c>
      <c r="G26" s="80"/>
    </row>
    <row r="27" spans="2:11">
      <c r="B27" s="9" t="s">
        <v>17</v>
      </c>
      <c r="C27" s="10" t="s">
        <v>111</v>
      </c>
      <c r="D27" s="226">
        <v>-295638.79000000004</v>
      </c>
      <c r="E27" s="263">
        <f>E28-E32</f>
        <v>-1488.12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748.63</v>
      </c>
      <c r="E28" s="264">
        <f>SUM(E29:E31)</f>
        <v>771.09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748.63</v>
      </c>
      <c r="E29" s="265">
        <v>771.09</v>
      </c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296387.42000000004</v>
      </c>
      <c r="E32" s="264">
        <f>SUM(E33:E39)</f>
        <v>2259.21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293233.82</v>
      </c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12.01</v>
      </c>
      <c r="E35" s="265">
        <v>14.36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3141.59</v>
      </c>
      <c r="E37" s="265">
        <v>2244.85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-16527.39</v>
      </c>
      <c r="E40" s="271">
        <v>9754.2199999999993</v>
      </c>
      <c r="G40" s="80"/>
    </row>
    <row r="41" spans="2:10" ht="13.5" thickBot="1">
      <c r="B41" s="106" t="s">
        <v>37</v>
      </c>
      <c r="C41" s="107" t="s">
        <v>38</v>
      </c>
      <c r="D41" s="230">
        <v>284796.92999999993</v>
      </c>
      <c r="E41" s="155">
        <f>E26+E27+E40</f>
        <v>288031.11</v>
      </c>
      <c r="F41" s="83"/>
      <c r="G41" s="80"/>
    </row>
    <row r="42" spans="2:10">
      <c r="B42" s="100"/>
      <c r="C42" s="100"/>
      <c r="D42" s="26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53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3052.4268000000002</v>
      </c>
      <c r="E47" s="79">
        <v>1525.2699</v>
      </c>
      <c r="G47" s="76"/>
    </row>
    <row r="48" spans="2:10">
      <c r="B48" s="130" t="s">
        <v>6</v>
      </c>
      <c r="C48" s="22" t="s">
        <v>41</v>
      </c>
      <c r="D48" s="232">
        <v>1533.3922</v>
      </c>
      <c r="E48" s="156">
        <v>1517.2309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195.57</v>
      </c>
      <c r="E50" s="81">
        <v>183.42</v>
      </c>
      <c r="G50" s="190"/>
    </row>
    <row r="51" spans="2:7">
      <c r="B51" s="109" t="s">
        <v>6</v>
      </c>
      <c r="C51" s="15" t="s">
        <v>114</v>
      </c>
      <c r="D51" s="234">
        <v>182.53</v>
      </c>
      <c r="E51" s="81">
        <v>182.37</v>
      </c>
      <c r="G51" s="190"/>
    </row>
    <row r="52" spans="2:7">
      <c r="B52" s="109" t="s">
        <v>8</v>
      </c>
      <c r="C52" s="15" t="s">
        <v>115</v>
      </c>
      <c r="D52" s="234">
        <v>197.07</v>
      </c>
      <c r="E52" s="81">
        <v>190.58</v>
      </c>
    </row>
    <row r="53" spans="2:7" ht="13.5" customHeight="1" thickBot="1">
      <c r="B53" s="110" t="s">
        <v>9</v>
      </c>
      <c r="C53" s="17" t="s">
        <v>41</v>
      </c>
      <c r="D53" s="235">
        <v>185.73</v>
      </c>
      <c r="E53" s="272">
        <v>189.84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288031.11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288031.11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288031.11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288031.11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0"/>
  <dimension ref="A1:L81"/>
  <sheetViews>
    <sheetView zoomScale="80" zoomScaleNormal="80" workbookViewId="0">
      <selection activeCell="G14" sqref="G13:P4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261</v>
      </c>
      <c r="C6" s="497"/>
      <c r="D6" s="497"/>
      <c r="E6" s="497"/>
    </row>
    <row r="7" spans="2:12" ht="14.25">
      <c r="B7" s="152"/>
      <c r="C7" s="152"/>
      <c r="D7" s="152"/>
      <c r="E7" s="152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3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34542.54</v>
      </c>
      <c r="E11" s="284">
        <f>SUM(E12:E14)</f>
        <v>38406.699999999997</v>
      </c>
    </row>
    <row r="12" spans="2:12">
      <c r="B12" s="191" t="s">
        <v>4</v>
      </c>
      <c r="C12" s="192" t="s">
        <v>5</v>
      </c>
      <c r="D12" s="329">
        <v>34542.54</v>
      </c>
      <c r="E12" s="353">
        <v>38406.699999999997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34542.54</v>
      </c>
      <c r="E21" s="155">
        <f>E11-E17</f>
        <v>38406.699999999997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257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75258.92</v>
      </c>
      <c r="E26" s="270">
        <f>D21</f>
        <v>34542.54</v>
      </c>
      <c r="G26" s="80"/>
    </row>
    <row r="27" spans="2:11">
      <c r="B27" s="9" t="s">
        <v>17</v>
      </c>
      <c r="C27" s="10" t="s">
        <v>111</v>
      </c>
      <c r="D27" s="226">
        <v>-43021.94999999999</v>
      </c>
      <c r="E27" s="263">
        <f>E28-E32</f>
        <v>2221.19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2451.44</v>
      </c>
      <c r="E28" s="264">
        <f>SUM(E29:E31)</f>
        <v>2570.81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2451.44</v>
      </c>
      <c r="E29" s="265">
        <v>2570.81</v>
      </c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45473.389999999992</v>
      </c>
      <c r="E32" s="264">
        <f>SUM(E33:E39)</f>
        <v>349.62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45025.59</v>
      </c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45.92</v>
      </c>
      <c r="E35" s="265">
        <v>37.61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401.88</v>
      </c>
      <c r="E37" s="265">
        <v>312.01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-108.26</v>
      </c>
      <c r="E40" s="271">
        <v>1642.97</v>
      </c>
      <c r="G40" s="80"/>
    </row>
    <row r="41" spans="2:10" ht="13.5" thickBot="1">
      <c r="B41" s="106" t="s">
        <v>37</v>
      </c>
      <c r="C41" s="107" t="s">
        <v>38</v>
      </c>
      <c r="D41" s="230">
        <v>32128.71000000001</v>
      </c>
      <c r="E41" s="155">
        <f>E26+E27+E40</f>
        <v>38406.700000000004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53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414.3073</v>
      </c>
      <c r="E47" s="79">
        <v>194.6936</v>
      </c>
      <c r="G47" s="76"/>
    </row>
    <row r="48" spans="2:10">
      <c r="B48" s="130" t="s">
        <v>6</v>
      </c>
      <c r="C48" s="22" t="s">
        <v>41</v>
      </c>
      <c r="D48" s="232">
        <v>182.0736</v>
      </c>
      <c r="E48" s="156">
        <v>206.92150000000001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181.65</v>
      </c>
      <c r="E50" s="81">
        <v>177.42</v>
      </c>
      <c r="G50" s="190"/>
    </row>
    <row r="51" spans="2:7">
      <c r="B51" s="109" t="s">
        <v>6</v>
      </c>
      <c r="C51" s="15" t="s">
        <v>114</v>
      </c>
      <c r="D51" s="234">
        <v>176.42</v>
      </c>
      <c r="E51" s="81">
        <v>177.42</v>
      </c>
      <c r="G51" s="190"/>
    </row>
    <row r="52" spans="2:7">
      <c r="B52" s="109" t="s">
        <v>8</v>
      </c>
      <c r="C52" s="15" t="s">
        <v>115</v>
      </c>
      <c r="D52" s="234">
        <v>185.64</v>
      </c>
      <c r="E52" s="81">
        <v>186.08</v>
      </c>
    </row>
    <row r="53" spans="2:7" ht="13.5" customHeight="1" thickBot="1">
      <c r="B53" s="110" t="s">
        <v>9</v>
      </c>
      <c r="C53" s="17" t="s">
        <v>41</v>
      </c>
      <c r="D53" s="235">
        <v>176.46</v>
      </c>
      <c r="E53" s="272">
        <v>185.61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38406.699999999997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38406.699999999997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38406.699999999997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38406.699999999997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56999999999999995" bottom="0.49" header="0.5" footer="0.5"/>
  <pageSetup paperSize="9" scale="7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81"/>
  <sheetViews>
    <sheetView zoomScale="80" zoomScaleNormal="80" workbookViewId="0">
      <selection activeCell="G47" sqref="G4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7.42578125" customWidth="1"/>
    <col min="11" max="11" width="16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149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22448596.600000001</v>
      </c>
      <c r="E11" s="284">
        <f>SUM(E12:E14)</f>
        <v>19922202.060000002</v>
      </c>
    </row>
    <row r="12" spans="2:12">
      <c r="B12" s="113" t="s">
        <v>4</v>
      </c>
      <c r="C12" s="6" t="s">
        <v>5</v>
      </c>
      <c r="D12" s="329">
        <v>22448596.600000001</v>
      </c>
      <c r="E12" s="353">
        <f>17445098.78+2477035.42+67.86</f>
        <v>19922202.060000002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3">
      <c r="B17" s="9" t="s">
        <v>13</v>
      </c>
      <c r="C17" s="11" t="s">
        <v>65</v>
      </c>
      <c r="D17" s="325">
        <v>3706.74</v>
      </c>
      <c r="E17" s="356">
        <f>E18</f>
        <v>20361.689999999999</v>
      </c>
    </row>
    <row r="18" spans="2:13">
      <c r="B18" s="113" t="s">
        <v>4</v>
      </c>
      <c r="C18" s="6" t="s">
        <v>11</v>
      </c>
      <c r="D18" s="324">
        <v>3706.74</v>
      </c>
      <c r="E18" s="355">
        <v>20361.689999999999</v>
      </c>
    </row>
    <row r="19" spans="2:13" ht="15" customHeight="1">
      <c r="B19" s="113" t="s">
        <v>6</v>
      </c>
      <c r="C19" s="71" t="s">
        <v>108</v>
      </c>
      <c r="D19" s="322"/>
      <c r="E19" s="354"/>
    </row>
    <row r="20" spans="2:13" ht="13.5" thickBot="1">
      <c r="B20" s="115" t="s">
        <v>8</v>
      </c>
      <c r="C20" s="72" t="s">
        <v>14</v>
      </c>
      <c r="D20" s="285"/>
      <c r="E20" s="286"/>
      <c r="G20" s="190"/>
    </row>
    <row r="21" spans="2:13" ht="13.5" thickBot="1">
      <c r="B21" s="505" t="s">
        <v>110</v>
      </c>
      <c r="C21" s="506"/>
      <c r="D21" s="287">
        <v>22444889.860000003</v>
      </c>
      <c r="E21" s="155">
        <f>E11-E17</f>
        <v>19901840.370000001</v>
      </c>
      <c r="F21" s="83"/>
      <c r="G21" s="83"/>
      <c r="H21" s="176"/>
      <c r="J21" s="254"/>
      <c r="K21" s="70"/>
      <c r="M21" s="190"/>
    </row>
    <row r="22" spans="2:13">
      <c r="B22" s="3"/>
      <c r="C22" s="7"/>
      <c r="D22" s="8"/>
      <c r="E22" s="8"/>
      <c r="G22" s="169"/>
    </row>
    <row r="23" spans="2:13" ht="13.5">
      <c r="B23" s="499" t="s">
        <v>104</v>
      </c>
      <c r="C23" s="507"/>
      <c r="D23" s="507"/>
      <c r="E23" s="507"/>
      <c r="G23" s="76"/>
    </row>
    <row r="24" spans="2:13" ht="15.75" customHeight="1" thickBot="1">
      <c r="B24" s="498" t="s">
        <v>105</v>
      </c>
      <c r="C24" s="508"/>
      <c r="D24" s="508"/>
      <c r="E24" s="508"/>
    </row>
    <row r="25" spans="2:13" ht="13.5" thickBot="1">
      <c r="B25" s="95"/>
      <c r="C25" s="5" t="s">
        <v>2</v>
      </c>
      <c r="D25" s="73" t="s">
        <v>125</v>
      </c>
      <c r="E25" s="29" t="s">
        <v>145</v>
      </c>
    </row>
    <row r="26" spans="2:13">
      <c r="B26" s="102" t="s">
        <v>15</v>
      </c>
      <c r="C26" s="103" t="s">
        <v>16</v>
      </c>
      <c r="D26" s="225">
        <v>37157605.240000002</v>
      </c>
      <c r="E26" s="270">
        <f>D21</f>
        <v>22444889.860000003</v>
      </c>
      <c r="G26" s="80"/>
    </row>
    <row r="27" spans="2:13">
      <c r="B27" s="9" t="s">
        <v>17</v>
      </c>
      <c r="C27" s="10" t="s">
        <v>111</v>
      </c>
      <c r="D27" s="226">
        <v>-5913773.9399999985</v>
      </c>
      <c r="E27" s="263">
        <f>E28-E32</f>
        <v>-6080334.5099999998</v>
      </c>
      <c r="F27" s="76"/>
      <c r="G27" s="359"/>
      <c r="H27" s="76"/>
      <c r="I27" s="76"/>
      <c r="J27" s="76"/>
    </row>
    <row r="28" spans="2:13">
      <c r="B28" s="9" t="s">
        <v>18</v>
      </c>
      <c r="C28" s="10" t="s">
        <v>19</v>
      </c>
      <c r="D28" s="226">
        <v>528018.61</v>
      </c>
      <c r="E28" s="264">
        <f>SUM(E29:E31)</f>
        <v>454712.89</v>
      </c>
      <c r="F28" s="76"/>
      <c r="G28" s="359"/>
      <c r="H28" s="76"/>
      <c r="I28" s="76"/>
      <c r="J28" s="76"/>
    </row>
    <row r="29" spans="2:13">
      <c r="B29" s="111" t="s">
        <v>4</v>
      </c>
      <c r="C29" s="6" t="s">
        <v>20</v>
      </c>
      <c r="D29" s="227">
        <v>2000</v>
      </c>
      <c r="E29" s="265"/>
      <c r="F29" s="76"/>
      <c r="G29" s="359"/>
      <c r="H29" s="76"/>
      <c r="I29" s="76"/>
      <c r="J29" s="76"/>
    </row>
    <row r="30" spans="2:13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3">
      <c r="B31" s="111" t="s">
        <v>8</v>
      </c>
      <c r="C31" s="6" t="s">
        <v>22</v>
      </c>
      <c r="D31" s="227">
        <v>526018.61</v>
      </c>
      <c r="E31" s="265">
        <v>454712.89</v>
      </c>
      <c r="F31" s="76"/>
      <c r="G31" s="359"/>
      <c r="H31" s="76"/>
      <c r="I31" s="76"/>
      <c r="J31" s="76"/>
    </row>
    <row r="32" spans="2:13">
      <c r="B32" s="99" t="s">
        <v>23</v>
      </c>
      <c r="C32" s="11" t="s">
        <v>24</v>
      </c>
      <c r="D32" s="226">
        <v>6441792.5499999989</v>
      </c>
      <c r="E32" s="264">
        <f>SUM(E33:E39)</f>
        <v>6535047.3999999994</v>
      </c>
      <c r="F32" s="76"/>
      <c r="G32" s="359"/>
      <c r="H32" s="76"/>
      <c r="I32" s="76"/>
      <c r="J32" s="76"/>
    </row>
    <row r="33" spans="2:10">
      <c r="B33" s="111" t="s">
        <v>4</v>
      </c>
      <c r="C33" s="6" t="s">
        <v>25</v>
      </c>
      <c r="D33" s="227">
        <v>5642544.3799999999</v>
      </c>
      <c r="E33" s="265">
        <v>5869139.0999999996</v>
      </c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15109.6</v>
      </c>
      <c r="E35" s="265">
        <v>28305.67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327119.18</v>
      </c>
      <c r="E37" s="265">
        <v>206579.37</v>
      </c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457019.39</v>
      </c>
      <c r="E39" s="266">
        <v>431023.26</v>
      </c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1013815.83</v>
      </c>
      <c r="E40" s="271">
        <v>3537285.02</v>
      </c>
      <c r="G40" s="80"/>
    </row>
    <row r="41" spans="2:10" ht="13.5" thickBot="1">
      <c r="B41" s="106" t="s">
        <v>37</v>
      </c>
      <c r="C41" s="107" t="s">
        <v>38</v>
      </c>
      <c r="D41" s="230">
        <v>32257647.130000003</v>
      </c>
      <c r="E41" s="155">
        <f>E26+E27+E40</f>
        <v>19901840.370000005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264866.79619999998</v>
      </c>
      <c r="E47" s="79">
        <v>183473.75649999999</v>
      </c>
      <c r="G47" s="76"/>
    </row>
    <row r="48" spans="2:10">
      <c r="B48" s="130" t="s">
        <v>6</v>
      </c>
      <c r="C48" s="22" t="s">
        <v>41</v>
      </c>
      <c r="D48" s="232">
        <v>222945.76572</v>
      </c>
      <c r="E48" s="317">
        <v>139392.0061</v>
      </c>
      <c r="G48" s="210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140.28789478624401</v>
      </c>
      <c r="E50" s="79">
        <v>122.33297169124</v>
      </c>
      <c r="G50" s="190"/>
    </row>
    <row r="51" spans="2:7">
      <c r="B51" s="109" t="s">
        <v>6</v>
      </c>
      <c r="C51" s="15" t="s">
        <v>114</v>
      </c>
      <c r="D51" s="311">
        <v>135.80860000000001</v>
      </c>
      <c r="E51" s="273">
        <v>121.8511</v>
      </c>
      <c r="G51" s="190"/>
    </row>
    <row r="52" spans="2:7" ht="12" customHeight="1">
      <c r="B52" s="109" t="s">
        <v>8</v>
      </c>
      <c r="C52" s="15" t="s">
        <v>115</v>
      </c>
      <c r="D52" s="311">
        <v>149.435</v>
      </c>
      <c r="E52" s="273">
        <v>148.61439999999999</v>
      </c>
    </row>
    <row r="53" spans="2:7" ht="13.5" thickBot="1">
      <c r="B53" s="110" t="s">
        <v>9</v>
      </c>
      <c r="C53" s="17" t="s">
        <v>41</v>
      </c>
      <c r="D53" s="235">
        <v>144.688314785204</v>
      </c>
      <c r="E53" s="272">
        <v>142.77610000000001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SUM(D59:D70)</f>
        <v>19922202.060000002</v>
      </c>
      <c r="E58" s="32">
        <f>D58/E21</f>
        <v>1.001023105884755</v>
      </c>
    </row>
    <row r="59" spans="2:7" ht="25.5">
      <c r="B59" s="21" t="s">
        <v>4</v>
      </c>
      <c r="C59" s="22" t="s">
        <v>44</v>
      </c>
      <c r="D59" s="86">
        <v>0</v>
      </c>
      <c r="E59" s="87">
        <v>0</v>
      </c>
    </row>
    <row r="60" spans="2:7" ht="24" customHeight="1">
      <c r="B60" s="14" t="s">
        <v>6</v>
      </c>
      <c r="C60" s="15" t="s">
        <v>45</v>
      </c>
      <c r="D60" s="84">
        <v>0</v>
      </c>
      <c r="E60" s="85">
        <v>0</v>
      </c>
    </row>
    <row r="61" spans="2:7">
      <c r="B61" s="14" t="s">
        <v>8</v>
      </c>
      <c r="C61" s="15" t="s">
        <v>46</v>
      </c>
      <c r="D61" s="84">
        <v>0</v>
      </c>
      <c r="E61" s="85">
        <v>0</v>
      </c>
    </row>
    <row r="62" spans="2:7">
      <c r="B62" s="14" t="s">
        <v>9</v>
      </c>
      <c r="C62" s="15" t="s">
        <v>47</v>
      </c>
      <c r="D62" s="84">
        <v>0</v>
      </c>
      <c r="E62" s="85">
        <v>0</v>
      </c>
    </row>
    <row r="63" spans="2:7">
      <c r="B63" s="14" t="s">
        <v>29</v>
      </c>
      <c r="C63" s="15" t="s">
        <v>48</v>
      </c>
      <c r="D63" s="84">
        <v>0</v>
      </c>
      <c r="E63" s="85">
        <v>0</v>
      </c>
    </row>
    <row r="64" spans="2:7">
      <c r="B64" s="21" t="s">
        <v>31</v>
      </c>
      <c r="C64" s="22" t="s">
        <v>49</v>
      </c>
      <c r="D64" s="314">
        <v>17445098.780000001</v>
      </c>
      <c r="E64" s="87">
        <f>D64/E21</f>
        <v>0.87655706485801743</v>
      </c>
    </row>
    <row r="65" spans="2:7">
      <c r="B65" s="21" t="s">
        <v>33</v>
      </c>
      <c r="C65" s="22" t="s">
        <v>118</v>
      </c>
      <c r="D65" s="86">
        <v>0</v>
      </c>
      <c r="E65" s="87">
        <v>0</v>
      </c>
    </row>
    <row r="66" spans="2:7">
      <c r="B66" s="21" t="s">
        <v>50</v>
      </c>
      <c r="C66" s="22" t="s">
        <v>51</v>
      </c>
      <c r="D66" s="86">
        <v>0</v>
      </c>
      <c r="E66" s="87">
        <v>0</v>
      </c>
    </row>
    <row r="67" spans="2:7">
      <c r="B67" s="14" t="s">
        <v>52</v>
      </c>
      <c r="C67" s="15" t="s">
        <v>53</v>
      </c>
      <c r="D67" s="84">
        <v>0</v>
      </c>
      <c r="E67" s="85">
        <v>0</v>
      </c>
    </row>
    <row r="68" spans="2:7">
      <c r="B68" s="14" t="s">
        <v>54</v>
      </c>
      <c r="C68" s="15" t="s">
        <v>55</v>
      </c>
      <c r="D68" s="84">
        <v>0</v>
      </c>
      <c r="E68" s="85">
        <v>0</v>
      </c>
    </row>
    <row r="69" spans="2:7">
      <c r="B69" s="14" t="s">
        <v>56</v>
      </c>
      <c r="C69" s="15" t="s">
        <v>57</v>
      </c>
      <c r="D69" s="334">
        <v>2477103.2799999998</v>
      </c>
      <c r="E69" s="85">
        <f>D69/E21</f>
        <v>0.12446604102673745</v>
      </c>
    </row>
    <row r="70" spans="2:7">
      <c r="B70" s="119" t="s">
        <v>58</v>
      </c>
      <c r="C70" s="120" t="s">
        <v>59</v>
      </c>
      <c r="D70" s="84">
        <v>0</v>
      </c>
      <c r="E70" s="122">
        <v>0</v>
      </c>
    </row>
    <row r="71" spans="2:7">
      <c r="B71" s="127" t="s">
        <v>23</v>
      </c>
      <c r="C71" s="128" t="s">
        <v>61</v>
      </c>
      <c r="D71" s="129">
        <f>E13</f>
        <v>0</v>
      </c>
      <c r="E71" s="69">
        <v>0</v>
      </c>
    </row>
    <row r="72" spans="2:7">
      <c r="B72" s="123" t="s">
        <v>60</v>
      </c>
      <c r="C72" s="124" t="s">
        <v>63</v>
      </c>
      <c r="D72" s="125">
        <f>E14</f>
        <v>0</v>
      </c>
      <c r="E72" s="126">
        <f>D72/E21</f>
        <v>0</v>
      </c>
    </row>
    <row r="73" spans="2:7">
      <c r="B73" s="23" t="s">
        <v>62</v>
      </c>
      <c r="C73" s="24" t="s">
        <v>65</v>
      </c>
      <c r="D73" s="25">
        <f>E17</f>
        <v>20361.689999999999</v>
      </c>
      <c r="E73" s="26">
        <f>D73/E21</f>
        <v>1.023105884754918E-3</v>
      </c>
    </row>
    <row r="74" spans="2:7">
      <c r="B74" s="127" t="s">
        <v>64</v>
      </c>
      <c r="C74" s="128" t="s">
        <v>66</v>
      </c>
      <c r="D74" s="129">
        <f>D58+D71+D72-D73</f>
        <v>19901840.370000001</v>
      </c>
      <c r="E74" s="69">
        <f>E58+E72-E73</f>
        <v>1</v>
      </c>
    </row>
    <row r="75" spans="2:7">
      <c r="B75" s="14" t="s">
        <v>4</v>
      </c>
      <c r="C75" s="15" t="s">
        <v>67</v>
      </c>
      <c r="D75" s="84">
        <f>D74</f>
        <v>19901840.370000001</v>
      </c>
      <c r="E75" s="85">
        <f>D75/E21</f>
        <v>1</v>
      </c>
      <c r="G75" s="190"/>
    </row>
    <row r="76" spans="2:7">
      <c r="B76" s="14" t="s">
        <v>6</v>
      </c>
      <c r="C76" s="15" t="s">
        <v>119</v>
      </c>
      <c r="D76" s="84">
        <v>0</v>
      </c>
      <c r="E76" s="85">
        <f>D76/E21</f>
        <v>0</v>
      </c>
    </row>
    <row r="77" spans="2:7" ht="13.5" thickBot="1">
      <c r="B77" s="16" t="s">
        <v>8</v>
      </c>
      <c r="C77" s="17" t="s">
        <v>120</v>
      </c>
      <c r="D77" s="88">
        <v>0</v>
      </c>
      <c r="E77" s="8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97" right="0.75" top="0.6" bottom="0.32" header="0.5" footer="0.5"/>
  <pageSetup paperSize="9" scale="70" orientation="portrait" r:id="rId1"/>
  <headerFooter alignWithMargins="0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2"/>
  <dimension ref="A1:L81"/>
  <sheetViews>
    <sheetView zoomScale="80" zoomScaleNormal="80" workbookViewId="0">
      <selection activeCell="G15" sqref="G15:N4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21" customHeight="1">
      <c r="B5" s="496" t="s">
        <v>1</v>
      </c>
      <c r="C5" s="496"/>
      <c r="D5" s="496"/>
      <c r="E5" s="496"/>
      <c r="H5" s="167"/>
      <c r="I5" s="167"/>
      <c r="J5" s="167"/>
    </row>
    <row r="6" spans="2:12" ht="14.25">
      <c r="B6" s="497" t="s">
        <v>262</v>
      </c>
      <c r="C6" s="497"/>
      <c r="D6" s="497"/>
      <c r="E6" s="497"/>
    </row>
    <row r="7" spans="2:12" ht="14.25">
      <c r="B7" s="152"/>
      <c r="C7" s="152"/>
      <c r="D7" s="152"/>
      <c r="E7" s="152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3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985073.05</v>
      </c>
      <c r="E11" s="284">
        <f>SUM(E12:E14)</f>
        <v>949923.55</v>
      </c>
    </row>
    <row r="12" spans="2:12">
      <c r="B12" s="191" t="s">
        <v>4</v>
      </c>
      <c r="C12" s="192" t="s">
        <v>5</v>
      </c>
      <c r="D12" s="329">
        <v>985073.05</v>
      </c>
      <c r="E12" s="353">
        <f>952372.81-2449.26</f>
        <v>949923.55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985073.05</v>
      </c>
      <c r="E21" s="155">
        <f>E11-E17</f>
        <v>949923.55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1769900.47</v>
      </c>
      <c r="E26" s="270">
        <f>D21</f>
        <v>985073.05</v>
      </c>
      <c r="G26" s="80"/>
    </row>
    <row r="27" spans="2:11">
      <c r="B27" s="9" t="s">
        <v>17</v>
      </c>
      <c r="C27" s="10" t="s">
        <v>111</v>
      </c>
      <c r="D27" s="226">
        <v>-257410.74000000002</v>
      </c>
      <c r="E27" s="263">
        <f>E28-E32</f>
        <v>-57999.81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39653.72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39653.72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297064.46000000002</v>
      </c>
      <c r="E32" s="264">
        <f>SUM(E33:E39)</f>
        <v>57999.81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242859.91</v>
      </c>
      <c r="E33" s="265">
        <v>49081.77</v>
      </c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1902.06</v>
      </c>
      <c r="E35" s="265">
        <v>1595.43</v>
      </c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12655.13</v>
      </c>
      <c r="E37" s="265">
        <v>7322.61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39647.360000000001</v>
      </c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-26203.599999999999</v>
      </c>
      <c r="E40" s="271">
        <v>22850.31</v>
      </c>
      <c r="G40" s="80"/>
    </row>
    <row r="41" spans="2:10" ht="13.5" thickBot="1">
      <c r="B41" s="106" t="s">
        <v>37</v>
      </c>
      <c r="C41" s="107" t="s">
        <v>38</v>
      </c>
      <c r="D41" s="230">
        <v>1486286.13</v>
      </c>
      <c r="E41" s="155">
        <f>E26+E27+E40</f>
        <v>949923.55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53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11323.7394</v>
      </c>
      <c r="E47" s="79">
        <v>6287.9678999999996</v>
      </c>
      <c r="G47" s="76"/>
    </row>
    <row r="48" spans="2:10">
      <c r="B48" s="130" t="s">
        <v>6</v>
      </c>
      <c r="C48" s="22" t="s">
        <v>41</v>
      </c>
      <c r="D48" s="232">
        <v>9670.0463999999993</v>
      </c>
      <c r="E48" s="156">
        <f>E21/E53</f>
        <v>5917.0521365391805</v>
      </c>
      <c r="G48" s="16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156.30000000000001</v>
      </c>
      <c r="E50" s="81">
        <v>156.66</v>
      </c>
      <c r="G50" s="190"/>
    </row>
    <row r="51" spans="2:7">
      <c r="B51" s="109" t="s">
        <v>6</v>
      </c>
      <c r="C51" s="15" t="s">
        <v>114</v>
      </c>
      <c r="D51" s="234">
        <v>153.30000000000001</v>
      </c>
      <c r="E51" s="81">
        <v>155.18</v>
      </c>
      <c r="G51" s="190"/>
    </row>
    <row r="52" spans="2:7">
      <c r="B52" s="109" t="s">
        <v>8</v>
      </c>
      <c r="C52" s="15" t="s">
        <v>115</v>
      </c>
      <c r="D52" s="234">
        <v>158</v>
      </c>
      <c r="E52" s="81">
        <v>160.68</v>
      </c>
    </row>
    <row r="53" spans="2:7" ht="13.5" customHeight="1" thickBot="1">
      <c r="B53" s="110" t="s">
        <v>9</v>
      </c>
      <c r="C53" s="17" t="s">
        <v>41</v>
      </c>
      <c r="D53" s="235">
        <v>153.69999999999999</v>
      </c>
      <c r="E53" s="272">
        <v>160.54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8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949923.55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949923.55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949923.55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949923.55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="80" zoomScaleNormal="80" workbookViewId="0">
      <selection activeCell="G12" sqref="G12:N6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263</v>
      </c>
      <c r="C6" s="497"/>
      <c r="D6" s="497"/>
      <c r="E6" s="497"/>
    </row>
    <row r="7" spans="2:12" ht="14.25">
      <c r="B7" s="255"/>
      <c r="C7" s="255"/>
      <c r="D7" s="255"/>
      <c r="E7" s="255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256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121343.89</v>
      </c>
      <c r="E11" s="284">
        <f>SUM(E12:E14)</f>
        <v>130626.25</v>
      </c>
    </row>
    <row r="12" spans="2:12">
      <c r="B12" s="191" t="s">
        <v>4</v>
      </c>
      <c r="C12" s="192" t="s">
        <v>5</v>
      </c>
      <c r="D12" s="329">
        <v>121343.89</v>
      </c>
      <c r="E12" s="353">
        <v>130626.25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121343.89</v>
      </c>
      <c r="E21" s="155">
        <f>E11-E17</f>
        <v>130626.25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56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0</v>
      </c>
      <c r="E26" s="270">
        <f>D21</f>
        <v>121343.89</v>
      </c>
      <c r="G26" s="80"/>
    </row>
    <row r="27" spans="2:11">
      <c r="B27" s="9" t="s">
        <v>17</v>
      </c>
      <c r="C27" s="10" t="s">
        <v>111</v>
      </c>
      <c r="D27" s="226">
        <v>143416.19</v>
      </c>
      <c r="E27" s="263">
        <f>E28-E32</f>
        <v>-1035.48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144145.78</v>
      </c>
      <c r="E28" s="264">
        <f>SUM(E29:E31)</f>
        <v>0</v>
      </c>
      <c r="F28" s="76"/>
      <c r="G28" s="160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160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160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144145.78</v>
      </c>
      <c r="E31" s="265"/>
      <c r="F31" s="76"/>
      <c r="G31" s="160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729.59</v>
      </c>
      <c r="E32" s="264">
        <f>SUM(E33:E39)</f>
        <v>1035.48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160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160"/>
      <c r="H34" s="76"/>
      <c r="I34" s="76"/>
      <c r="J34" s="76"/>
    </row>
    <row r="35" spans="2:10">
      <c r="B35" s="199" t="s">
        <v>8</v>
      </c>
      <c r="C35" s="192" t="s">
        <v>27</v>
      </c>
      <c r="D35" s="227"/>
      <c r="E35" s="265"/>
      <c r="F35" s="76"/>
      <c r="G35" s="16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16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729.59</v>
      </c>
      <c r="E37" s="265">
        <v>1035.48</v>
      </c>
      <c r="F37" s="76"/>
      <c r="G37" s="160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160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160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-16833</v>
      </c>
      <c r="E40" s="271">
        <v>10317.84</v>
      </c>
      <c r="G40" s="80"/>
    </row>
    <row r="41" spans="2:10" ht="13.5" thickBot="1">
      <c r="B41" s="106" t="s">
        <v>37</v>
      </c>
      <c r="C41" s="107" t="s">
        <v>38</v>
      </c>
      <c r="D41" s="230">
        <v>126583.19</v>
      </c>
      <c r="E41" s="155">
        <f>E26+E27+E40</f>
        <v>130626.25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256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/>
      <c r="E47" s="79">
        <v>1164.5287000000001</v>
      </c>
      <c r="G47" s="76"/>
    </row>
    <row r="48" spans="2:10">
      <c r="B48" s="130" t="s">
        <v>6</v>
      </c>
      <c r="C48" s="22" t="s">
        <v>41</v>
      </c>
      <c r="D48" s="232">
        <v>1173.9143999999999</v>
      </c>
      <c r="E48" s="156">
        <v>1155.2689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/>
      <c r="E50" s="81">
        <v>104.2</v>
      </c>
      <c r="G50" s="190"/>
    </row>
    <row r="51" spans="2:7">
      <c r="B51" s="109" t="s">
        <v>6</v>
      </c>
      <c r="C51" s="15" t="s">
        <v>114</v>
      </c>
      <c r="D51" s="234">
        <v>107.83</v>
      </c>
      <c r="E51" s="81">
        <v>103.42</v>
      </c>
      <c r="G51" s="190"/>
    </row>
    <row r="52" spans="2:7">
      <c r="B52" s="109" t="s">
        <v>8</v>
      </c>
      <c r="C52" s="15" t="s">
        <v>115</v>
      </c>
      <c r="D52" s="234">
        <v>122.27</v>
      </c>
      <c r="E52" s="81">
        <v>116.35000000000001</v>
      </c>
    </row>
    <row r="53" spans="2:7" ht="12.75" customHeight="1" thickBot="1">
      <c r="B53" s="110" t="s">
        <v>9</v>
      </c>
      <c r="C53" s="17" t="s">
        <v>41</v>
      </c>
      <c r="D53" s="235">
        <v>107.83</v>
      </c>
      <c r="E53" s="272">
        <v>113.07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8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130626.25</v>
      </c>
      <c r="E58" s="32">
        <v>0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130626.25</v>
      </c>
      <c r="E64" s="87">
        <f>E58</f>
        <v>0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130626.25</v>
      </c>
      <c r="E74" s="69">
        <f>E58+E72-E73</f>
        <v>0</v>
      </c>
    </row>
    <row r="75" spans="2:5">
      <c r="B75" s="109" t="s">
        <v>4</v>
      </c>
      <c r="C75" s="15" t="s">
        <v>67</v>
      </c>
      <c r="D75" s="84">
        <f>D74</f>
        <v>130626.25</v>
      </c>
      <c r="E75" s="85">
        <f>E74</f>
        <v>0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56999999999999995" right="0.75" top="0.61" bottom="0.49" header="0.5" footer="0.5"/>
  <pageSetup paperSize="9" scale="70" orientation="portrait" r:id="rId1"/>
  <headerFooter alignWithMargins="0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3"/>
  <dimension ref="A1:K49"/>
  <sheetViews>
    <sheetView zoomScale="80" zoomScaleNormal="80" workbookViewId="0">
      <selection activeCell="H20" sqref="H20:M31"/>
    </sheetView>
  </sheetViews>
  <sheetFormatPr defaultRowHeight="12.75"/>
  <cols>
    <col min="3" max="3" width="13.85546875" customWidth="1"/>
    <col min="4" max="4" width="19" customWidth="1"/>
    <col min="5" max="5" width="18.5703125" customWidth="1"/>
    <col min="6" max="6" width="11.28515625" bestFit="1" customWidth="1"/>
    <col min="7" max="8" width="18.7109375" bestFit="1" customWidth="1"/>
    <col min="9" max="9" width="17" customWidth="1"/>
    <col min="10" max="10" width="15.42578125" bestFit="1" customWidth="1"/>
    <col min="11" max="11" width="18.85546875" customWidth="1"/>
    <col min="12" max="12" width="12.28515625" bestFit="1" customWidth="1"/>
  </cols>
  <sheetData>
    <row r="1" spans="1:11">
      <c r="A1" s="33"/>
      <c r="B1" s="34"/>
      <c r="C1" s="34" t="s">
        <v>92</v>
      </c>
      <c r="D1" s="35"/>
      <c r="E1" s="35"/>
      <c r="F1" s="35"/>
      <c r="G1" s="35"/>
      <c r="H1" s="34"/>
      <c r="I1" s="34"/>
      <c r="J1" s="33"/>
    </row>
    <row r="2" spans="1:11">
      <c r="A2" s="33"/>
      <c r="B2" s="34"/>
      <c r="C2" s="34" t="s">
        <v>93</v>
      </c>
      <c r="D2" s="35"/>
      <c r="E2" s="35"/>
      <c r="F2" s="35"/>
      <c r="G2" s="35"/>
      <c r="H2" s="34"/>
      <c r="I2" s="34"/>
      <c r="J2" s="33"/>
    </row>
    <row r="3" spans="1:11">
      <c r="A3" s="33"/>
      <c r="B3" s="34"/>
      <c r="C3" s="34" t="s">
        <v>94</v>
      </c>
      <c r="D3" s="35"/>
      <c r="E3" s="35"/>
      <c r="F3" s="35"/>
      <c r="G3" s="35"/>
      <c r="H3" s="34"/>
      <c r="I3" s="34"/>
      <c r="J3" s="33"/>
    </row>
    <row r="4" spans="1:11">
      <c r="A4" s="33"/>
      <c r="B4" s="34"/>
      <c r="C4" s="34" t="s">
        <v>95</v>
      </c>
      <c r="D4" s="35"/>
      <c r="E4" s="35"/>
      <c r="F4" s="35"/>
      <c r="G4" s="35"/>
      <c r="H4" s="34"/>
      <c r="I4" s="34"/>
      <c r="J4" s="33"/>
    </row>
    <row r="5" spans="1:11">
      <c r="A5" s="33"/>
      <c r="B5" s="34"/>
      <c r="C5" s="34" t="s">
        <v>287</v>
      </c>
      <c r="D5" s="35"/>
      <c r="E5" s="35"/>
      <c r="F5" s="35"/>
      <c r="G5" s="223"/>
      <c r="H5" s="224"/>
      <c r="I5" s="247"/>
      <c r="J5" s="75"/>
      <c r="K5" s="250"/>
    </row>
    <row r="6" spans="1:11" ht="13.5" thickBot="1">
      <c r="A6" s="33"/>
      <c r="B6" s="34"/>
      <c r="C6" s="34"/>
      <c r="D6" s="35"/>
      <c r="E6" s="35"/>
      <c r="F6" s="35"/>
      <c r="G6" s="35"/>
      <c r="H6" s="224"/>
      <c r="I6" s="247"/>
      <c r="J6" s="75"/>
      <c r="K6" s="76"/>
    </row>
    <row r="7" spans="1:11">
      <c r="A7" s="33"/>
      <c r="B7" s="36"/>
      <c r="C7" s="37"/>
      <c r="D7" s="38"/>
      <c r="E7" s="39"/>
      <c r="F7" s="40"/>
      <c r="G7" s="40"/>
      <c r="H7" s="58"/>
      <c r="I7" s="41"/>
      <c r="J7" s="33"/>
    </row>
    <row r="8" spans="1:11">
      <c r="A8" s="33"/>
      <c r="B8" s="42"/>
      <c r="C8" s="43"/>
      <c r="D8" s="44"/>
      <c r="E8" s="45"/>
      <c r="F8" s="40"/>
      <c r="G8" s="40"/>
      <c r="H8" s="80"/>
      <c r="I8" s="58"/>
      <c r="J8" s="33"/>
    </row>
    <row r="9" spans="1:11">
      <c r="A9" s="33"/>
      <c r="B9" s="42"/>
      <c r="C9" s="43"/>
      <c r="D9" s="44" t="s">
        <v>125</v>
      </c>
      <c r="E9" s="45" t="s">
        <v>145</v>
      </c>
      <c r="F9" s="40"/>
      <c r="G9" s="40"/>
      <c r="H9" s="41"/>
      <c r="I9" s="41"/>
      <c r="J9" s="33"/>
    </row>
    <row r="10" spans="1:11" ht="13.5" thickBot="1">
      <c r="A10" s="33"/>
      <c r="B10" s="46"/>
      <c r="C10" s="47"/>
      <c r="D10" s="48"/>
      <c r="E10" s="49"/>
      <c r="F10" s="40"/>
      <c r="G10" s="40"/>
      <c r="H10" s="41"/>
      <c r="I10" s="41"/>
      <c r="J10" s="33"/>
    </row>
    <row r="11" spans="1:11">
      <c r="A11" s="33"/>
      <c r="B11" s="42"/>
      <c r="C11" s="43"/>
      <c r="D11" s="44"/>
      <c r="E11" s="45"/>
      <c r="F11" s="164"/>
      <c r="G11" s="40"/>
      <c r="H11" s="41"/>
      <c r="I11" s="41"/>
      <c r="J11" s="33"/>
    </row>
    <row r="12" spans="1:11">
      <c r="A12" s="33"/>
      <c r="B12" s="42"/>
      <c r="C12" s="43"/>
      <c r="D12" s="50"/>
      <c r="E12" s="51"/>
      <c r="F12" s="164"/>
      <c r="G12" s="245"/>
      <c r="H12" s="262"/>
      <c r="I12" s="80"/>
      <c r="J12" s="33"/>
    </row>
    <row r="13" spans="1:11">
      <c r="A13" s="33"/>
      <c r="B13" s="52" t="s">
        <v>96</v>
      </c>
      <c r="C13" s="53"/>
      <c r="D13" s="54">
        <v>90525578.849999994</v>
      </c>
      <c r="E13" s="55">
        <v>85250449.269999996</v>
      </c>
      <c r="F13" s="164"/>
      <c r="G13" s="245"/>
      <c r="H13" s="80"/>
      <c r="I13" s="80"/>
      <c r="J13" s="33"/>
      <c r="K13" s="76"/>
    </row>
    <row r="14" spans="1:11">
      <c r="A14" s="33"/>
      <c r="B14" s="52"/>
      <c r="C14" s="53"/>
      <c r="D14" s="56"/>
      <c r="E14" s="57"/>
      <c r="F14" s="164"/>
      <c r="G14" s="77"/>
      <c r="H14" s="165"/>
      <c r="I14" s="58"/>
      <c r="J14" s="33"/>
    </row>
    <row r="15" spans="1:11">
      <c r="A15" s="33"/>
      <c r="B15" s="52"/>
      <c r="C15" s="53"/>
      <c r="D15" s="56"/>
      <c r="E15" s="57"/>
      <c r="F15" s="40"/>
      <c r="G15" s="183"/>
      <c r="H15" s="80"/>
      <c r="I15" s="40"/>
      <c r="J15" s="33"/>
    </row>
    <row r="16" spans="1:11" ht="13.5" thickBot="1">
      <c r="A16" s="33"/>
      <c r="B16" s="52"/>
      <c r="C16" s="53"/>
      <c r="D16" s="56"/>
      <c r="E16" s="57"/>
      <c r="F16" s="40"/>
      <c r="G16" s="183"/>
      <c r="H16" s="76"/>
      <c r="I16" s="33"/>
      <c r="J16" s="33"/>
      <c r="K16" s="259"/>
    </row>
    <row r="17" spans="1:11">
      <c r="A17" s="33"/>
      <c r="B17" s="59"/>
      <c r="C17" s="60"/>
      <c r="D17" s="61"/>
      <c r="E17" s="62"/>
      <c r="F17" s="33"/>
      <c r="G17" s="184"/>
      <c r="H17" s="80"/>
      <c r="I17" s="33"/>
      <c r="J17" s="33"/>
      <c r="K17" s="259"/>
    </row>
    <row r="18" spans="1:11">
      <c r="A18" s="33"/>
      <c r="B18" s="52" t="s">
        <v>97</v>
      </c>
      <c r="C18" s="53"/>
      <c r="D18" s="78">
        <f>SUM('Fundusz Gwarantowany:UniAkcje Daleki Wschod'!D35)</f>
        <v>11875394.650000012</v>
      </c>
      <c r="E18" s="78">
        <f>SUM('Fundusz Gwarantowany:UniAkcje Daleki Wschod'!E35)</f>
        <v>11341179.939999996</v>
      </c>
      <c r="F18" s="33"/>
      <c r="G18" s="184"/>
      <c r="H18" s="74"/>
      <c r="I18" s="75"/>
      <c r="J18" s="74"/>
      <c r="K18" s="259"/>
    </row>
    <row r="19" spans="1:11">
      <c r="A19" s="33"/>
      <c r="B19" s="52"/>
      <c r="C19" s="53"/>
      <c r="D19" s="56"/>
      <c r="E19" s="57"/>
      <c r="F19" s="33"/>
      <c r="G19" s="184"/>
      <c r="H19" s="80"/>
      <c r="I19" s="75"/>
      <c r="J19" s="33"/>
      <c r="K19" s="260"/>
    </row>
    <row r="20" spans="1:11" ht="13.5" thickBot="1">
      <c r="A20" s="33"/>
      <c r="B20" s="63"/>
      <c r="C20" s="64"/>
      <c r="D20" s="65"/>
      <c r="E20" s="66"/>
      <c r="F20" s="33"/>
      <c r="G20" s="33"/>
      <c r="H20" s="224"/>
      <c r="I20" s="247"/>
      <c r="J20" s="75"/>
      <c r="K20" s="76"/>
    </row>
    <row r="21" spans="1:11">
      <c r="A21" s="33"/>
      <c r="B21" s="52"/>
      <c r="C21" s="53"/>
      <c r="D21" s="56"/>
      <c r="E21" s="57"/>
      <c r="F21" s="33"/>
      <c r="G21" s="33"/>
      <c r="H21" s="58"/>
      <c r="I21" s="41"/>
      <c r="J21" s="33"/>
    </row>
    <row r="22" spans="1:11">
      <c r="A22" s="33"/>
      <c r="B22" s="52"/>
      <c r="C22" s="53"/>
      <c r="D22" s="56"/>
      <c r="E22" s="57"/>
      <c r="F22" s="33"/>
      <c r="G22" s="33"/>
      <c r="H22" s="80"/>
      <c r="I22" s="58"/>
      <c r="J22" s="33"/>
    </row>
    <row r="23" spans="1:11">
      <c r="A23" s="33"/>
      <c r="B23" s="52" t="s">
        <v>98</v>
      </c>
      <c r="C23" s="53"/>
      <c r="D23" s="56">
        <f>D13-D18</f>
        <v>78650184.199999988</v>
      </c>
      <c r="E23" s="57">
        <f>E13-E18</f>
        <v>73909269.329999998</v>
      </c>
      <c r="F23" s="33"/>
      <c r="G23" s="77"/>
      <c r="H23" s="41"/>
      <c r="I23" s="41"/>
      <c r="J23" s="33"/>
    </row>
    <row r="24" spans="1:11">
      <c r="A24" s="33"/>
      <c r="B24" s="42"/>
      <c r="C24" s="43"/>
      <c r="D24" s="50"/>
      <c r="E24" s="51"/>
      <c r="F24" s="33"/>
      <c r="G24" s="33"/>
      <c r="H24" s="41"/>
      <c r="I24" s="41"/>
      <c r="J24" s="33"/>
    </row>
    <row r="25" spans="1:11">
      <c r="A25" s="33"/>
      <c r="B25" s="42"/>
      <c r="C25" s="43"/>
      <c r="D25" s="50"/>
      <c r="E25" s="51"/>
      <c r="F25" s="33"/>
      <c r="G25" s="33"/>
      <c r="H25" s="41"/>
      <c r="I25" s="41"/>
      <c r="J25" s="33"/>
    </row>
    <row r="26" spans="1:11" ht="13.5" thickBot="1">
      <c r="A26" s="33"/>
      <c r="B26" s="46"/>
      <c r="C26" s="47"/>
      <c r="D26" s="67"/>
      <c r="E26" s="68"/>
      <c r="F26" s="33"/>
      <c r="G26" s="77"/>
      <c r="H26" s="262"/>
      <c r="I26" s="80"/>
      <c r="J26" s="33"/>
    </row>
    <row r="27" spans="1:11">
      <c r="G27" s="33"/>
      <c r="H27" s="80"/>
      <c r="I27" s="80"/>
      <c r="J27" s="33"/>
      <c r="K27" s="76"/>
    </row>
    <row r="28" spans="1:11">
      <c r="E28" s="70"/>
      <c r="G28" s="33"/>
      <c r="H28" s="165"/>
      <c r="I28" s="58"/>
      <c r="J28" s="33"/>
    </row>
    <row r="29" spans="1:11">
      <c r="H29" s="80"/>
      <c r="I29" s="40"/>
      <c r="J29" s="33"/>
    </row>
    <row r="30" spans="1:11">
      <c r="D30" s="76"/>
      <c r="E30" s="76"/>
      <c r="G30" s="76"/>
      <c r="H30" s="76"/>
      <c r="I30" s="33"/>
      <c r="J30" s="33"/>
      <c r="K30" s="259"/>
    </row>
    <row r="31" spans="1:11">
      <c r="D31" s="76"/>
      <c r="E31" s="76"/>
      <c r="G31" s="76"/>
      <c r="H31" s="80"/>
      <c r="I31" s="33"/>
      <c r="J31" s="33"/>
      <c r="K31" s="259"/>
    </row>
    <row r="32" spans="1:11">
      <c r="D32" s="76"/>
      <c r="E32" s="76"/>
      <c r="G32" s="76"/>
      <c r="H32" s="76"/>
      <c r="I32" s="76"/>
    </row>
    <row r="33" spans="4:9">
      <c r="D33" s="76"/>
      <c r="E33" s="76"/>
      <c r="G33" s="76"/>
      <c r="H33" s="176"/>
    </row>
    <row r="34" spans="4:9">
      <c r="D34" s="76"/>
      <c r="E34" s="76"/>
      <c r="G34" s="76"/>
      <c r="H34" s="76"/>
      <c r="I34" s="190"/>
    </row>
    <row r="35" spans="4:9">
      <c r="D35" s="76"/>
      <c r="E35" s="76"/>
      <c r="G35" s="76"/>
      <c r="H35" s="76"/>
    </row>
    <row r="36" spans="4:9">
      <c r="G36" s="76"/>
      <c r="H36" s="76"/>
    </row>
    <row r="37" spans="4:9">
      <c r="G37" s="76"/>
    </row>
    <row r="38" spans="4:9">
      <c r="E38" s="76"/>
      <c r="G38" s="76"/>
    </row>
    <row r="39" spans="4:9">
      <c r="E39" s="76"/>
      <c r="G39" s="76"/>
    </row>
    <row r="40" spans="4:9">
      <c r="E40" s="76"/>
      <c r="G40" s="76"/>
    </row>
    <row r="41" spans="4:9">
      <c r="E41" s="76"/>
      <c r="G41" s="76"/>
    </row>
    <row r="42" spans="4:9">
      <c r="E42" s="76"/>
      <c r="G42" s="76"/>
    </row>
    <row r="43" spans="4:9">
      <c r="E43" s="76"/>
      <c r="G43" s="76"/>
    </row>
    <row r="44" spans="4:9">
      <c r="E44" s="76"/>
    </row>
    <row r="45" spans="4:9">
      <c r="D45" s="76"/>
      <c r="E45" s="76"/>
    </row>
    <row r="46" spans="4:9">
      <c r="E46" s="76"/>
    </row>
    <row r="48" spans="4:9">
      <c r="E48" s="76"/>
    </row>
    <row r="49" spans="5:5">
      <c r="E49" s="76"/>
    </row>
  </sheetData>
  <phoneticPr fontId="9" type="noConversion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L81"/>
  <sheetViews>
    <sheetView zoomScale="80" zoomScaleNormal="80" workbookViewId="0">
      <selection activeCell="J28" sqref="J2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5.85546875" customWidth="1"/>
    <col min="11" max="11" width="16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150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2754905.09</v>
      </c>
      <c r="E11" s="284">
        <f>SUM(E12:E14)</f>
        <v>2569491.2799999998</v>
      </c>
    </row>
    <row r="12" spans="2:12">
      <c r="B12" s="113" t="s">
        <v>4</v>
      </c>
      <c r="C12" s="6" t="s">
        <v>5</v>
      </c>
      <c r="D12" s="329">
        <v>2754905.09</v>
      </c>
      <c r="E12" s="353">
        <f>2191392.45+378088.47+10.36</f>
        <v>2569491.2799999998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>
        <v>8296.7000000000007</v>
      </c>
      <c r="E17" s="356">
        <f>E18</f>
        <v>14917.59</v>
      </c>
    </row>
    <row r="18" spans="2:11">
      <c r="B18" s="113" t="s">
        <v>4</v>
      </c>
      <c r="C18" s="6" t="s">
        <v>11</v>
      </c>
      <c r="D18" s="324">
        <v>8296.7000000000007</v>
      </c>
      <c r="E18" s="355">
        <v>14917.59</v>
      </c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2746608.3899999997</v>
      </c>
      <c r="E21" s="155">
        <f>E11-E17</f>
        <v>2554573.69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95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327">
        <v>5353013.5</v>
      </c>
      <c r="E26" s="270">
        <f>D21</f>
        <v>2746608.3899999997</v>
      </c>
      <c r="G26" s="80"/>
    </row>
    <row r="27" spans="2:11">
      <c r="B27" s="9" t="s">
        <v>17</v>
      </c>
      <c r="C27" s="10" t="s">
        <v>111</v>
      </c>
      <c r="D27" s="328">
        <v>-335779.14</v>
      </c>
      <c r="E27" s="263">
        <f>E28-E32</f>
        <v>-413630.26000000007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328">
        <v>653218.87</v>
      </c>
      <c r="E28" s="264">
        <f>SUM(E29:E31)</f>
        <v>31059.35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329"/>
      <c r="E29" s="265"/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329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329">
        <v>653218.87</v>
      </c>
      <c r="E31" s="265">
        <v>31059.35</v>
      </c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328">
        <v>988998.01</v>
      </c>
      <c r="E32" s="264">
        <f>SUM(E33:E39)</f>
        <v>444689.61000000004</v>
      </c>
      <c r="F32" s="76"/>
      <c r="G32" s="368"/>
      <c r="H32" s="76"/>
      <c r="I32" s="76"/>
      <c r="J32" s="76"/>
    </row>
    <row r="33" spans="2:10">
      <c r="B33" s="111" t="s">
        <v>4</v>
      </c>
      <c r="C33" s="6" t="s">
        <v>25</v>
      </c>
      <c r="D33" s="329">
        <v>626161.37999999989</v>
      </c>
      <c r="E33" s="265">
        <v>397514.77</v>
      </c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329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329">
        <v>2111.5500000000002</v>
      </c>
      <c r="E35" s="265">
        <v>5635.45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329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329">
        <v>50053.27</v>
      </c>
      <c r="E37" s="265">
        <v>25849.38</v>
      </c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329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330">
        <v>310671.81</v>
      </c>
      <c r="E39" s="266">
        <v>15690.01</v>
      </c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331">
        <v>-396979.82</v>
      </c>
      <c r="E40" s="271">
        <v>221595.56</v>
      </c>
      <c r="G40" s="80"/>
      <c r="H40" s="70"/>
    </row>
    <row r="41" spans="2:10" ht="13.5" thickBot="1">
      <c r="B41" s="106" t="s">
        <v>37</v>
      </c>
      <c r="C41" s="107" t="s">
        <v>38</v>
      </c>
      <c r="D41" s="287">
        <v>4620254.54</v>
      </c>
      <c r="E41" s="155">
        <f>E26+E27+E40</f>
        <v>2554573.6899999995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304">
        <v>41791.439200000001</v>
      </c>
      <c r="E47" s="79">
        <v>26010.744999999999</v>
      </c>
      <c r="G47" s="76"/>
    </row>
    <row r="48" spans="2:10">
      <c r="B48" s="130" t="s">
        <v>6</v>
      </c>
      <c r="C48" s="22" t="s">
        <v>41</v>
      </c>
      <c r="D48" s="307">
        <v>38980.577299999997</v>
      </c>
      <c r="E48" s="317">
        <v>22344.292799999999</v>
      </c>
      <c r="G48" s="166"/>
    </row>
    <row r="49" spans="2:7">
      <c r="B49" s="127" t="s">
        <v>23</v>
      </c>
      <c r="C49" s="131" t="s">
        <v>113</v>
      </c>
      <c r="D49" s="306"/>
      <c r="E49" s="132"/>
    </row>
    <row r="50" spans="2:7">
      <c r="B50" s="109" t="s">
        <v>4</v>
      </c>
      <c r="C50" s="15" t="s">
        <v>40</v>
      </c>
      <c r="D50" s="332">
        <v>128.088756991168</v>
      </c>
      <c r="E50" s="79">
        <v>105.595145006419</v>
      </c>
      <c r="G50" s="190"/>
    </row>
    <row r="51" spans="2:7">
      <c r="B51" s="109" t="s">
        <v>6</v>
      </c>
      <c r="C51" s="15" t="s">
        <v>114</v>
      </c>
      <c r="D51" s="333">
        <v>116.64190000000001</v>
      </c>
      <c r="E51" s="273">
        <v>104.73520000000001</v>
      </c>
      <c r="G51" s="190"/>
    </row>
    <row r="52" spans="2:7">
      <c r="B52" s="109" t="s">
        <v>8</v>
      </c>
      <c r="C52" s="15" t="s">
        <v>115</v>
      </c>
      <c r="D52" s="333">
        <v>134.35300000000001</v>
      </c>
      <c r="E52" s="273">
        <v>117.62260000000001</v>
      </c>
    </row>
    <row r="53" spans="2:7" ht="12.75" customHeight="1" thickBot="1">
      <c r="B53" s="110" t="s">
        <v>9</v>
      </c>
      <c r="C53" s="17" t="s">
        <v>41</v>
      </c>
      <c r="D53" s="235">
        <v>118.52709372696501</v>
      </c>
      <c r="E53" s="272">
        <v>114.3278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SUM(D59:D70)</f>
        <v>2569491.2800000003</v>
      </c>
      <c r="E58" s="32">
        <f>D58/E21</f>
        <v>1.0058395614338298</v>
      </c>
    </row>
    <row r="59" spans="2:7" ht="25.5">
      <c r="B59" s="21" t="s">
        <v>4</v>
      </c>
      <c r="C59" s="22" t="s">
        <v>44</v>
      </c>
      <c r="D59" s="86">
        <v>0</v>
      </c>
      <c r="E59" s="87">
        <v>0</v>
      </c>
    </row>
    <row r="60" spans="2:7" ht="25.5">
      <c r="B60" s="14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4" t="s">
        <v>8</v>
      </c>
      <c r="C61" s="15" t="s">
        <v>46</v>
      </c>
      <c r="D61" s="84">
        <v>0</v>
      </c>
      <c r="E61" s="85">
        <v>0</v>
      </c>
    </row>
    <row r="62" spans="2:7">
      <c r="B62" s="14" t="s">
        <v>9</v>
      </c>
      <c r="C62" s="15" t="s">
        <v>47</v>
      </c>
      <c r="D62" s="84">
        <v>0</v>
      </c>
      <c r="E62" s="85">
        <v>0</v>
      </c>
    </row>
    <row r="63" spans="2:7">
      <c r="B63" s="14" t="s">
        <v>29</v>
      </c>
      <c r="C63" s="15" t="s">
        <v>48</v>
      </c>
      <c r="D63" s="84">
        <v>0</v>
      </c>
      <c r="E63" s="85">
        <v>0</v>
      </c>
    </row>
    <row r="64" spans="2:7">
      <c r="B64" s="21" t="s">
        <v>31</v>
      </c>
      <c r="C64" s="22" t="s">
        <v>49</v>
      </c>
      <c r="D64" s="314">
        <v>2191392.4500000002</v>
      </c>
      <c r="E64" s="87">
        <f>D64/E21</f>
        <v>0.85783097922690976</v>
      </c>
    </row>
    <row r="65" spans="2:7">
      <c r="B65" s="21" t="s">
        <v>33</v>
      </c>
      <c r="C65" s="22" t="s">
        <v>118</v>
      </c>
      <c r="D65" s="86">
        <v>0</v>
      </c>
      <c r="E65" s="87">
        <v>0</v>
      </c>
    </row>
    <row r="66" spans="2:7">
      <c r="B66" s="21" t="s">
        <v>50</v>
      </c>
      <c r="C66" s="22" t="s">
        <v>51</v>
      </c>
      <c r="D66" s="86">
        <v>0</v>
      </c>
      <c r="E66" s="87">
        <v>0</v>
      </c>
    </row>
    <row r="67" spans="2:7">
      <c r="B67" s="14" t="s">
        <v>52</v>
      </c>
      <c r="C67" s="15" t="s">
        <v>53</v>
      </c>
      <c r="D67" s="84">
        <v>0</v>
      </c>
      <c r="E67" s="85">
        <v>0</v>
      </c>
    </row>
    <row r="68" spans="2:7">
      <c r="B68" s="14" t="s">
        <v>54</v>
      </c>
      <c r="C68" s="15" t="s">
        <v>55</v>
      </c>
      <c r="D68" s="84">
        <v>0</v>
      </c>
      <c r="E68" s="85">
        <v>0</v>
      </c>
    </row>
    <row r="69" spans="2:7">
      <c r="B69" s="14" t="s">
        <v>56</v>
      </c>
      <c r="C69" s="15" t="s">
        <v>57</v>
      </c>
      <c r="D69" s="334">
        <v>378098.82999999996</v>
      </c>
      <c r="E69" s="85">
        <f>D69/E21</f>
        <v>0.14800858220692001</v>
      </c>
    </row>
    <row r="70" spans="2:7">
      <c r="B70" s="119" t="s">
        <v>58</v>
      </c>
      <c r="C70" s="120" t="s">
        <v>59</v>
      </c>
      <c r="D70" s="121">
        <v>0</v>
      </c>
      <c r="E70" s="122">
        <v>0</v>
      </c>
    </row>
    <row r="71" spans="2:7">
      <c r="B71" s="127" t="s">
        <v>23</v>
      </c>
      <c r="C71" s="128" t="s">
        <v>61</v>
      </c>
      <c r="D71" s="129">
        <f>E13</f>
        <v>0</v>
      </c>
      <c r="E71" s="69">
        <f>D71/E21</f>
        <v>0</v>
      </c>
    </row>
    <row r="72" spans="2:7">
      <c r="B72" s="123" t="s">
        <v>60</v>
      </c>
      <c r="C72" s="124" t="s">
        <v>63</v>
      </c>
      <c r="D72" s="125">
        <f>E14</f>
        <v>0</v>
      </c>
      <c r="E72" s="126">
        <f>D72/E21</f>
        <v>0</v>
      </c>
    </row>
    <row r="73" spans="2:7">
      <c r="B73" s="23" t="s">
        <v>62</v>
      </c>
      <c r="C73" s="24" t="s">
        <v>65</v>
      </c>
      <c r="D73" s="25">
        <f>E17</f>
        <v>14917.59</v>
      </c>
      <c r="E73" s="26">
        <f>D73/E21</f>
        <v>5.8395614338296892E-3</v>
      </c>
    </row>
    <row r="74" spans="2:7">
      <c r="B74" s="127" t="s">
        <v>64</v>
      </c>
      <c r="C74" s="128" t="s">
        <v>66</v>
      </c>
      <c r="D74" s="129">
        <f>D58-D73+D71+D72</f>
        <v>2554573.6900000004</v>
      </c>
      <c r="E74" s="69">
        <f>E58+E72-E73</f>
        <v>1</v>
      </c>
    </row>
    <row r="75" spans="2:7">
      <c r="B75" s="14" t="s">
        <v>4</v>
      </c>
      <c r="C75" s="15" t="s">
        <v>67</v>
      </c>
      <c r="D75" s="84">
        <f>D74</f>
        <v>2554573.6900000004</v>
      </c>
      <c r="E75" s="85">
        <f>D75/E21</f>
        <v>1.0000000000000002</v>
      </c>
      <c r="G75" s="190"/>
    </row>
    <row r="76" spans="2:7">
      <c r="B76" s="14" t="s">
        <v>6</v>
      </c>
      <c r="C76" s="15" t="s">
        <v>119</v>
      </c>
      <c r="D76" s="84">
        <v>0</v>
      </c>
      <c r="E76" s="85">
        <f>D76/E21</f>
        <v>0</v>
      </c>
    </row>
    <row r="77" spans="2:7" ht="13.5" thickBot="1">
      <c r="B77" s="16" t="s">
        <v>8</v>
      </c>
      <c r="C77" s="17" t="s">
        <v>120</v>
      </c>
      <c r="D77" s="88">
        <v>0</v>
      </c>
      <c r="E77" s="8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N81"/>
  <sheetViews>
    <sheetView zoomScale="80" zoomScaleNormal="80" workbookViewId="0">
      <selection activeCell="K37" sqref="K3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0.28515625" customWidth="1"/>
    <col min="9" max="9" width="13.28515625" customWidth="1"/>
    <col min="10" max="10" width="13.5703125" customWidth="1"/>
    <col min="11" max="11" width="15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 customHeight="1">
      <c r="B6" s="497" t="s">
        <v>151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12920896.110000001</v>
      </c>
      <c r="E11" s="284">
        <f>SUM(E12:E14)</f>
        <v>11394938.6</v>
      </c>
    </row>
    <row r="12" spans="2:12">
      <c r="B12" s="113" t="s">
        <v>4</v>
      </c>
      <c r="C12" s="6" t="s">
        <v>5</v>
      </c>
      <c r="D12" s="329">
        <v>12170896.110000001</v>
      </c>
      <c r="E12" s="353">
        <f>10021778.19+56033.72+1.54</f>
        <v>10077813.449999999</v>
      </c>
    </row>
    <row r="13" spans="2:12">
      <c r="B13" s="113" t="s">
        <v>6</v>
      </c>
      <c r="C13" s="71" t="s">
        <v>7</v>
      </c>
      <c r="D13" s="322"/>
      <c r="E13" s="354">
        <v>1317125.1499999999</v>
      </c>
    </row>
    <row r="14" spans="2:12">
      <c r="B14" s="113" t="s">
        <v>8</v>
      </c>
      <c r="C14" s="71" t="s">
        <v>10</v>
      </c>
      <c r="D14" s="322">
        <v>750000</v>
      </c>
      <c r="E14" s="354"/>
    </row>
    <row r="15" spans="2:12">
      <c r="B15" s="113" t="s">
        <v>106</v>
      </c>
      <c r="C15" s="71" t="s">
        <v>11</v>
      </c>
      <c r="D15" s="322">
        <v>750000</v>
      </c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4">
      <c r="B17" s="9" t="s">
        <v>13</v>
      </c>
      <c r="C17" s="11" t="s">
        <v>65</v>
      </c>
      <c r="D17" s="325">
        <v>732400.8</v>
      </c>
      <c r="E17" s="356">
        <f>E18</f>
        <v>1007.21</v>
      </c>
    </row>
    <row r="18" spans="2:14">
      <c r="B18" s="113" t="s">
        <v>4</v>
      </c>
      <c r="C18" s="6" t="s">
        <v>11</v>
      </c>
      <c r="D18" s="324">
        <v>732400.8</v>
      </c>
      <c r="E18" s="355">
        <v>1007.21</v>
      </c>
    </row>
    <row r="19" spans="2:14" ht="15" customHeight="1">
      <c r="B19" s="113" t="s">
        <v>6</v>
      </c>
      <c r="C19" s="71" t="s">
        <v>108</v>
      </c>
      <c r="D19" s="322"/>
      <c r="E19" s="354"/>
    </row>
    <row r="20" spans="2:14" ht="13.5" thickBot="1">
      <c r="B20" s="115" t="s">
        <v>8</v>
      </c>
      <c r="C20" s="72" t="s">
        <v>14</v>
      </c>
      <c r="D20" s="285"/>
      <c r="E20" s="286"/>
    </row>
    <row r="21" spans="2:14" ht="13.5" thickBot="1">
      <c r="B21" s="505" t="s">
        <v>110</v>
      </c>
      <c r="C21" s="506"/>
      <c r="D21" s="287">
        <v>12188495.310000001</v>
      </c>
      <c r="E21" s="155">
        <f>E11-E17</f>
        <v>11393931.389999999</v>
      </c>
      <c r="F21" s="83"/>
      <c r="G21" s="83"/>
      <c r="H21" s="176"/>
      <c r="J21" s="254"/>
      <c r="K21" s="70"/>
      <c r="N21" s="190"/>
    </row>
    <row r="22" spans="2:14">
      <c r="B22" s="3"/>
      <c r="C22" s="7"/>
      <c r="D22" s="8"/>
      <c r="E22" s="8"/>
      <c r="G22" s="169"/>
    </row>
    <row r="23" spans="2:14" ht="13.5">
      <c r="B23" s="499" t="s">
        <v>104</v>
      </c>
      <c r="C23" s="507"/>
      <c r="D23" s="507"/>
      <c r="E23" s="507"/>
      <c r="G23" s="76"/>
    </row>
    <row r="24" spans="2:14" ht="15.75" customHeight="1" thickBot="1">
      <c r="B24" s="498" t="s">
        <v>105</v>
      </c>
      <c r="C24" s="508"/>
      <c r="D24" s="508"/>
      <c r="E24" s="508"/>
    </row>
    <row r="25" spans="2:14" ht="13.5" thickBot="1">
      <c r="B25" s="95"/>
      <c r="C25" s="5" t="s">
        <v>2</v>
      </c>
      <c r="D25" s="73" t="s">
        <v>125</v>
      </c>
      <c r="E25" s="29" t="s">
        <v>145</v>
      </c>
    </row>
    <row r="26" spans="2:14">
      <c r="B26" s="102" t="s">
        <v>15</v>
      </c>
      <c r="C26" s="103" t="s">
        <v>16</v>
      </c>
      <c r="D26" s="225">
        <v>20478679.050000001</v>
      </c>
      <c r="E26" s="270">
        <f>D21</f>
        <v>12188495.310000001</v>
      </c>
      <c r="G26" s="80"/>
    </row>
    <row r="27" spans="2:14">
      <c r="B27" s="9" t="s">
        <v>17</v>
      </c>
      <c r="C27" s="10" t="s">
        <v>111</v>
      </c>
      <c r="D27" s="226">
        <v>-2904706.6199999992</v>
      </c>
      <c r="E27" s="263">
        <f>E28-E32</f>
        <v>-1495034.7</v>
      </c>
      <c r="F27" s="76"/>
      <c r="G27" s="359"/>
      <c r="H27" s="76"/>
      <c r="I27" s="76"/>
      <c r="J27" s="76"/>
    </row>
    <row r="28" spans="2:14">
      <c r="B28" s="9" t="s">
        <v>18</v>
      </c>
      <c r="C28" s="10" t="s">
        <v>19</v>
      </c>
      <c r="D28" s="226">
        <v>131849.32999999999</v>
      </c>
      <c r="E28" s="264">
        <f>SUM(E29:E31)</f>
        <v>52536.11</v>
      </c>
      <c r="F28" s="76"/>
      <c r="G28" s="359"/>
      <c r="H28" s="76"/>
      <c r="I28" s="76"/>
      <c r="J28" s="76"/>
    </row>
    <row r="29" spans="2:14">
      <c r="B29" s="111" t="s">
        <v>4</v>
      </c>
      <c r="C29" s="6" t="s">
        <v>20</v>
      </c>
      <c r="D29" s="227"/>
      <c r="E29" s="265"/>
      <c r="F29" s="76"/>
      <c r="G29" s="359"/>
      <c r="H29" s="76"/>
      <c r="I29" s="76"/>
      <c r="J29" s="76"/>
    </row>
    <row r="30" spans="2:14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4">
      <c r="B31" s="111" t="s">
        <v>8</v>
      </c>
      <c r="C31" s="6" t="s">
        <v>22</v>
      </c>
      <c r="D31" s="227">
        <v>131849.32999999999</v>
      </c>
      <c r="E31" s="265">
        <v>52536.11</v>
      </c>
      <c r="F31" s="76"/>
      <c r="G31" s="359"/>
      <c r="H31" s="76"/>
      <c r="I31" s="76"/>
      <c r="J31" s="76"/>
    </row>
    <row r="32" spans="2:14">
      <c r="B32" s="99" t="s">
        <v>23</v>
      </c>
      <c r="C32" s="11" t="s">
        <v>24</v>
      </c>
      <c r="D32" s="226">
        <v>3036555.9499999993</v>
      </c>
      <c r="E32" s="264">
        <f>SUM(E33:E39)</f>
        <v>1547570.81</v>
      </c>
      <c r="F32" s="76"/>
      <c r="G32" s="359"/>
      <c r="H32" s="76"/>
      <c r="I32" s="76"/>
      <c r="J32" s="76"/>
    </row>
    <row r="33" spans="2:10">
      <c r="B33" s="111" t="s">
        <v>4</v>
      </c>
      <c r="C33" s="6" t="s">
        <v>25</v>
      </c>
      <c r="D33" s="227">
        <v>2690966.0199999996</v>
      </c>
      <c r="E33" s="265">
        <v>1321800.21</v>
      </c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8840.7099999999991</v>
      </c>
      <c r="E35" s="265">
        <v>12257.97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173982.03</v>
      </c>
      <c r="E37" s="265">
        <v>109785.88</v>
      </c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162767.19</v>
      </c>
      <c r="E39" s="266">
        <v>103726.75</v>
      </c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-443146.13</v>
      </c>
      <c r="E40" s="271">
        <v>700470.78</v>
      </c>
      <c r="G40" s="80"/>
    </row>
    <row r="41" spans="2:10" ht="13.5" thickBot="1">
      <c r="B41" s="106" t="s">
        <v>37</v>
      </c>
      <c r="C41" s="107" t="s">
        <v>38</v>
      </c>
      <c r="D41" s="230">
        <v>17130826.300000001</v>
      </c>
      <c r="E41" s="155">
        <f>E26+E27+E40</f>
        <v>11393931.390000001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183746.82709999999</v>
      </c>
      <c r="E47" s="79">
        <v>113533.9915</v>
      </c>
      <c r="G47" s="76"/>
    </row>
    <row r="48" spans="2:10">
      <c r="B48" s="130" t="s">
        <v>6</v>
      </c>
      <c r="C48" s="22" t="s">
        <v>41</v>
      </c>
      <c r="D48" s="232">
        <v>157576.63519999999</v>
      </c>
      <c r="E48" s="317">
        <v>100084.6963</v>
      </c>
      <c r="G48" s="16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111.45051791253</v>
      </c>
      <c r="E50" s="79">
        <v>107.355472567878</v>
      </c>
      <c r="G50" s="190"/>
    </row>
    <row r="51" spans="2:7">
      <c r="B51" s="109" t="s">
        <v>6</v>
      </c>
      <c r="C51" s="15" t="s">
        <v>114</v>
      </c>
      <c r="D51" s="311">
        <v>108.6621</v>
      </c>
      <c r="E51" s="273">
        <v>107.35550000000001</v>
      </c>
      <c r="G51" s="190"/>
    </row>
    <row r="52" spans="2:7">
      <c r="B52" s="109" t="s">
        <v>8</v>
      </c>
      <c r="C52" s="15" t="s">
        <v>115</v>
      </c>
      <c r="D52" s="231">
        <v>112.292</v>
      </c>
      <c r="E52" s="273">
        <v>113.8429</v>
      </c>
    </row>
    <row r="53" spans="2:7" ht="13.5" customHeight="1" thickBot="1">
      <c r="B53" s="110" t="s">
        <v>9</v>
      </c>
      <c r="C53" s="17" t="s">
        <v>41</v>
      </c>
      <c r="D53" s="235">
        <v>108.714253710471</v>
      </c>
      <c r="E53" s="272">
        <v>113.8429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SUM(D59:D70)</f>
        <v>10077813.449999999</v>
      </c>
      <c r="E58" s="32">
        <f>D58/E21</f>
        <v>0.88448956773997223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314">
        <v>10021778.189999999</v>
      </c>
      <c r="E64" s="87">
        <f>D64/E21</f>
        <v>0.87957157604053293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34">
        <v>56035.26</v>
      </c>
      <c r="E69" s="85">
        <f>D69/E21</f>
        <v>4.9179916994392227E-3</v>
      </c>
    </row>
    <row r="70" spans="2:5">
      <c r="B70" s="136" t="s">
        <v>58</v>
      </c>
      <c r="C70" s="120" t="s">
        <v>59</v>
      </c>
      <c r="D70" s="320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f>E13</f>
        <v>1317125.1499999999</v>
      </c>
      <c r="E71" s="69">
        <f>D71/E21</f>
        <v>0.11559883107212567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f>D72/E21</f>
        <v>0</v>
      </c>
    </row>
    <row r="73" spans="2:5">
      <c r="B73" s="139" t="s">
        <v>62</v>
      </c>
      <c r="C73" s="24" t="s">
        <v>65</v>
      </c>
      <c r="D73" s="25">
        <f>E17</f>
        <v>1007.21</v>
      </c>
      <c r="E73" s="26">
        <f>D73/E21</f>
        <v>8.8398812097814481E-5</v>
      </c>
    </row>
    <row r="74" spans="2:5">
      <c r="B74" s="137" t="s">
        <v>64</v>
      </c>
      <c r="C74" s="128" t="s">
        <v>66</v>
      </c>
      <c r="D74" s="129">
        <f>D58-D73+D71+D72</f>
        <v>11393931.389999999</v>
      </c>
      <c r="E74" s="69">
        <f>E58+E72-E73+E71</f>
        <v>1.0000000000000002</v>
      </c>
    </row>
    <row r="75" spans="2:5">
      <c r="B75" s="109" t="s">
        <v>4</v>
      </c>
      <c r="C75" s="15" t="s">
        <v>67</v>
      </c>
      <c r="D75" s="84">
        <f>D74</f>
        <v>11393931.389999999</v>
      </c>
      <c r="E75" s="85">
        <f>D75/E21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f>D76/E21</f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L81"/>
  <sheetViews>
    <sheetView zoomScale="80" zoomScaleNormal="80" workbookViewId="0">
      <selection activeCell="K48" sqref="K4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8" width="17.85546875" customWidth="1"/>
    <col min="9" max="9" width="13.28515625" customWidth="1"/>
    <col min="10" max="10" width="13.5703125" customWidth="1"/>
    <col min="11" max="11" width="18.7109375" customWidth="1"/>
    <col min="12" max="12" width="15.28515625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2"/>
      <c r="C4" s="92"/>
      <c r="D4" s="92"/>
      <c r="E4" s="92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85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  <c r="G9" s="218"/>
    </row>
    <row r="10" spans="2:12" ht="13.5" thickBot="1">
      <c r="B10" s="93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214" t="s">
        <v>109</v>
      </c>
      <c r="D11" s="283">
        <v>167229127.84</v>
      </c>
      <c r="E11" s="284">
        <f>SUM(E12:E14)</f>
        <v>173219417.87</v>
      </c>
    </row>
    <row r="12" spans="2:12">
      <c r="B12" s="113" t="s">
        <v>4</v>
      </c>
      <c r="C12" s="215" t="s">
        <v>5</v>
      </c>
      <c r="D12" s="329">
        <v>166445549.41</v>
      </c>
      <c r="E12" s="353">
        <f>178304311.6+277136.53+7.59-5908300.16</f>
        <v>172673155.56</v>
      </c>
    </row>
    <row r="13" spans="2:12">
      <c r="B13" s="113" t="s">
        <v>6</v>
      </c>
      <c r="C13" s="215" t="s">
        <v>7</v>
      </c>
      <c r="D13" s="322"/>
      <c r="E13" s="354"/>
    </row>
    <row r="14" spans="2:12">
      <c r="B14" s="113" t="s">
        <v>8</v>
      </c>
      <c r="C14" s="215" t="s">
        <v>10</v>
      </c>
      <c r="D14" s="322">
        <v>783578.42999999993</v>
      </c>
      <c r="E14" s="354">
        <f>E15</f>
        <v>546262.31000000006</v>
      </c>
    </row>
    <row r="15" spans="2:12">
      <c r="B15" s="113" t="s">
        <v>106</v>
      </c>
      <c r="C15" s="215" t="s">
        <v>11</v>
      </c>
      <c r="D15" s="322">
        <v>783578.42999999993</v>
      </c>
      <c r="E15" s="354">
        <v>546262.31000000006</v>
      </c>
    </row>
    <row r="16" spans="2:12">
      <c r="B16" s="114" t="s">
        <v>107</v>
      </c>
      <c r="C16" s="216" t="s">
        <v>12</v>
      </c>
      <c r="D16" s="324"/>
      <c r="E16" s="355"/>
    </row>
    <row r="17" spans="2:11">
      <c r="B17" s="9" t="s">
        <v>13</v>
      </c>
      <c r="C17" s="217" t="s">
        <v>65</v>
      </c>
      <c r="D17" s="325">
        <v>249581.26</v>
      </c>
      <c r="E17" s="356">
        <f>E18</f>
        <v>291854.89</v>
      </c>
    </row>
    <row r="18" spans="2:11">
      <c r="B18" s="113" t="s">
        <v>4</v>
      </c>
      <c r="C18" s="215" t="s">
        <v>11</v>
      </c>
      <c r="D18" s="324">
        <v>249581.26</v>
      </c>
      <c r="E18" s="355">
        <v>291854.89</v>
      </c>
    </row>
    <row r="19" spans="2:11" ht="15" customHeight="1">
      <c r="B19" s="113" t="s">
        <v>6</v>
      </c>
      <c r="C19" s="215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166979546.58000001</v>
      </c>
      <c r="E21" s="155">
        <f>E11-E17</f>
        <v>172927562.98000002</v>
      </c>
      <c r="F21" s="83"/>
      <c r="G21" s="83"/>
      <c r="H21" s="176"/>
      <c r="J21" s="253"/>
      <c r="K21" s="176"/>
    </row>
    <row r="22" spans="2:11">
      <c r="B22" s="3"/>
      <c r="C22" s="7"/>
      <c r="D22" s="8"/>
      <c r="E22" s="8"/>
      <c r="G22" s="76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93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185521256.25999999</v>
      </c>
      <c r="E26" s="270">
        <f>D21</f>
        <v>166979546.58000001</v>
      </c>
    </row>
    <row r="27" spans="2:11">
      <c r="B27" s="9" t="s">
        <v>17</v>
      </c>
      <c r="C27" s="10" t="s">
        <v>111</v>
      </c>
      <c r="D27" s="226">
        <v>-4336557.1199999992</v>
      </c>
      <c r="E27" s="263">
        <f>E28-E32</f>
        <v>-1211193.589999998</v>
      </c>
      <c r="F27" s="76"/>
      <c r="G27" s="359"/>
      <c r="H27" s="359"/>
    </row>
    <row r="28" spans="2:11">
      <c r="B28" s="9" t="s">
        <v>18</v>
      </c>
      <c r="C28" s="10" t="s">
        <v>19</v>
      </c>
      <c r="D28" s="226">
        <v>11807599.42</v>
      </c>
      <c r="E28" s="264">
        <f>SUM(E29:E31)</f>
        <v>11531641.98</v>
      </c>
      <c r="F28" s="76"/>
      <c r="G28" s="359"/>
      <c r="H28" s="359"/>
    </row>
    <row r="29" spans="2:11">
      <c r="B29" s="111" t="s">
        <v>4</v>
      </c>
      <c r="C29" s="6" t="s">
        <v>20</v>
      </c>
      <c r="D29" s="227">
        <v>10983351.75</v>
      </c>
      <c r="E29" s="265">
        <v>10412394.07</v>
      </c>
      <c r="F29" s="76"/>
      <c r="G29" s="359"/>
      <c r="H29" s="359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359"/>
    </row>
    <row r="31" spans="2:11">
      <c r="B31" s="111" t="s">
        <v>8</v>
      </c>
      <c r="C31" s="6" t="s">
        <v>22</v>
      </c>
      <c r="D31" s="227">
        <v>824247.67</v>
      </c>
      <c r="E31" s="265">
        <v>1119247.9099999999</v>
      </c>
      <c r="F31" s="76"/>
      <c r="G31" s="359"/>
      <c r="H31" s="359"/>
    </row>
    <row r="32" spans="2:11">
      <c r="B32" s="99" t="s">
        <v>23</v>
      </c>
      <c r="C32" s="11" t="s">
        <v>24</v>
      </c>
      <c r="D32" s="226">
        <v>16144156.539999999</v>
      </c>
      <c r="E32" s="264">
        <f>SUM(E33:E39)</f>
        <v>12742835.569999998</v>
      </c>
      <c r="F32" s="76"/>
      <c r="G32" s="359"/>
      <c r="H32" s="359"/>
    </row>
    <row r="33" spans="2:8">
      <c r="B33" s="111" t="s">
        <v>4</v>
      </c>
      <c r="C33" s="6" t="s">
        <v>25</v>
      </c>
      <c r="D33" s="227">
        <v>13206885.27</v>
      </c>
      <c r="E33" s="265">
        <f>11209188.83-928241.72</f>
        <v>10280947.109999999</v>
      </c>
      <c r="F33" s="76"/>
      <c r="G33" s="359"/>
      <c r="H33" s="359"/>
    </row>
    <row r="34" spans="2:8">
      <c r="B34" s="111" t="s">
        <v>6</v>
      </c>
      <c r="C34" s="6" t="s">
        <v>26</v>
      </c>
      <c r="D34" s="227"/>
      <c r="E34" s="265"/>
      <c r="F34" s="76"/>
      <c r="G34" s="359"/>
      <c r="H34" s="359"/>
    </row>
    <row r="35" spans="2:8">
      <c r="B35" s="111" t="s">
        <v>8</v>
      </c>
      <c r="C35" s="6" t="s">
        <v>27</v>
      </c>
      <c r="D35" s="227">
        <v>1949404.76</v>
      </c>
      <c r="E35" s="265">
        <v>1869135.38</v>
      </c>
      <c r="F35" s="76"/>
      <c r="G35" s="359"/>
      <c r="H35" s="359"/>
    </row>
    <row r="36" spans="2:8">
      <c r="B36" s="111" t="s">
        <v>9</v>
      </c>
      <c r="C36" s="6" t="s">
        <v>28</v>
      </c>
      <c r="D36" s="227"/>
      <c r="E36" s="265"/>
      <c r="F36" s="76"/>
      <c r="G36" s="359"/>
      <c r="H36" s="359"/>
    </row>
    <row r="37" spans="2:8" ht="25.5">
      <c r="B37" s="111" t="s">
        <v>29</v>
      </c>
      <c r="C37" s="6" t="s">
        <v>30</v>
      </c>
      <c r="D37" s="227"/>
      <c r="E37" s="265"/>
      <c r="F37" s="76"/>
      <c r="G37" s="359"/>
      <c r="H37" s="359"/>
    </row>
    <row r="38" spans="2:8">
      <c r="B38" s="111" t="s">
        <v>31</v>
      </c>
      <c r="C38" s="6" t="s">
        <v>32</v>
      </c>
      <c r="D38" s="227"/>
      <c r="E38" s="265"/>
      <c r="F38" s="76"/>
      <c r="G38" s="359"/>
      <c r="H38" s="359"/>
    </row>
    <row r="39" spans="2:8">
      <c r="B39" s="112" t="s">
        <v>33</v>
      </c>
      <c r="C39" s="12" t="s">
        <v>34</v>
      </c>
      <c r="D39" s="228">
        <v>987866.51</v>
      </c>
      <c r="E39" s="266">
        <v>592753.07999999996</v>
      </c>
      <c r="F39" s="76"/>
      <c r="G39" s="359"/>
      <c r="H39" s="359"/>
    </row>
    <row r="40" spans="2:8" ht="13.5" thickBot="1">
      <c r="B40" s="104" t="s">
        <v>35</v>
      </c>
      <c r="C40" s="105" t="s">
        <v>36</v>
      </c>
      <c r="D40" s="229">
        <v>-5611670.79</v>
      </c>
      <c r="E40" s="271">
        <v>7159209.9900000002</v>
      </c>
    </row>
    <row r="41" spans="2:8" ht="13.5" thickBot="1">
      <c r="B41" s="106" t="s">
        <v>37</v>
      </c>
      <c r="C41" s="107" t="s">
        <v>38</v>
      </c>
      <c r="D41" s="230">
        <v>175573028.34999999</v>
      </c>
      <c r="E41" s="155">
        <f>E26+E27+E40</f>
        <v>172927562.98000002</v>
      </c>
      <c r="F41" s="83"/>
      <c r="G41" s="70"/>
    </row>
    <row r="42" spans="2:8">
      <c r="B42" s="100"/>
      <c r="C42" s="100"/>
      <c r="D42" s="101"/>
      <c r="E42" s="101"/>
      <c r="F42" s="83"/>
    </row>
    <row r="43" spans="2:8" ht="13.5">
      <c r="B43" s="500" t="s">
        <v>60</v>
      </c>
      <c r="C43" s="501"/>
      <c r="D43" s="501"/>
      <c r="E43" s="501"/>
    </row>
    <row r="44" spans="2:8" ht="15.75" customHeight="1" thickBot="1">
      <c r="B44" s="498" t="s">
        <v>121</v>
      </c>
      <c r="C44" s="502"/>
      <c r="D44" s="502"/>
      <c r="E44" s="502"/>
    </row>
    <row r="45" spans="2:8" ht="13.5" thickBot="1">
      <c r="B45" s="93"/>
      <c r="C45" s="30" t="s">
        <v>39</v>
      </c>
      <c r="D45" s="73" t="s">
        <v>125</v>
      </c>
      <c r="E45" s="29" t="s">
        <v>145</v>
      </c>
    </row>
    <row r="46" spans="2:8">
      <c r="B46" s="13" t="s">
        <v>18</v>
      </c>
      <c r="C46" s="31" t="s">
        <v>112</v>
      </c>
      <c r="D46" s="249"/>
      <c r="E46" s="28"/>
    </row>
    <row r="47" spans="2:8">
      <c r="B47" s="109" t="s">
        <v>4</v>
      </c>
      <c r="C47" s="15" t="s">
        <v>40</v>
      </c>
      <c r="D47" s="304">
        <v>9269398.1071000006</v>
      </c>
      <c r="E47" s="305">
        <v>8972178.9675999992</v>
      </c>
      <c r="G47" s="159"/>
    </row>
    <row r="48" spans="2:8">
      <c r="B48" s="130" t="s">
        <v>6</v>
      </c>
      <c r="C48" s="22" t="s">
        <v>41</v>
      </c>
      <c r="D48" s="304">
        <v>9037194.1688000001</v>
      </c>
      <c r="E48" s="308">
        <v>8922668.5816301797</v>
      </c>
      <c r="G48" s="159"/>
    </row>
    <row r="49" spans="2:7">
      <c r="B49" s="127" t="s">
        <v>23</v>
      </c>
      <c r="C49" s="131" t="s">
        <v>113</v>
      </c>
      <c r="D49" s="306"/>
      <c r="E49" s="237"/>
    </row>
    <row r="50" spans="2:7">
      <c r="B50" s="109" t="s">
        <v>4</v>
      </c>
      <c r="C50" s="15" t="s">
        <v>40</v>
      </c>
      <c r="D50" s="304">
        <v>20.014380018663999</v>
      </c>
      <c r="E50" s="305">
        <v>18.610813179687199</v>
      </c>
      <c r="G50" s="190"/>
    </row>
    <row r="51" spans="2:7">
      <c r="B51" s="109" t="s">
        <v>6</v>
      </c>
      <c r="C51" s="15" t="s">
        <v>114</v>
      </c>
      <c r="D51" s="307">
        <v>19.312799999999999</v>
      </c>
      <c r="E51" s="274">
        <v>18.6022</v>
      </c>
      <c r="G51" s="190"/>
    </row>
    <row r="52" spans="2:7">
      <c r="B52" s="109" t="s">
        <v>8</v>
      </c>
      <c r="C52" s="15" t="s">
        <v>115</v>
      </c>
      <c r="D52" s="307">
        <v>20.590399999999999</v>
      </c>
      <c r="E52" s="274">
        <v>19.596399999999999</v>
      </c>
    </row>
    <row r="53" spans="2:7" ht="13.5" thickBot="1">
      <c r="B53" s="110" t="s">
        <v>9</v>
      </c>
      <c r="C53" s="17" t="s">
        <v>41</v>
      </c>
      <c r="D53" s="235">
        <v>19.427825171164699</v>
      </c>
      <c r="E53" s="272">
        <v>19.380700000000001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D64+D69</f>
        <v>172673155.56</v>
      </c>
      <c r="E58" s="32">
        <f>D58/E21</f>
        <v>0.99852882087958739</v>
      </c>
    </row>
    <row r="59" spans="2:7" ht="25.5">
      <c r="B59" s="21" t="s">
        <v>4</v>
      </c>
      <c r="C59" s="22" t="s">
        <v>44</v>
      </c>
      <c r="D59" s="86">
        <v>0</v>
      </c>
      <c r="E59" s="87">
        <v>0</v>
      </c>
    </row>
    <row r="60" spans="2:7" ht="25.5">
      <c r="B60" s="14" t="s">
        <v>6</v>
      </c>
      <c r="C60" s="15" t="s">
        <v>45</v>
      </c>
      <c r="D60" s="84">
        <v>0</v>
      </c>
      <c r="E60" s="85">
        <v>0</v>
      </c>
    </row>
    <row r="61" spans="2:7">
      <c r="B61" s="14" t="s">
        <v>8</v>
      </c>
      <c r="C61" s="15" t="s">
        <v>46</v>
      </c>
      <c r="D61" s="84">
        <v>0</v>
      </c>
      <c r="E61" s="85">
        <v>0</v>
      </c>
    </row>
    <row r="62" spans="2:7">
      <c r="B62" s="14" t="s">
        <v>9</v>
      </c>
      <c r="C62" s="15" t="s">
        <v>47</v>
      </c>
      <c r="D62" s="84">
        <v>0</v>
      </c>
      <c r="E62" s="85">
        <v>0</v>
      </c>
    </row>
    <row r="63" spans="2:7">
      <c r="B63" s="14" t="s">
        <v>29</v>
      </c>
      <c r="C63" s="15" t="s">
        <v>48</v>
      </c>
      <c r="D63" s="84">
        <v>0</v>
      </c>
      <c r="E63" s="85">
        <v>0</v>
      </c>
    </row>
    <row r="64" spans="2:7">
      <c r="B64" s="21" t="s">
        <v>31</v>
      </c>
      <c r="C64" s="22" t="s">
        <v>49</v>
      </c>
      <c r="D64" s="86">
        <f>178304311.6-5908300.16</f>
        <v>172396011.44</v>
      </c>
      <c r="E64" s="87">
        <f>D64/E21</f>
        <v>0.99692616069503337</v>
      </c>
    </row>
    <row r="65" spans="2:5">
      <c r="B65" s="21" t="s">
        <v>33</v>
      </c>
      <c r="C65" s="22" t="s">
        <v>118</v>
      </c>
      <c r="D65" s="86">
        <v>0</v>
      </c>
      <c r="E65" s="87">
        <v>0</v>
      </c>
    </row>
    <row r="66" spans="2:5">
      <c r="B66" s="21" t="s">
        <v>50</v>
      </c>
      <c r="C66" s="22" t="s">
        <v>51</v>
      </c>
      <c r="D66" s="86">
        <v>0</v>
      </c>
      <c r="E66" s="87">
        <v>0</v>
      </c>
    </row>
    <row r="67" spans="2:5">
      <c r="B67" s="14" t="s">
        <v>52</v>
      </c>
      <c r="C67" s="15" t="s">
        <v>53</v>
      </c>
      <c r="D67" s="84">
        <v>0</v>
      </c>
      <c r="E67" s="85">
        <v>0</v>
      </c>
    </row>
    <row r="68" spans="2:5">
      <c r="B68" s="14" t="s">
        <v>54</v>
      </c>
      <c r="C68" s="15" t="s">
        <v>55</v>
      </c>
      <c r="D68" s="84">
        <v>0</v>
      </c>
      <c r="E68" s="85">
        <v>0</v>
      </c>
    </row>
    <row r="69" spans="2:5">
      <c r="B69" s="14" t="s">
        <v>56</v>
      </c>
      <c r="C69" s="15" t="s">
        <v>57</v>
      </c>
      <c r="D69" s="320">
        <v>277144.12000000005</v>
      </c>
      <c r="E69" s="85">
        <f>D69/E21</f>
        <v>1.6026601845539987E-3</v>
      </c>
    </row>
    <row r="70" spans="2:5">
      <c r="B70" s="119" t="s">
        <v>58</v>
      </c>
      <c r="C70" s="120" t="s">
        <v>59</v>
      </c>
      <c r="D70" s="121">
        <v>0</v>
      </c>
      <c r="E70" s="122">
        <v>0</v>
      </c>
    </row>
    <row r="71" spans="2:5">
      <c r="B71" s="127" t="s">
        <v>23</v>
      </c>
      <c r="C71" s="128" t="s">
        <v>61</v>
      </c>
      <c r="D71" s="129">
        <f>E13</f>
        <v>0</v>
      </c>
      <c r="E71" s="69">
        <v>0</v>
      </c>
    </row>
    <row r="72" spans="2:5">
      <c r="B72" s="123" t="s">
        <v>60</v>
      </c>
      <c r="C72" s="124" t="s">
        <v>63</v>
      </c>
      <c r="D72" s="125">
        <f>E14</f>
        <v>546262.31000000006</v>
      </c>
      <c r="E72" s="126">
        <f>D72/E21</f>
        <v>3.1589082768903542E-3</v>
      </c>
    </row>
    <row r="73" spans="2:5">
      <c r="B73" s="23" t="s">
        <v>62</v>
      </c>
      <c r="C73" s="24" t="s">
        <v>65</v>
      </c>
      <c r="D73" s="25">
        <f>E17</f>
        <v>291854.89</v>
      </c>
      <c r="E73" s="26">
        <f>D73/E21</f>
        <v>1.687729156477817E-3</v>
      </c>
    </row>
    <row r="74" spans="2:5">
      <c r="B74" s="127" t="s">
        <v>64</v>
      </c>
      <c r="C74" s="128" t="s">
        <v>66</v>
      </c>
      <c r="D74" s="129">
        <f>D58+D71+D72-D73</f>
        <v>172927562.98000002</v>
      </c>
      <c r="E74" s="69">
        <f>E58+E72-E73</f>
        <v>0.99999999999999978</v>
      </c>
    </row>
    <row r="75" spans="2:5">
      <c r="B75" s="14" t="s">
        <v>4</v>
      </c>
      <c r="C75" s="15" t="s">
        <v>67</v>
      </c>
      <c r="D75" s="84">
        <f>D74</f>
        <v>172927562.98000002</v>
      </c>
      <c r="E75" s="85">
        <f>E74</f>
        <v>0.99999999999999978</v>
      </c>
    </row>
    <row r="76" spans="2:5">
      <c r="B76" s="14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6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0"/>
  <dimension ref="A1:L81"/>
  <sheetViews>
    <sheetView zoomScale="80" zoomScaleNormal="80" workbookViewId="0">
      <selection activeCell="J21" sqref="J21:K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152</v>
      </c>
      <c r="C6" s="497"/>
      <c r="D6" s="497"/>
      <c r="E6" s="497"/>
    </row>
    <row r="7" spans="2:12" ht="14.25">
      <c r="B7" s="157"/>
      <c r="C7" s="157"/>
      <c r="D7" s="157"/>
      <c r="E7" s="157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8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191426.72</v>
      </c>
      <c r="E11" s="284">
        <f>SUM(E12:E14)</f>
        <v>114136.94</v>
      </c>
      <c r="G11" s="190"/>
    </row>
    <row r="12" spans="2:12">
      <c r="B12" s="113" t="s">
        <v>4</v>
      </c>
      <c r="C12" s="6" t="s">
        <v>5</v>
      </c>
      <c r="D12" s="329">
        <v>191426.72</v>
      </c>
      <c r="E12" s="353">
        <f>108085.57+6051.2+0.17</f>
        <v>114136.94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191426.72</v>
      </c>
      <c r="E21" s="155">
        <f>E11-E17</f>
        <v>114136.94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158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203194.14</v>
      </c>
      <c r="E26" s="270">
        <f>D21</f>
        <v>191426.72</v>
      </c>
      <c r="G26" s="80"/>
    </row>
    <row r="27" spans="2:11">
      <c r="B27" s="9" t="s">
        <v>17</v>
      </c>
      <c r="C27" s="10" t="s">
        <v>111</v>
      </c>
      <c r="D27" s="226">
        <v>-9651.1</v>
      </c>
      <c r="E27" s="263">
        <f>E28-E32</f>
        <v>-79445.990000000005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227"/>
      <c r="E29" s="265"/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227"/>
      <c r="E31" s="265"/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9651.1</v>
      </c>
      <c r="E32" s="264">
        <f>SUM(E33:E39)</f>
        <v>79445.990000000005</v>
      </c>
      <c r="F32" s="76"/>
      <c r="G32" s="368"/>
      <c r="H32" s="76"/>
      <c r="I32" s="76"/>
      <c r="J32" s="76"/>
    </row>
    <row r="33" spans="2:10">
      <c r="B33" s="111" t="s">
        <v>4</v>
      </c>
      <c r="C33" s="6" t="s">
        <v>25</v>
      </c>
      <c r="D33" s="227"/>
      <c r="E33" s="265">
        <v>77279.06</v>
      </c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703.57</v>
      </c>
      <c r="E35" s="265">
        <v>728.33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1661.15</v>
      </c>
      <c r="E37" s="265">
        <v>1438.6</v>
      </c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7286.38</v>
      </c>
      <c r="E39" s="266"/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-1055.21</v>
      </c>
      <c r="E40" s="271">
        <v>2156.21</v>
      </c>
      <c r="G40" s="80"/>
    </row>
    <row r="41" spans="2:10" ht="13.5" thickBot="1">
      <c r="B41" s="106" t="s">
        <v>37</v>
      </c>
      <c r="C41" s="107" t="s">
        <v>38</v>
      </c>
      <c r="D41" s="230">
        <v>192487.83000000002</v>
      </c>
      <c r="E41" s="155">
        <f>E26+E27+E40</f>
        <v>114136.94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58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1922.2987000000001</v>
      </c>
      <c r="E47" s="79">
        <v>1806.508</v>
      </c>
      <c r="G47" s="76"/>
    </row>
    <row r="48" spans="2:10">
      <c r="B48" s="130" t="s">
        <v>6</v>
      </c>
      <c r="C48" s="22" t="s">
        <v>41</v>
      </c>
      <c r="D48" s="232">
        <v>1828.9092000000001</v>
      </c>
      <c r="E48" s="317">
        <v>1063.0523000000001</v>
      </c>
      <c r="G48" s="166"/>
      <c r="H48" s="190"/>
    </row>
    <row r="49" spans="2:8">
      <c r="B49" s="127" t="s">
        <v>23</v>
      </c>
      <c r="C49" s="131" t="s">
        <v>113</v>
      </c>
      <c r="D49" s="233"/>
      <c r="E49" s="132"/>
    </row>
    <row r="50" spans="2:8">
      <c r="B50" s="109" t="s">
        <v>4</v>
      </c>
      <c r="C50" s="15" t="s">
        <v>40</v>
      </c>
      <c r="D50" s="231">
        <v>105.703729745689</v>
      </c>
      <c r="E50" s="79">
        <v>105.965055233633</v>
      </c>
      <c r="G50" s="190"/>
    </row>
    <row r="51" spans="2:8">
      <c r="B51" s="109" t="s">
        <v>6</v>
      </c>
      <c r="C51" s="15" t="s">
        <v>114</v>
      </c>
      <c r="D51" s="311">
        <v>105.19329999999999</v>
      </c>
      <c r="E51" s="273">
        <v>105.96510000000001</v>
      </c>
      <c r="G51" s="190"/>
    </row>
    <row r="52" spans="2:8">
      <c r="B52" s="109" t="s">
        <v>8</v>
      </c>
      <c r="C52" s="15" t="s">
        <v>115</v>
      </c>
      <c r="D52" s="311">
        <v>105.937</v>
      </c>
      <c r="E52" s="273">
        <v>107.41160000000001</v>
      </c>
    </row>
    <row r="53" spans="2:8" ht="13.5" thickBot="1">
      <c r="B53" s="110" t="s">
        <v>9</v>
      </c>
      <c r="C53" s="17" t="s">
        <v>41</v>
      </c>
      <c r="D53" s="235">
        <v>105.247339109168</v>
      </c>
      <c r="E53" s="272">
        <v>107.3672</v>
      </c>
      <c r="G53" s="159"/>
    </row>
    <row r="54" spans="2:8">
      <c r="B54" s="116"/>
      <c r="C54" s="117"/>
      <c r="D54" s="118"/>
      <c r="E54" s="118"/>
      <c r="H54" s="278"/>
    </row>
    <row r="55" spans="2:8" ht="13.5">
      <c r="B55" s="500" t="s">
        <v>62</v>
      </c>
      <c r="C55" s="501"/>
      <c r="D55" s="501"/>
      <c r="E55" s="501"/>
    </row>
    <row r="56" spans="2:8" ht="14.25" thickBot="1">
      <c r="B56" s="498" t="s">
        <v>116</v>
      </c>
      <c r="C56" s="502"/>
      <c r="D56" s="502"/>
      <c r="E56" s="502"/>
    </row>
    <row r="57" spans="2:8" ht="23.25" thickBot="1">
      <c r="B57" s="493" t="s">
        <v>42</v>
      </c>
      <c r="C57" s="494"/>
      <c r="D57" s="18" t="s">
        <v>122</v>
      </c>
      <c r="E57" s="19" t="s">
        <v>117</v>
      </c>
    </row>
    <row r="58" spans="2:8">
      <c r="B58" s="20" t="s">
        <v>18</v>
      </c>
      <c r="C58" s="133" t="s">
        <v>43</v>
      </c>
      <c r="D58" s="134">
        <f>SUM(D59:D70)</f>
        <v>114136.94</v>
      </c>
      <c r="E58" s="32">
        <f>D58/E21</f>
        <v>1</v>
      </c>
    </row>
    <row r="59" spans="2:8" ht="25.5">
      <c r="B59" s="130" t="s">
        <v>4</v>
      </c>
      <c r="C59" s="205" t="s">
        <v>44</v>
      </c>
      <c r="D59" s="86">
        <v>0</v>
      </c>
      <c r="E59" s="87">
        <v>0</v>
      </c>
    </row>
    <row r="60" spans="2:8" ht="25.5">
      <c r="B60" s="109" t="s">
        <v>6</v>
      </c>
      <c r="C60" s="203" t="s">
        <v>45</v>
      </c>
      <c r="D60" s="84">
        <v>0</v>
      </c>
      <c r="E60" s="85">
        <v>0</v>
      </c>
    </row>
    <row r="61" spans="2:8">
      <c r="B61" s="109" t="s">
        <v>8</v>
      </c>
      <c r="C61" s="203" t="s">
        <v>46</v>
      </c>
      <c r="D61" s="84">
        <v>0</v>
      </c>
      <c r="E61" s="85">
        <v>0</v>
      </c>
    </row>
    <row r="62" spans="2:8">
      <c r="B62" s="109" t="s">
        <v>9</v>
      </c>
      <c r="C62" s="203" t="s">
        <v>47</v>
      </c>
      <c r="D62" s="84">
        <v>0</v>
      </c>
      <c r="E62" s="85">
        <v>0</v>
      </c>
    </row>
    <row r="63" spans="2:8">
      <c r="B63" s="109" t="s">
        <v>29</v>
      </c>
      <c r="C63" s="203" t="s">
        <v>48</v>
      </c>
      <c r="D63" s="84">
        <v>0</v>
      </c>
      <c r="E63" s="85">
        <v>0</v>
      </c>
      <c r="G63" s="70"/>
    </row>
    <row r="64" spans="2:8">
      <c r="B64" s="130" t="s">
        <v>31</v>
      </c>
      <c r="C64" s="205" t="s">
        <v>49</v>
      </c>
      <c r="D64" s="314">
        <v>108085.57</v>
      </c>
      <c r="E64" s="87">
        <f>D64/E21</f>
        <v>0.94698149433478773</v>
      </c>
    </row>
    <row r="65" spans="2:7">
      <c r="B65" s="130" t="s">
        <v>33</v>
      </c>
      <c r="C65" s="205" t="s">
        <v>118</v>
      </c>
      <c r="D65" s="86">
        <v>0</v>
      </c>
      <c r="E65" s="87">
        <v>0</v>
      </c>
    </row>
    <row r="66" spans="2:7">
      <c r="B66" s="130" t="s">
        <v>50</v>
      </c>
      <c r="C66" s="205" t="s">
        <v>51</v>
      </c>
      <c r="D66" s="86">
        <v>0</v>
      </c>
      <c r="E66" s="87">
        <v>0</v>
      </c>
    </row>
    <row r="67" spans="2:7">
      <c r="B67" s="109" t="s">
        <v>52</v>
      </c>
      <c r="C67" s="203" t="s">
        <v>53</v>
      </c>
      <c r="D67" s="84">
        <v>0</v>
      </c>
      <c r="E67" s="85">
        <v>0</v>
      </c>
    </row>
    <row r="68" spans="2:7">
      <c r="B68" s="109" t="s">
        <v>54</v>
      </c>
      <c r="C68" s="203" t="s">
        <v>55</v>
      </c>
      <c r="D68" s="84">
        <v>0</v>
      </c>
      <c r="E68" s="85">
        <v>0</v>
      </c>
    </row>
    <row r="69" spans="2:7">
      <c r="B69" s="109" t="s">
        <v>56</v>
      </c>
      <c r="C69" s="203" t="s">
        <v>57</v>
      </c>
      <c r="D69" s="334">
        <v>6051.37</v>
      </c>
      <c r="E69" s="85">
        <f>D69/E21</f>
        <v>5.301850566521233E-2</v>
      </c>
      <c r="G69" s="70"/>
    </row>
    <row r="70" spans="2:7">
      <c r="B70" s="136" t="s">
        <v>58</v>
      </c>
      <c r="C70" s="276" t="s">
        <v>59</v>
      </c>
      <c r="D70" s="320">
        <v>0</v>
      </c>
      <c r="E70" s="122">
        <v>0</v>
      </c>
    </row>
    <row r="71" spans="2:7">
      <c r="B71" s="137" t="s">
        <v>23</v>
      </c>
      <c r="C71" s="128" t="s">
        <v>61</v>
      </c>
      <c r="D71" s="129">
        <f>E13</f>
        <v>0</v>
      </c>
      <c r="E71" s="69">
        <v>0</v>
      </c>
    </row>
    <row r="72" spans="2:7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7">
      <c r="B73" s="13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7">
      <c r="B74" s="137" t="s">
        <v>64</v>
      </c>
      <c r="C74" s="128" t="s">
        <v>66</v>
      </c>
      <c r="D74" s="129">
        <f>D58-D73</f>
        <v>114136.94</v>
      </c>
      <c r="E74" s="69">
        <f>E58+E72-E73</f>
        <v>1</v>
      </c>
    </row>
    <row r="75" spans="2:7">
      <c r="B75" s="109" t="s">
        <v>4</v>
      </c>
      <c r="C75" s="203" t="s">
        <v>67</v>
      </c>
      <c r="D75" s="84">
        <f>D74</f>
        <v>114136.94</v>
      </c>
      <c r="E75" s="85">
        <f>E74</f>
        <v>1</v>
      </c>
    </row>
    <row r="76" spans="2:7">
      <c r="B76" s="109" t="s">
        <v>6</v>
      </c>
      <c r="C76" s="203" t="s">
        <v>119</v>
      </c>
      <c r="D76" s="84">
        <v>0</v>
      </c>
      <c r="E76" s="85">
        <v>0</v>
      </c>
    </row>
    <row r="77" spans="2:7" ht="13.5" thickBot="1">
      <c r="B77" s="110" t="s">
        <v>8</v>
      </c>
      <c r="C77" s="207" t="s">
        <v>120</v>
      </c>
      <c r="D77" s="88">
        <v>0</v>
      </c>
      <c r="E77" s="8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1"/>
  <dimension ref="A1:L81"/>
  <sheetViews>
    <sheetView zoomScale="80" zoomScaleNormal="80" workbookViewId="0">
      <selection activeCell="J21" sqref="J21:K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4.7109375" customWidth="1"/>
    <col min="10" max="10" width="13.5703125" customWidth="1"/>
    <col min="11" max="11" width="15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153</v>
      </c>
      <c r="C6" s="497"/>
      <c r="D6" s="497"/>
      <c r="E6" s="497"/>
    </row>
    <row r="7" spans="2:12" ht="14.25">
      <c r="B7" s="181"/>
      <c r="C7" s="181"/>
      <c r="D7" s="181"/>
      <c r="E7" s="181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8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214" t="s">
        <v>109</v>
      </c>
      <c r="D11" s="283">
        <v>14868.63</v>
      </c>
      <c r="E11" s="284">
        <f>SUM(E12:E14)</f>
        <v>16307.779999999999</v>
      </c>
    </row>
    <row r="12" spans="2:12">
      <c r="B12" s="113" t="s">
        <v>4</v>
      </c>
      <c r="C12" s="215" t="s">
        <v>5</v>
      </c>
      <c r="D12" s="329">
        <v>14868.63</v>
      </c>
      <c r="E12" s="353">
        <f>14019.41+2288.31+0.06</f>
        <v>16307.779999999999</v>
      </c>
      <c r="G12" s="190"/>
    </row>
    <row r="13" spans="2:12">
      <c r="B13" s="113" t="s">
        <v>6</v>
      </c>
      <c r="C13" s="215" t="s">
        <v>7</v>
      </c>
      <c r="D13" s="322"/>
      <c r="E13" s="354"/>
    </row>
    <row r="14" spans="2:12">
      <c r="B14" s="113" t="s">
        <v>8</v>
      </c>
      <c r="C14" s="215" t="s">
        <v>10</v>
      </c>
      <c r="D14" s="322"/>
      <c r="E14" s="354"/>
    </row>
    <row r="15" spans="2:12">
      <c r="B15" s="113" t="s">
        <v>106</v>
      </c>
      <c r="C15" s="215" t="s">
        <v>11</v>
      </c>
      <c r="D15" s="322"/>
      <c r="E15" s="354"/>
    </row>
    <row r="16" spans="2:12">
      <c r="B16" s="114" t="s">
        <v>107</v>
      </c>
      <c r="C16" s="216" t="s">
        <v>12</v>
      </c>
      <c r="D16" s="324"/>
      <c r="E16" s="355"/>
    </row>
    <row r="17" spans="2:11">
      <c r="B17" s="9" t="s">
        <v>13</v>
      </c>
      <c r="C17" s="217" t="s">
        <v>65</v>
      </c>
      <c r="D17" s="325"/>
      <c r="E17" s="356"/>
    </row>
    <row r="18" spans="2:11">
      <c r="B18" s="113" t="s">
        <v>4</v>
      </c>
      <c r="C18" s="215" t="s">
        <v>11</v>
      </c>
      <c r="D18" s="324"/>
      <c r="E18" s="355"/>
    </row>
    <row r="19" spans="2:11" ht="15" customHeight="1">
      <c r="B19" s="113" t="s">
        <v>6</v>
      </c>
      <c r="C19" s="215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14868.63</v>
      </c>
      <c r="E21" s="155">
        <f>E11-E17</f>
        <v>16307.779999999999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182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17525.13</v>
      </c>
      <c r="E26" s="270">
        <f>D21</f>
        <v>14868.63</v>
      </c>
      <c r="G26" s="80"/>
    </row>
    <row r="27" spans="2:11">
      <c r="B27" s="9" t="s">
        <v>17</v>
      </c>
      <c r="C27" s="10" t="s">
        <v>111</v>
      </c>
      <c r="D27" s="226">
        <v>0</v>
      </c>
      <c r="E27" s="263">
        <f>E28-E32</f>
        <v>-170.21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171.56</v>
      </c>
      <c r="E28" s="264">
        <f>SUM(E29:E31)</f>
        <v>0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227"/>
      <c r="E29" s="265"/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227">
        <v>171.56</v>
      </c>
      <c r="E31" s="265"/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171.56</v>
      </c>
      <c r="E32" s="264">
        <f>SUM(E33:E39)</f>
        <v>170.21</v>
      </c>
      <c r="F32" s="76"/>
      <c r="G32" s="368"/>
      <c r="H32" s="76"/>
      <c r="I32" s="76"/>
      <c r="J32" s="76"/>
    </row>
    <row r="33" spans="2:10">
      <c r="B33" s="111" t="s">
        <v>4</v>
      </c>
      <c r="C33" s="6" t="s">
        <v>25</v>
      </c>
      <c r="D33" s="227"/>
      <c r="E33" s="265"/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32.17</v>
      </c>
      <c r="E35" s="265">
        <v>34.94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139.38999999999999</v>
      </c>
      <c r="E37" s="265">
        <v>135.27000000000001</v>
      </c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/>
      <c r="E39" s="266"/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-1004.17</v>
      </c>
      <c r="E40" s="271">
        <v>1609.36</v>
      </c>
      <c r="G40" s="80"/>
    </row>
    <row r="41" spans="2:10" ht="13.5" thickBot="1">
      <c r="B41" s="106" t="s">
        <v>37</v>
      </c>
      <c r="C41" s="107" t="s">
        <v>38</v>
      </c>
      <c r="D41" s="230">
        <v>16520.960000000003</v>
      </c>
      <c r="E41" s="155">
        <f>E26+E27+E40</f>
        <v>16307.78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82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156.91540000000001</v>
      </c>
      <c r="E47" s="79">
        <v>144.68700000000001</v>
      </c>
      <c r="G47" s="76"/>
    </row>
    <row r="48" spans="2:10">
      <c r="B48" s="204" t="s">
        <v>6</v>
      </c>
      <c r="C48" s="205" t="s">
        <v>41</v>
      </c>
      <c r="D48" s="232">
        <v>149.41952444200001</v>
      </c>
      <c r="E48" s="317">
        <v>143.1507</v>
      </c>
      <c r="G48" s="243"/>
      <c r="H48" s="190"/>
    </row>
    <row r="49" spans="2:9">
      <c r="B49" s="127" t="s">
        <v>23</v>
      </c>
      <c r="C49" s="131" t="s">
        <v>113</v>
      </c>
      <c r="D49" s="233"/>
      <c r="E49" s="132"/>
      <c r="I49" s="243"/>
    </row>
    <row r="50" spans="2:9">
      <c r="B50" s="202" t="s">
        <v>4</v>
      </c>
      <c r="C50" s="203" t="s">
        <v>40</v>
      </c>
      <c r="D50" s="231">
        <v>111.68519999999999</v>
      </c>
      <c r="E50" s="79">
        <v>102.764104584378</v>
      </c>
      <c r="G50" s="190"/>
    </row>
    <row r="51" spans="2:9">
      <c r="B51" s="202" t="s">
        <v>6</v>
      </c>
      <c r="C51" s="203" t="s">
        <v>114</v>
      </c>
      <c r="D51" s="311">
        <v>109.7303</v>
      </c>
      <c r="E51" s="294">
        <v>102.7641</v>
      </c>
      <c r="G51" s="240"/>
    </row>
    <row r="52" spans="2:9">
      <c r="B52" s="202" t="s">
        <v>8</v>
      </c>
      <c r="C52" s="203" t="s">
        <v>115</v>
      </c>
      <c r="D52" s="311">
        <v>114.05800000000001</v>
      </c>
      <c r="E52" s="294">
        <v>114.8126</v>
      </c>
    </row>
    <row r="53" spans="2:9" ht="13.5" thickBot="1">
      <c r="B53" s="206" t="s">
        <v>9</v>
      </c>
      <c r="C53" s="207" t="s">
        <v>41</v>
      </c>
      <c r="D53" s="235">
        <v>110.567611974804</v>
      </c>
      <c r="E53" s="336">
        <v>113.9204</v>
      </c>
      <c r="G53" s="159"/>
    </row>
    <row r="54" spans="2:9">
      <c r="B54" s="208"/>
      <c r="C54" s="209"/>
      <c r="D54" s="118"/>
      <c r="E54" s="118"/>
    </row>
    <row r="55" spans="2:9" ht="13.5">
      <c r="B55" s="500" t="s">
        <v>62</v>
      </c>
      <c r="C55" s="512"/>
      <c r="D55" s="512"/>
      <c r="E55" s="512"/>
    </row>
    <row r="56" spans="2:9" ht="14.25" thickBot="1">
      <c r="B56" s="498" t="s">
        <v>116</v>
      </c>
      <c r="C56" s="511"/>
      <c r="D56" s="511"/>
      <c r="E56" s="511"/>
      <c r="G56" s="278"/>
    </row>
    <row r="57" spans="2:9" ht="23.25" thickBot="1">
      <c r="B57" s="493" t="s">
        <v>42</v>
      </c>
      <c r="C57" s="494"/>
      <c r="D57" s="18" t="s">
        <v>122</v>
      </c>
      <c r="E57" s="19" t="s">
        <v>117</v>
      </c>
    </row>
    <row r="58" spans="2:9">
      <c r="B58" s="20" t="s">
        <v>18</v>
      </c>
      <c r="C58" s="133" t="s">
        <v>43</v>
      </c>
      <c r="D58" s="134">
        <f>SUM(D59:D70)</f>
        <v>16307.779999999999</v>
      </c>
      <c r="E58" s="32">
        <f>D58/E21</f>
        <v>1</v>
      </c>
    </row>
    <row r="59" spans="2:9" ht="25.5">
      <c r="B59" s="130" t="s">
        <v>4</v>
      </c>
      <c r="C59" s="205" t="s">
        <v>44</v>
      </c>
      <c r="D59" s="86">
        <v>0</v>
      </c>
      <c r="E59" s="87">
        <v>0</v>
      </c>
    </row>
    <row r="60" spans="2:9" ht="25.5">
      <c r="B60" s="109" t="s">
        <v>6</v>
      </c>
      <c r="C60" s="203" t="s">
        <v>45</v>
      </c>
      <c r="D60" s="84">
        <v>0</v>
      </c>
      <c r="E60" s="85">
        <v>0</v>
      </c>
    </row>
    <row r="61" spans="2:9">
      <c r="B61" s="109" t="s">
        <v>8</v>
      </c>
      <c r="C61" s="203" t="s">
        <v>46</v>
      </c>
      <c r="D61" s="84">
        <v>0</v>
      </c>
      <c r="E61" s="85">
        <v>0</v>
      </c>
    </row>
    <row r="62" spans="2:9">
      <c r="B62" s="109" t="s">
        <v>9</v>
      </c>
      <c r="C62" s="203" t="s">
        <v>47</v>
      </c>
      <c r="D62" s="84">
        <v>0</v>
      </c>
      <c r="E62" s="85">
        <v>0</v>
      </c>
    </row>
    <row r="63" spans="2:9">
      <c r="B63" s="109" t="s">
        <v>29</v>
      </c>
      <c r="C63" s="203" t="s">
        <v>48</v>
      </c>
      <c r="D63" s="84">
        <v>0</v>
      </c>
      <c r="E63" s="85">
        <v>0</v>
      </c>
    </row>
    <row r="64" spans="2:9">
      <c r="B64" s="130" t="s">
        <v>31</v>
      </c>
      <c r="C64" s="205" t="s">
        <v>49</v>
      </c>
      <c r="D64" s="314">
        <v>14019.41</v>
      </c>
      <c r="E64" s="87">
        <f>D64/E21</f>
        <v>0.85967617909979166</v>
      </c>
    </row>
    <row r="65" spans="2:5">
      <c r="B65" s="130" t="s">
        <v>33</v>
      </c>
      <c r="C65" s="205" t="s">
        <v>118</v>
      </c>
      <c r="D65" s="86">
        <v>0</v>
      </c>
      <c r="E65" s="87">
        <v>0</v>
      </c>
    </row>
    <row r="66" spans="2:5">
      <c r="B66" s="130" t="s">
        <v>50</v>
      </c>
      <c r="C66" s="205" t="s">
        <v>51</v>
      </c>
      <c r="D66" s="86">
        <v>0</v>
      </c>
      <c r="E66" s="87">
        <v>0</v>
      </c>
    </row>
    <row r="67" spans="2:5">
      <c r="B67" s="109" t="s">
        <v>52</v>
      </c>
      <c r="C67" s="203" t="s">
        <v>53</v>
      </c>
      <c r="D67" s="84">
        <v>0</v>
      </c>
      <c r="E67" s="85">
        <v>0</v>
      </c>
    </row>
    <row r="68" spans="2:5">
      <c r="B68" s="109" t="s">
        <v>54</v>
      </c>
      <c r="C68" s="203" t="s">
        <v>55</v>
      </c>
      <c r="D68" s="84">
        <v>0</v>
      </c>
      <c r="E68" s="85">
        <v>0</v>
      </c>
    </row>
    <row r="69" spans="2:5">
      <c r="B69" s="109" t="s">
        <v>56</v>
      </c>
      <c r="C69" s="203" t="s">
        <v>57</v>
      </c>
      <c r="D69" s="334">
        <v>2288.37</v>
      </c>
      <c r="E69" s="85">
        <f>D69/E21</f>
        <v>0.14032382090020837</v>
      </c>
    </row>
    <row r="70" spans="2:5">
      <c r="B70" s="136" t="s">
        <v>58</v>
      </c>
      <c r="C70" s="276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f>E13</f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7" t="s">
        <v>64</v>
      </c>
      <c r="C74" s="128" t="s">
        <v>66</v>
      </c>
      <c r="D74" s="129">
        <f>D58-D73</f>
        <v>16307.779999999999</v>
      </c>
      <c r="E74" s="69">
        <f>E58+E72-E73</f>
        <v>1</v>
      </c>
    </row>
    <row r="75" spans="2:5">
      <c r="B75" s="109" t="s">
        <v>4</v>
      </c>
      <c r="C75" s="203" t="s">
        <v>67</v>
      </c>
      <c r="D75" s="84">
        <f>D74</f>
        <v>16307.779999999999</v>
      </c>
      <c r="E75" s="85">
        <f>E74</f>
        <v>1</v>
      </c>
    </row>
    <row r="76" spans="2:5">
      <c r="B76" s="109" t="s">
        <v>6</v>
      </c>
      <c r="C76" s="203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20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:L81"/>
  <sheetViews>
    <sheetView zoomScale="80" zoomScaleNormal="80" workbookViewId="0">
      <selection activeCell="J37" sqref="J3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1.5703125" customWidth="1"/>
    <col min="9" max="9" width="13.28515625" customWidth="1"/>
    <col min="10" max="10" width="13.5703125" customWidth="1"/>
    <col min="11" max="11" width="17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68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18590730.200000003</v>
      </c>
      <c r="E11" s="284">
        <f>SUM(E12:E14)</f>
        <v>17434946.620000001</v>
      </c>
    </row>
    <row r="12" spans="2:12">
      <c r="B12" s="113" t="s">
        <v>4</v>
      </c>
      <c r="C12" s="6" t="s">
        <v>5</v>
      </c>
      <c r="D12" s="329">
        <v>18520300.990000002</v>
      </c>
      <c r="E12" s="353">
        <f>17475534.12-40587.5</f>
        <v>17434946.620000001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>
        <v>70429.210000000006</v>
      </c>
      <c r="E14" s="354"/>
    </row>
    <row r="15" spans="2:12">
      <c r="B15" s="113" t="s">
        <v>106</v>
      </c>
      <c r="C15" s="71" t="s">
        <v>11</v>
      </c>
      <c r="D15" s="322">
        <v>70429.210000000006</v>
      </c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>
        <v>64954.33</v>
      </c>
      <c r="E17" s="356">
        <f>E18</f>
        <v>77952.52</v>
      </c>
      <c r="H17" s="70"/>
    </row>
    <row r="18" spans="2:11">
      <c r="B18" s="113" t="s">
        <v>4</v>
      </c>
      <c r="C18" s="6" t="s">
        <v>11</v>
      </c>
      <c r="D18" s="324">
        <v>64954.33</v>
      </c>
      <c r="E18" s="355">
        <v>77952.52</v>
      </c>
      <c r="H18" s="91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18525775.870000005</v>
      </c>
      <c r="E21" s="155">
        <f>E11-E17</f>
        <v>17356994.100000001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95"/>
      <c r="C25" s="5" t="s">
        <v>2</v>
      </c>
      <c r="D25" s="73" t="s">
        <v>125</v>
      </c>
      <c r="E25" s="29" t="s">
        <v>145</v>
      </c>
      <c r="G25" s="76"/>
    </row>
    <row r="26" spans="2:11">
      <c r="B26" s="102" t="s">
        <v>15</v>
      </c>
      <c r="C26" s="103" t="s">
        <v>16</v>
      </c>
      <c r="D26" s="225">
        <v>19547516.259999998</v>
      </c>
      <c r="E26" s="270">
        <f>D21</f>
        <v>18525775.870000005</v>
      </c>
    </row>
    <row r="27" spans="2:11">
      <c r="B27" s="9" t="s">
        <v>17</v>
      </c>
      <c r="C27" s="10" t="s">
        <v>111</v>
      </c>
      <c r="D27" s="226">
        <v>-594687.84</v>
      </c>
      <c r="E27" s="263">
        <f>E28-E32</f>
        <v>-1297307.1500000001</v>
      </c>
      <c r="F27" s="76"/>
      <c r="G27" s="359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179652.37</v>
      </c>
      <c r="E28" s="264">
        <f>SUM(E29:E31)</f>
        <v>298975.48000000004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227">
        <v>5700.12</v>
      </c>
      <c r="E29" s="265">
        <v>6849.4</v>
      </c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227">
        <v>173952.25</v>
      </c>
      <c r="E31" s="265">
        <v>292126.08000000002</v>
      </c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774340.21</v>
      </c>
      <c r="E32" s="264">
        <f>SUM(E33:E39)</f>
        <v>1596282.6300000001</v>
      </c>
      <c r="F32" s="76"/>
      <c r="G32" s="359"/>
      <c r="H32" s="76"/>
      <c r="I32" s="76"/>
      <c r="J32" s="76"/>
    </row>
    <row r="33" spans="2:10">
      <c r="B33" s="111" t="s">
        <v>4</v>
      </c>
      <c r="C33" s="6" t="s">
        <v>25</v>
      </c>
      <c r="D33" s="227">
        <v>747699.25</v>
      </c>
      <c r="E33" s="265">
        <f>1448853.58+32570.85</f>
        <v>1481424.4300000002</v>
      </c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17752.52</v>
      </c>
      <c r="E35" s="265">
        <v>18021.21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/>
      <c r="E37" s="265"/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8888.44</v>
      </c>
      <c r="E39" s="266">
        <v>96836.99</v>
      </c>
      <c r="F39" s="76"/>
      <c r="G39" s="278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-84929.4</v>
      </c>
      <c r="E40" s="271">
        <v>128525.38</v>
      </c>
    </row>
    <row r="41" spans="2:10" ht="13.5" thickBot="1">
      <c r="B41" s="106" t="s">
        <v>37</v>
      </c>
      <c r="C41" s="107" t="s">
        <v>38</v>
      </c>
      <c r="D41" s="230">
        <v>18867899.02</v>
      </c>
      <c r="E41" s="155">
        <f>E26+E27+E40</f>
        <v>17356994.100000005</v>
      </c>
      <c r="F41" s="83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1508214.4464</v>
      </c>
      <c r="E47" s="79">
        <v>1422805.0834999999</v>
      </c>
      <c r="G47" s="76"/>
    </row>
    <row r="48" spans="2:10">
      <c r="B48" s="130" t="s">
        <v>6</v>
      </c>
      <c r="C48" s="22" t="s">
        <v>41</v>
      </c>
      <c r="D48" s="232">
        <v>1462514.4578</v>
      </c>
      <c r="E48" s="79">
        <v>1323466.1679934121</v>
      </c>
      <c r="G48" s="16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12.960699999999999</v>
      </c>
      <c r="E50" s="79">
        <v>13.0206</v>
      </c>
      <c r="G50" s="190"/>
    </row>
    <row r="51" spans="2:7">
      <c r="B51" s="109" t="s">
        <v>6</v>
      </c>
      <c r="C51" s="15" t="s">
        <v>114</v>
      </c>
      <c r="D51" s="311">
        <v>12.8985</v>
      </c>
      <c r="E51" s="81">
        <v>12.990399999999999</v>
      </c>
      <c r="G51" s="190"/>
    </row>
    <row r="52" spans="2:7">
      <c r="B52" s="109" t="s">
        <v>8</v>
      </c>
      <c r="C52" s="15" t="s">
        <v>115</v>
      </c>
      <c r="D52" s="311">
        <v>13.074400000000001</v>
      </c>
      <c r="E52" s="81">
        <v>13.1234</v>
      </c>
    </row>
    <row r="53" spans="2:7" ht="13.5" customHeight="1" thickBot="1">
      <c r="B53" s="110" t="s">
        <v>9</v>
      </c>
      <c r="C53" s="17" t="s">
        <v>41</v>
      </c>
      <c r="D53" s="235">
        <v>12.901</v>
      </c>
      <c r="E53" s="272">
        <v>13.114800000000001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17434946.620000001</v>
      </c>
      <c r="E58" s="32">
        <f>D58/E21</f>
        <v>1.0044911301778918</v>
      </c>
    </row>
    <row r="59" spans="2:7" ht="25.5">
      <c r="B59" s="204" t="s">
        <v>4</v>
      </c>
      <c r="C59" s="205" t="s">
        <v>44</v>
      </c>
      <c r="D59" s="86">
        <v>0</v>
      </c>
      <c r="E59" s="87">
        <v>0</v>
      </c>
    </row>
    <row r="60" spans="2:7" ht="25.5">
      <c r="B60" s="202" t="s">
        <v>6</v>
      </c>
      <c r="C60" s="203" t="s">
        <v>45</v>
      </c>
      <c r="D60" s="84">
        <v>0</v>
      </c>
      <c r="E60" s="85">
        <v>0</v>
      </c>
    </row>
    <row r="61" spans="2:7" ht="12.75" customHeight="1">
      <c r="B61" s="202" t="s">
        <v>8</v>
      </c>
      <c r="C61" s="203" t="s">
        <v>46</v>
      </c>
      <c r="D61" s="84">
        <v>0</v>
      </c>
      <c r="E61" s="85">
        <v>0</v>
      </c>
    </row>
    <row r="62" spans="2:7">
      <c r="B62" s="202" t="s">
        <v>9</v>
      </c>
      <c r="C62" s="203" t="s">
        <v>47</v>
      </c>
      <c r="D62" s="84">
        <v>0</v>
      </c>
      <c r="E62" s="85">
        <v>0</v>
      </c>
    </row>
    <row r="63" spans="2:7">
      <c r="B63" s="202" t="s">
        <v>29</v>
      </c>
      <c r="C63" s="203" t="s">
        <v>48</v>
      </c>
      <c r="D63" s="84">
        <v>0</v>
      </c>
      <c r="E63" s="85">
        <v>0</v>
      </c>
    </row>
    <row r="64" spans="2:7">
      <c r="B64" s="204" t="s">
        <v>31</v>
      </c>
      <c r="C64" s="205" t="s">
        <v>49</v>
      </c>
      <c r="D64" s="86">
        <f>E12</f>
        <v>17434946.620000001</v>
      </c>
      <c r="E64" s="87">
        <f>D64/E21</f>
        <v>1.0044911301778918</v>
      </c>
    </row>
    <row r="65" spans="2:5">
      <c r="B65" s="204" t="s">
        <v>33</v>
      </c>
      <c r="C65" s="205" t="s">
        <v>118</v>
      </c>
      <c r="D65" s="86">
        <v>0</v>
      </c>
      <c r="E65" s="87">
        <v>0</v>
      </c>
    </row>
    <row r="66" spans="2:5">
      <c r="B66" s="204" t="s">
        <v>50</v>
      </c>
      <c r="C66" s="205" t="s">
        <v>51</v>
      </c>
      <c r="D66" s="86">
        <v>0</v>
      </c>
      <c r="E66" s="87">
        <v>0</v>
      </c>
    </row>
    <row r="67" spans="2:5">
      <c r="B67" s="202" t="s">
        <v>52</v>
      </c>
      <c r="C67" s="203" t="s">
        <v>53</v>
      </c>
      <c r="D67" s="84">
        <v>0</v>
      </c>
      <c r="E67" s="85">
        <v>0</v>
      </c>
    </row>
    <row r="68" spans="2:5">
      <c r="B68" s="202" t="s">
        <v>54</v>
      </c>
      <c r="C68" s="203" t="s">
        <v>55</v>
      </c>
      <c r="D68" s="84">
        <v>0</v>
      </c>
      <c r="E68" s="85">
        <v>0</v>
      </c>
    </row>
    <row r="69" spans="2:5">
      <c r="B69" s="202" t="s">
        <v>56</v>
      </c>
      <c r="C69" s="203" t="s">
        <v>57</v>
      </c>
      <c r="D69" s="320">
        <v>0</v>
      </c>
      <c r="E69" s="85">
        <v>0</v>
      </c>
    </row>
    <row r="70" spans="2:5">
      <c r="B70" s="277" t="s">
        <v>58</v>
      </c>
      <c r="C70" s="276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f>E13</f>
        <v>0</v>
      </c>
      <c r="E71" s="69">
        <f>D71/E21</f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77952.52</v>
      </c>
      <c r="E73" s="26">
        <f>D73/E21</f>
        <v>4.491130177891804E-3</v>
      </c>
    </row>
    <row r="74" spans="2:5">
      <c r="B74" s="137" t="s">
        <v>64</v>
      </c>
      <c r="C74" s="128" t="s">
        <v>66</v>
      </c>
      <c r="D74" s="129">
        <f>D58+D72-D73</f>
        <v>17356994.100000001</v>
      </c>
      <c r="E74" s="69">
        <f>E58+E71+E72-E73</f>
        <v>1</v>
      </c>
    </row>
    <row r="75" spans="2:5">
      <c r="B75" s="202" t="s">
        <v>4</v>
      </c>
      <c r="C75" s="203" t="s">
        <v>67</v>
      </c>
      <c r="D75" s="84">
        <f>D74</f>
        <v>17356994.100000001</v>
      </c>
      <c r="E75" s="85">
        <f>E74</f>
        <v>1</v>
      </c>
    </row>
    <row r="76" spans="2:5">
      <c r="B76" s="202" t="s">
        <v>6</v>
      </c>
      <c r="C76" s="203" t="s">
        <v>119</v>
      </c>
      <c r="D76" s="84">
        <v>0</v>
      </c>
      <c r="E76" s="85">
        <v>0</v>
      </c>
    </row>
    <row r="77" spans="2:5" ht="13.5" thickBot="1">
      <c r="B77" s="206" t="s">
        <v>8</v>
      </c>
      <c r="C77" s="20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3"/>
  <dimension ref="A1:L81"/>
  <sheetViews>
    <sheetView zoomScale="80" zoomScaleNormal="80" workbookViewId="0">
      <selection activeCell="J21" sqref="J21:K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8.42578125" customWidth="1"/>
    <col min="8" max="8" width="20.5703125" customWidth="1"/>
    <col min="9" max="9" width="13.28515625" customWidth="1"/>
    <col min="10" max="10" width="13.5703125" customWidth="1"/>
    <col min="11" max="11" width="1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69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117349286.21000001</v>
      </c>
      <c r="E11" s="284">
        <f>SUM(E12:E14)</f>
        <v>112854197.14</v>
      </c>
    </row>
    <row r="12" spans="2:12">
      <c r="B12" s="113" t="s">
        <v>4</v>
      </c>
      <c r="C12" s="6" t="s">
        <v>5</v>
      </c>
      <c r="D12" s="329">
        <v>117349286.21000001</v>
      </c>
      <c r="E12" s="353">
        <f>112953947.35-99750.21</f>
        <v>112854197.14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>
        <v>451855.12</v>
      </c>
      <c r="E17" s="356">
        <f>E18</f>
        <v>573676.77</v>
      </c>
    </row>
    <row r="18" spans="2:11">
      <c r="B18" s="113" t="s">
        <v>4</v>
      </c>
      <c r="C18" s="6" t="s">
        <v>11</v>
      </c>
      <c r="D18" s="324">
        <v>451855.12</v>
      </c>
      <c r="E18" s="355">
        <v>573676.77</v>
      </c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116897431.09</v>
      </c>
      <c r="E21" s="155">
        <f>E11-E17</f>
        <v>112280520.37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95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141688036.50999999</v>
      </c>
      <c r="E26" s="270">
        <f>D21</f>
        <v>116897431.09</v>
      </c>
      <c r="G26" s="160"/>
    </row>
    <row r="27" spans="2:11">
      <c r="B27" s="9" t="s">
        <v>17</v>
      </c>
      <c r="C27" s="10" t="s">
        <v>111</v>
      </c>
      <c r="D27" s="226">
        <v>-7010356.5900000008</v>
      </c>
      <c r="E27" s="263">
        <f>E28-E32</f>
        <v>-8684858.7100000009</v>
      </c>
      <c r="F27" s="76"/>
      <c r="G27" s="359"/>
      <c r="H27" s="76"/>
      <c r="I27" s="76"/>
      <c r="J27" s="76"/>
    </row>
    <row r="28" spans="2:11">
      <c r="B28" s="9" t="s">
        <v>18</v>
      </c>
      <c r="C28" s="10" t="s">
        <v>19</v>
      </c>
      <c r="D28" s="226">
        <v>39730.200000000004</v>
      </c>
      <c r="E28" s="264">
        <f>SUM(E29:E31)</f>
        <v>28491.82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227">
        <v>34048.080000000002</v>
      </c>
      <c r="E29" s="265">
        <v>28491.82</v>
      </c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227">
        <v>5682.12</v>
      </c>
      <c r="E31" s="265"/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7050086.790000001</v>
      </c>
      <c r="E32" s="264">
        <f>SUM(E33:E39)</f>
        <v>8713350.5300000012</v>
      </c>
      <c r="F32" s="76"/>
      <c r="G32" s="359"/>
      <c r="H32" s="76"/>
      <c r="I32" s="76"/>
      <c r="J32" s="76"/>
    </row>
    <row r="33" spans="2:10">
      <c r="B33" s="111" t="s">
        <v>4</v>
      </c>
      <c r="C33" s="6" t="s">
        <v>25</v>
      </c>
      <c r="D33" s="227">
        <v>6787743.8000000007</v>
      </c>
      <c r="E33" s="265">
        <f>8478955.51+34213.3</f>
        <v>8513168.8100000005</v>
      </c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109244.07</v>
      </c>
      <c r="E35" s="265">
        <v>98862.75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/>
      <c r="E37" s="265"/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153098.92000000001</v>
      </c>
      <c r="E39" s="266">
        <v>101318.97</v>
      </c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-11713173.609999999</v>
      </c>
      <c r="E40" s="271">
        <v>4067947.99</v>
      </c>
      <c r="G40" s="80"/>
    </row>
    <row r="41" spans="2:10" ht="13.5" thickBot="1">
      <c r="B41" s="106" t="s">
        <v>37</v>
      </c>
      <c r="C41" s="107" t="s">
        <v>38</v>
      </c>
      <c r="D41" s="230">
        <v>122964506.30999999</v>
      </c>
      <c r="E41" s="155">
        <f>E26+E27+E40</f>
        <v>112280520.36999999</v>
      </c>
      <c r="F41" s="83"/>
      <c r="G41" s="80"/>
      <c r="H41" s="7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13172685.1964</v>
      </c>
      <c r="E47" s="79">
        <v>11898562.88768</v>
      </c>
      <c r="G47" s="76"/>
    </row>
    <row r="48" spans="2:10">
      <c r="B48" s="130" t="s">
        <v>6</v>
      </c>
      <c r="C48" s="22" t="s">
        <v>41</v>
      </c>
      <c r="D48" s="232">
        <v>12498552.2204</v>
      </c>
      <c r="E48" s="79">
        <v>11038086.567178853</v>
      </c>
      <c r="G48" s="210"/>
    </row>
    <row r="49" spans="2:7">
      <c r="B49" s="127" t="s">
        <v>23</v>
      </c>
      <c r="C49" s="131" t="s">
        <v>113</v>
      </c>
      <c r="D49" s="233"/>
      <c r="E49" s="79"/>
      <c r="G49" s="159"/>
    </row>
    <row r="50" spans="2:7">
      <c r="B50" s="109" t="s">
        <v>4</v>
      </c>
      <c r="C50" s="15" t="s">
        <v>40</v>
      </c>
      <c r="D50" s="231">
        <v>10.7562</v>
      </c>
      <c r="E50" s="79">
        <v>9.8245000000000005</v>
      </c>
      <c r="G50" s="190"/>
    </row>
    <row r="51" spans="2:7">
      <c r="B51" s="109" t="s">
        <v>6</v>
      </c>
      <c r="C51" s="15" t="s">
        <v>114</v>
      </c>
      <c r="D51" s="311">
        <v>9.8383000000000003</v>
      </c>
      <c r="E51" s="81">
        <v>9.7561</v>
      </c>
      <c r="G51" s="190"/>
    </row>
    <row r="52" spans="2:7" ht="12.75" customHeight="1">
      <c r="B52" s="109" t="s">
        <v>8</v>
      </c>
      <c r="C52" s="15" t="s">
        <v>115</v>
      </c>
      <c r="D52" s="311">
        <v>11.0343</v>
      </c>
      <c r="E52" s="81">
        <v>10.277100000000001</v>
      </c>
    </row>
    <row r="53" spans="2:7" ht="13.5" thickBot="1">
      <c r="B53" s="110" t="s">
        <v>9</v>
      </c>
      <c r="C53" s="17" t="s">
        <v>41</v>
      </c>
      <c r="D53" s="235">
        <v>9.8383000000000003</v>
      </c>
      <c r="E53" s="272">
        <v>10.1721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8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112854197.14</v>
      </c>
      <c r="E58" s="32">
        <f>D58/E21</f>
        <v>1.0051093169866825</v>
      </c>
    </row>
    <row r="59" spans="2:7" ht="25.5">
      <c r="B59" s="204" t="s">
        <v>4</v>
      </c>
      <c r="C59" s="205" t="s">
        <v>44</v>
      </c>
      <c r="D59" s="86">
        <v>0</v>
      </c>
      <c r="E59" s="87">
        <v>0</v>
      </c>
    </row>
    <row r="60" spans="2:7" ht="24" customHeight="1">
      <c r="B60" s="202" t="s">
        <v>6</v>
      </c>
      <c r="C60" s="203" t="s">
        <v>45</v>
      </c>
      <c r="D60" s="84">
        <v>0</v>
      </c>
      <c r="E60" s="85">
        <v>0</v>
      </c>
    </row>
    <row r="61" spans="2:7">
      <c r="B61" s="202" t="s">
        <v>8</v>
      </c>
      <c r="C61" s="203" t="s">
        <v>46</v>
      </c>
      <c r="D61" s="84">
        <v>0</v>
      </c>
      <c r="E61" s="85">
        <v>0</v>
      </c>
    </row>
    <row r="62" spans="2:7">
      <c r="B62" s="202" t="s">
        <v>9</v>
      </c>
      <c r="C62" s="203" t="s">
        <v>47</v>
      </c>
      <c r="D62" s="84">
        <v>0</v>
      </c>
      <c r="E62" s="85">
        <v>0</v>
      </c>
    </row>
    <row r="63" spans="2:7">
      <c r="B63" s="202" t="s">
        <v>29</v>
      </c>
      <c r="C63" s="203" t="s">
        <v>48</v>
      </c>
      <c r="D63" s="84">
        <v>0</v>
      </c>
      <c r="E63" s="85">
        <v>0</v>
      </c>
    </row>
    <row r="64" spans="2:7">
      <c r="B64" s="204" t="s">
        <v>31</v>
      </c>
      <c r="C64" s="205" t="s">
        <v>49</v>
      </c>
      <c r="D64" s="86">
        <f>E12</f>
        <v>112854197.14</v>
      </c>
      <c r="E64" s="87">
        <f>D64/E21</f>
        <v>1.0051093169866825</v>
      </c>
    </row>
    <row r="65" spans="2:5">
      <c r="B65" s="204" t="s">
        <v>33</v>
      </c>
      <c r="C65" s="205" t="s">
        <v>118</v>
      </c>
      <c r="D65" s="86">
        <v>0</v>
      </c>
      <c r="E65" s="87">
        <v>0</v>
      </c>
    </row>
    <row r="66" spans="2:5">
      <c r="B66" s="204" t="s">
        <v>50</v>
      </c>
      <c r="C66" s="205" t="s">
        <v>51</v>
      </c>
      <c r="D66" s="86">
        <v>0</v>
      </c>
      <c r="E66" s="87">
        <v>0</v>
      </c>
    </row>
    <row r="67" spans="2:5">
      <c r="B67" s="202" t="s">
        <v>52</v>
      </c>
      <c r="C67" s="203" t="s">
        <v>53</v>
      </c>
      <c r="D67" s="84">
        <v>0</v>
      </c>
      <c r="E67" s="85">
        <v>0</v>
      </c>
    </row>
    <row r="68" spans="2:5">
      <c r="B68" s="202" t="s">
        <v>54</v>
      </c>
      <c r="C68" s="203" t="s">
        <v>55</v>
      </c>
      <c r="D68" s="84">
        <v>0</v>
      </c>
      <c r="E68" s="85">
        <v>0</v>
      </c>
    </row>
    <row r="69" spans="2:5">
      <c r="B69" s="202" t="s">
        <v>56</v>
      </c>
      <c r="C69" s="203" t="s">
        <v>57</v>
      </c>
      <c r="D69" s="320">
        <v>0</v>
      </c>
      <c r="E69" s="85">
        <v>0</v>
      </c>
    </row>
    <row r="70" spans="2:5">
      <c r="B70" s="277" t="s">
        <v>58</v>
      </c>
      <c r="C70" s="276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573676.77</v>
      </c>
      <c r="E73" s="26">
        <f>D73/E21</f>
        <v>5.109316986682576E-3</v>
      </c>
    </row>
    <row r="74" spans="2:5">
      <c r="B74" s="137" t="s">
        <v>64</v>
      </c>
      <c r="C74" s="128" t="s">
        <v>66</v>
      </c>
      <c r="D74" s="129">
        <f>D58-D73</f>
        <v>112280520.37</v>
      </c>
      <c r="E74" s="69">
        <f>E58+E72-E73</f>
        <v>0.99999999999999989</v>
      </c>
    </row>
    <row r="75" spans="2:5">
      <c r="B75" s="202" t="s">
        <v>4</v>
      </c>
      <c r="C75" s="203" t="s">
        <v>67</v>
      </c>
      <c r="D75" s="84">
        <f>D74</f>
        <v>112280520.37</v>
      </c>
      <c r="E75" s="85">
        <f>E74</f>
        <v>0.99999999999999989</v>
      </c>
    </row>
    <row r="76" spans="2:5">
      <c r="B76" s="202" t="s">
        <v>6</v>
      </c>
      <c r="C76" s="203" t="s">
        <v>119</v>
      </c>
      <c r="D76" s="84">
        <v>0</v>
      </c>
      <c r="E76" s="85">
        <v>0</v>
      </c>
    </row>
    <row r="77" spans="2:5" ht="13.5" thickBot="1">
      <c r="B77" s="206" t="s">
        <v>8</v>
      </c>
      <c r="C77" s="20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3" right="0.75" top="0.56000000000000005" bottom="0.47" header="0.5" footer="0.5"/>
  <pageSetup paperSize="9" scale="7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/>
  <dimension ref="A1:L81"/>
  <sheetViews>
    <sheetView zoomScale="80" zoomScaleNormal="80" workbookViewId="0">
      <selection activeCell="J21" sqref="J21:K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0.5703125" customWidth="1"/>
    <col min="9" max="9" width="13.28515625" customWidth="1"/>
    <col min="10" max="10" width="13.5703125" customWidth="1"/>
    <col min="11" max="11" width="1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70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102032819.12</v>
      </c>
      <c r="E11" s="284">
        <f>SUM(E12:E14)</f>
        <v>102424696.48</v>
      </c>
    </row>
    <row r="12" spans="2:12">
      <c r="B12" s="113" t="s">
        <v>4</v>
      </c>
      <c r="C12" s="6" t="s">
        <v>5</v>
      </c>
      <c r="D12" s="329">
        <v>102032819.12</v>
      </c>
      <c r="E12" s="353">
        <f>102443045.92-18349.44</f>
        <v>102424696.48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>
        <v>429942.05</v>
      </c>
      <c r="E17" s="356">
        <f>E18</f>
        <v>432659.20000000001</v>
      </c>
    </row>
    <row r="18" spans="2:11">
      <c r="B18" s="113" t="s">
        <v>4</v>
      </c>
      <c r="C18" s="6" t="s">
        <v>11</v>
      </c>
      <c r="D18" s="324">
        <v>429942.05</v>
      </c>
      <c r="E18" s="355">
        <v>432659.20000000001</v>
      </c>
    </row>
    <row r="19" spans="2:11" ht="15" customHeight="1">
      <c r="B19" s="113" t="s">
        <v>6</v>
      </c>
      <c r="C19" s="71" t="s">
        <v>108</v>
      </c>
      <c r="D19" s="322"/>
      <c r="E19" s="354"/>
      <c r="G19" s="76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101602877.07000001</v>
      </c>
      <c r="E21" s="155">
        <f>E11-E17</f>
        <v>101992037.28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95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131571067.18000001</v>
      </c>
      <c r="E26" s="270">
        <f>D21</f>
        <v>101602877.07000001</v>
      </c>
      <c r="G26" s="160"/>
      <c r="I26" s="70"/>
    </row>
    <row r="27" spans="2:11">
      <c r="B27" s="9" t="s">
        <v>17</v>
      </c>
      <c r="C27" s="10" t="s">
        <v>111</v>
      </c>
      <c r="D27" s="226">
        <v>-7634638.8900000006</v>
      </c>
      <c r="E27" s="263">
        <f>E28-E32</f>
        <v>-7894711.0899999989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28835.52</v>
      </c>
      <c r="E28" s="264">
        <f>SUM(E29:E31)</f>
        <v>125221.91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227">
        <v>28835.52</v>
      </c>
      <c r="E29" s="265">
        <v>28384.91</v>
      </c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227"/>
      <c r="E31" s="265">
        <v>96837</v>
      </c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7663474.4100000001</v>
      </c>
      <c r="E32" s="264">
        <f>SUM(E33:E39)</f>
        <v>8019932.9999999991</v>
      </c>
      <c r="F32" s="76"/>
      <c r="G32" s="368"/>
      <c r="H32" s="76"/>
      <c r="I32" s="76"/>
      <c r="J32" s="76"/>
    </row>
    <row r="33" spans="2:10">
      <c r="B33" s="111" t="s">
        <v>4</v>
      </c>
      <c r="C33" s="6" t="s">
        <v>25</v>
      </c>
      <c r="D33" s="227">
        <v>7416189.6600000001</v>
      </c>
      <c r="E33" s="265">
        <f>7758696.88-24957.41</f>
        <v>7733739.4699999997</v>
      </c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91525.88</v>
      </c>
      <c r="E35" s="265">
        <v>79487.429999999993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/>
      <c r="E37" s="265"/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155758.87</v>
      </c>
      <c r="E39" s="266">
        <v>206706.1</v>
      </c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-9788984.3000000007</v>
      </c>
      <c r="E40" s="271">
        <v>8283871.2999999998</v>
      </c>
      <c r="G40" s="80"/>
    </row>
    <row r="41" spans="2:10" ht="13.5" thickBot="1">
      <c r="B41" s="106" t="s">
        <v>37</v>
      </c>
      <c r="C41" s="107" t="s">
        <v>38</v>
      </c>
      <c r="D41" s="230">
        <v>114147443.99000001</v>
      </c>
      <c r="E41" s="155">
        <f>E26+E27+E40</f>
        <v>101992037.28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8993667.9935999997</v>
      </c>
      <c r="E47" s="79">
        <v>8079430.405948</v>
      </c>
      <c r="G47" s="166"/>
    </row>
    <row r="48" spans="2:10">
      <c r="B48" s="130" t="s">
        <v>6</v>
      </c>
      <c r="C48" s="22" t="s">
        <v>41</v>
      </c>
      <c r="D48" s="232">
        <v>8451484.7988000009</v>
      </c>
      <c r="E48" s="79">
        <v>7495501.4132327968</v>
      </c>
      <c r="G48" s="211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14.629300000000001</v>
      </c>
      <c r="E50" s="79">
        <v>12.5755</v>
      </c>
      <c r="G50" s="190"/>
    </row>
    <row r="51" spans="2:7">
      <c r="B51" s="109" t="s">
        <v>6</v>
      </c>
      <c r="C51" s="15" t="s">
        <v>114</v>
      </c>
      <c r="D51" s="311">
        <v>13.5062</v>
      </c>
      <c r="E51" s="81">
        <v>12.4817</v>
      </c>
      <c r="G51" s="190"/>
    </row>
    <row r="52" spans="2:7" ht="12.75" customHeight="1">
      <c r="B52" s="109" t="s">
        <v>8</v>
      </c>
      <c r="C52" s="15" t="s">
        <v>115</v>
      </c>
      <c r="D52" s="311">
        <v>15.176</v>
      </c>
      <c r="E52" s="81">
        <v>13.945600000000001</v>
      </c>
    </row>
    <row r="53" spans="2:7" ht="13.5" thickBot="1">
      <c r="B53" s="110" t="s">
        <v>9</v>
      </c>
      <c r="C53" s="17" t="s">
        <v>41</v>
      </c>
      <c r="D53" s="235">
        <v>13.5062</v>
      </c>
      <c r="E53" s="272">
        <v>13.607100000000001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102424696.48</v>
      </c>
      <c r="E58" s="32">
        <f>D58/E21</f>
        <v>1.0042420880250897</v>
      </c>
    </row>
    <row r="59" spans="2:7" ht="25.5">
      <c r="B59" s="204" t="s">
        <v>4</v>
      </c>
      <c r="C59" s="205" t="s">
        <v>44</v>
      </c>
      <c r="D59" s="86">
        <v>0</v>
      </c>
      <c r="E59" s="87">
        <v>0</v>
      </c>
    </row>
    <row r="60" spans="2:7" ht="24" customHeight="1">
      <c r="B60" s="202" t="s">
        <v>6</v>
      </c>
      <c r="C60" s="203" t="s">
        <v>45</v>
      </c>
      <c r="D60" s="84">
        <v>0</v>
      </c>
      <c r="E60" s="85">
        <v>0</v>
      </c>
    </row>
    <row r="61" spans="2:7">
      <c r="B61" s="202" t="s">
        <v>8</v>
      </c>
      <c r="C61" s="203" t="s">
        <v>46</v>
      </c>
      <c r="D61" s="84">
        <v>0</v>
      </c>
      <c r="E61" s="85">
        <v>0</v>
      </c>
    </row>
    <row r="62" spans="2:7">
      <c r="B62" s="202" t="s">
        <v>9</v>
      </c>
      <c r="C62" s="203" t="s">
        <v>47</v>
      </c>
      <c r="D62" s="84">
        <v>0</v>
      </c>
      <c r="E62" s="85">
        <v>0</v>
      </c>
    </row>
    <row r="63" spans="2:7">
      <c r="B63" s="202" t="s">
        <v>29</v>
      </c>
      <c r="C63" s="203" t="s">
        <v>48</v>
      </c>
      <c r="D63" s="84">
        <v>0</v>
      </c>
      <c r="E63" s="85">
        <v>0</v>
      </c>
    </row>
    <row r="64" spans="2:7">
      <c r="B64" s="204" t="s">
        <v>31</v>
      </c>
      <c r="C64" s="205" t="s">
        <v>49</v>
      </c>
      <c r="D64" s="86">
        <f>E12</f>
        <v>102424696.48</v>
      </c>
      <c r="E64" s="87">
        <f>D64/E21</f>
        <v>1.0042420880250897</v>
      </c>
    </row>
    <row r="65" spans="2:5">
      <c r="B65" s="204" t="s">
        <v>33</v>
      </c>
      <c r="C65" s="205" t="s">
        <v>118</v>
      </c>
      <c r="D65" s="86">
        <v>0</v>
      </c>
      <c r="E65" s="87">
        <v>0</v>
      </c>
    </row>
    <row r="66" spans="2:5">
      <c r="B66" s="204" t="s">
        <v>50</v>
      </c>
      <c r="C66" s="205" t="s">
        <v>51</v>
      </c>
      <c r="D66" s="86">
        <v>0</v>
      </c>
      <c r="E66" s="87">
        <v>0</v>
      </c>
    </row>
    <row r="67" spans="2:5">
      <c r="B67" s="202" t="s">
        <v>52</v>
      </c>
      <c r="C67" s="203" t="s">
        <v>53</v>
      </c>
      <c r="D67" s="84">
        <v>0</v>
      </c>
      <c r="E67" s="85">
        <v>0</v>
      </c>
    </row>
    <row r="68" spans="2:5">
      <c r="B68" s="202" t="s">
        <v>54</v>
      </c>
      <c r="C68" s="203" t="s">
        <v>55</v>
      </c>
      <c r="D68" s="84">
        <v>0</v>
      </c>
      <c r="E68" s="85">
        <v>0</v>
      </c>
    </row>
    <row r="69" spans="2:5">
      <c r="B69" s="202" t="s">
        <v>56</v>
      </c>
      <c r="C69" s="203" t="s">
        <v>57</v>
      </c>
      <c r="D69" s="320">
        <v>0</v>
      </c>
      <c r="E69" s="85">
        <v>0</v>
      </c>
    </row>
    <row r="70" spans="2:5">
      <c r="B70" s="277" t="s">
        <v>58</v>
      </c>
      <c r="C70" s="276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f>D72/E21</f>
        <v>0</v>
      </c>
    </row>
    <row r="73" spans="2:5">
      <c r="B73" s="139" t="s">
        <v>62</v>
      </c>
      <c r="C73" s="24" t="s">
        <v>65</v>
      </c>
      <c r="D73" s="25">
        <f>E17</f>
        <v>432659.20000000001</v>
      </c>
      <c r="E73" s="26">
        <f>D73/E21</f>
        <v>4.2420880250897955E-3</v>
      </c>
    </row>
    <row r="74" spans="2:5">
      <c r="B74" s="137" t="s">
        <v>64</v>
      </c>
      <c r="C74" s="128" t="s">
        <v>66</v>
      </c>
      <c r="D74" s="129">
        <f>D58+D72-D73</f>
        <v>101992037.28</v>
      </c>
      <c r="E74" s="69">
        <f>E58+E72-E73</f>
        <v>1</v>
      </c>
    </row>
    <row r="75" spans="2:5">
      <c r="B75" s="202" t="s">
        <v>4</v>
      </c>
      <c r="C75" s="203" t="s">
        <v>67</v>
      </c>
      <c r="D75" s="84">
        <f>D74</f>
        <v>101992037.28</v>
      </c>
      <c r="E75" s="85">
        <f>E74</f>
        <v>1</v>
      </c>
    </row>
    <row r="76" spans="2:5">
      <c r="B76" s="202" t="s">
        <v>6</v>
      </c>
      <c r="C76" s="203" t="s">
        <v>119</v>
      </c>
      <c r="D76" s="84">
        <v>0</v>
      </c>
      <c r="E76" s="85">
        <v>0</v>
      </c>
    </row>
    <row r="77" spans="2:5" ht="13.5" thickBot="1">
      <c r="B77" s="206" t="s">
        <v>8</v>
      </c>
      <c r="C77" s="20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5" right="0.75" top="0.52" bottom="0.51" header="0.5" footer="0.5"/>
  <pageSetup paperSize="9" scale="70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/>
  <dimension ref="A1:L81"/>
  <sheetViews>
    <sheetView zoomScale="80" zoomScaleNormal="80" workbookViewId="0">
      <selection activeCell="J21" sqref="J21:K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0.140625" customWidth="1"/>
    <col min="9" max="9" width="13.28515625" customWidth="1"/>
    <col min="10" max="10" width="13.5703125" customWidth="1"/>
    <col min="11" max="11" width="16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71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214" t="s">
        <v>109</v>
      </c>
      <c r="D11" s="283">
        <v>11581951.910000002</v>
      </c>
      <c r="E11" s="284">
        <f>SUM(E12:E14)</f>
        <v>11970593.799999999</v>
      </c>
    </row>
    <row r="12" spans="2:12">
      <c r="B12" s="113" t="s">
        <v>4</v>
      </c>
      <c r="C12" s="215" t="s">
        <v>5</v>
      </c>
      <c r="D12" s="329">
        <v>11581537.360000001</v>
      </c>
      <c r="E12" s="353">
        <f>11963362.2-991.6</f>
        <v>11962370.6</v>
      </c>
    </row>
    <row r="13" spans="2:12">
      <c r="B13" s="113" t="s">
        <v>6</v>
      </c>
      <c r="C13" s="215" t="s">
        <v>7</v>
      </c>
      <c r="D13" s="322"/>
      <c r="E13" s="354"/>
    </row>
    <row r="14" spans="2:12">
      <c r="B14" s="113" t="s">
        <v>8</v>
      </c>
      <c r="C14" s="215" t="s">
        <v>10</v>
      </c>
      <c r="D14" s="322">
        <v>414.55</v>
      </c>
      <c r="E14" s="354">
        <f>E15</f>
        <v>8223.2000000000007</v>
      </c>
    </row>
    <row r="15" spans="2:12">
      <c r="B15" s="113" t="s">
        <v>106</v>
      </c>
      <c r="C15" s="215" t="s">
        <v>11</v>
      </c>
      <c r="D15" s="322">
        <v>414.55</v>
      </c>
      <c r="E15" s="354">
        <v>8223.2000000000007</v>
      </c>
    </row>
    <row r="16" spans="2:12">
      <c r="B16" s="114" t="s">
        <v>107</v>
      </c>
      <c r="C16" s="216" t="s">
        <v>12</v>
      </c>
      <c r="D16" s="324"/>
      <c r="E16" s="355"/>
    </row>
    <row r="17" spans="2:11">
      <c r="B17" s="9" t="s">
        <v>13</v>
      </c>
      <c r="C17" s="217" t="s">
        <v>65</v>
      </c>
      <c r="D17" s="325">
        <v>33629.39</v>
      </c>
      <c r="E17" s="356">
        <f>E18</f>
        <v>25330</v>
      </c>
    </row>
    <row r="18" spans="2:11">
      <c r="B18" s="113" t="s">
        <v>4</v>
      </c>
      <c r="C18" s="215" t="s">
        <v>11</v>
      </c>
      <c r="D18" s="324">
        <v>33629.39</v>
      </c>
      <c r="E18" s="355">
        <v>25330</v>
      </c>
    </row>
    <row r="19" spans="2:11" ht="15" customHeight="1">
      <c r="B19" s="113" t="s">
        <v>6</v>
      </c>
      <c r="C19" s="215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11548322.520000001</v>
      </c>
      <c r="E21" s="155">
        <f>E11-E17</f>
        <v>11945263.799999999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95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14138176.279999999</v>
      </c>
      <c r="E26" s="270">
        <f>D21</f>
        <v>11548322.520000001</v>
      </c>
      <c r="G26" s="80"/>
    </row>
    <row r="27" spans="2:11">
      <c r="B27" s="9" t="s">
        <v>17</v>
      </c>
      <c r="C27" s="10" t="s">
        <v>111</v>
      </c>
      <c r="D27" s="226">
        <v>-954888.56</v>
      </c>
      <c r="E27" s="263">
        <f>E28-E32</f>
        <v>-725476.5</v>
      </c>
      <c r="F27" s="76"/>
      <c r="G27" s="359"/>
      <c r="H27" s="76"/>
      <c r="I27" s="76"/>
      <c r="J27" s="76"/>
    </row>
    <row r="28" spans="2:11">
      <c r="B28" s="9" t="s">
        <v>18</v>
      </c>
      <c r="C28" s="10" t="s">
        <v>19</v>
      </c>
      <c r="D28" s="226">
        <v>30472.980000000003</v>
      </c>
      <c r="E28" s="264">
        <f>SUM(E29:E31)</f>
        <v>128172.06999999999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227">
        <v>5831.1</v>
      </c>
      <c r="E29" s="265">
        <v>5872.95</v>
      </c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227">
        <v>24641.88</v>
      </c>
      <c r="E31" s="265">
        <v>122299.12</v>
      </c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985361.54</v>
      </c>
      <c r="E32" s="264">
        <f>SUM(E33:E39)</f>
        <v>853648.57</v>
      </c>
      <c r="F32" s="76"/>
      <c r="G32" s="359"/>
      <c r="H32" s="76"/>
      <c r="I32" s="76"/>
      <c r="J32" s="76"/>
    </row>
    <row r="33" spans="2:10">
      <c r="B33" s="111" t="s">
        <v>4</v>
      </c>
      <c r="C33" s="6" t="s">
        <v>25</v>
      </c>
      <c r="D33" s="227">
        <v>950177.38</v>
      </c>
      <c r="E33" s="265">
        <f>826467.53-3449.67</f>
        <v>823017.86</v>
      </c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9677.25</v>
      </c>
      <c r="E35" s="265">
        <v>8753.2099999999991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/>
      <c r="E37" s="265"/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25506.91</v>
      </c>
      <c r="E39" s="266">
        <v>21877.5</v>
      </c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407655.49</v>
      </c>
      <c r="E40" s="271">
        <v>1122417.78</v>
      </c>
      <c r="G40" s="80"/>
    </row>
    <row r="41" spans="2:10" ht="13.5" thickBot="1">
      <c r="B41" s="106" t="s">
        <v>37</v>
      </c>
      <c r="C41" s="107" t="s">
        <v>38</v>
      </c>
      <c r="D41" s="230">
        <v>13590943.209999999</v>
      </c>
      <c r="E41" s="155">
        <f>E26+E27+E40</f>
        <v>11945263.800000001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926962.28419999999</v>
      </c>
      <c r="E47" s="79">
        <v>817991.52280000004</v>
      </c>
      <c r="G47" s="76"/>
    </row>
    <row r="48" spans="2:10">
      <c r="B48" s="130" t="s">
        <v>6</v>
      </c>
      <c r="C48" s="22" t="s">
        <v>41</v>
      </c>
      <c r="D48" s="232">
        <v>863536.58239999996</v>
      </c>
      <c r="E48" s="79">
        <v>771065.12435530825</v>
      </c>
      <c r="G48" s="16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15.2522</v>
      </c>
      <c r="E50" s="79">
        <v>14.117900000000001</v>
      </c>
      <c r="G50" s="190"/>
    </row>
    <row r="51" spans="2:7">
      <c r="B51" s="109" t="s">
        <v>6</v>
      </c>
      <c r="C51" s="15" t="s">
        <v>114</v>
      </c>
      <c r="D51" s="311">
        <v>14.465299999999999</v>
      </c>
      <c r="E51" s="81">
        <v>14.116400000000001</v>
      </c>
      <c r="G51" s="190"/>
    </row>
    <row r="52" spans="2:7" ht="12.75" customHeight="1">
      <c r="B52" s="109" t="s">
        <v>8</v>
      </c>
      <c r="C52" s="15" t="s">
        <v>115</v>
      </c>
      <c r="D52" s="231">
        <v>15.8451</v>
      </c>
      <c r="E52" s="81">
        <v>15.9802</v>
      </c>
    </row>
    <row r="53" spans="2:7" ht="13.5" thickBot="1">
      <c r="B53" s="110" t="s">
        <v>9</v>
      </c>
      <c r="C53" s="17" t="s">
        <v>41</v>
      </c>
      <c r="D53" s="235">
        <v>15.7387</v>
      </c>
      <c r="E53" s="272">
        <v>15.491899999999999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11962370.6</v>
      </c>
      <c r="E58" s="32">
        <f>D58/E21</f>
        <v>1.0014320989713095</v>
      </c>
    </row>
    <row r="59" spans="2:7" ht="25.5">
      <c r="B59" s="204" t="s">
        <v>4</v>
      </c>
      <c r="C59" s="205" t="s">
        <v>44</v>
      </c>
      <c r="D59" s="86">
        <v>0</v>
      </c>
      <c r="E59" s="87">
        <v>0</v>
      </c>
    </row>
    <row r="60" spans="2:7" ht="24" customHeight="1">
      <c r="B60" s="202" t="s">
        <v>6</v>
      </c>
      <c r="C60" s="203" t="s">
        <v>45</v>
      </c>
      <c r="D60" s="84">
        <v>0</v>
      </c>
      <c r="E60" s="85">
        <v>0</v>
      </c>
    </row>
    <row r="61" spans="2:7">
      <c r="B61" s="202" t="s">
        <v>8</v>
      </c>
      <c r="C61" s="203" t="s">
        <v>46</v>
      </c>
      <c r="D61" s="84">
        <v>0</v>
      </c>
      <c r="E61" s="85">
        <v>0</v>
      </c>
    </row>
    <row r="62" spans="2:7">
      <c r="B62" s="202" t="s">
        <v>9</v>
      </c>
      <c r="C62" s="203" t="s">
        <v>47</v>
      </c>
      <c r="D62" s="84">
        <v>0</v>
      </c>
      <c r="E62" s="85">
        <v>0</v>
      </c>
    </row>
    <row r="63" spans="2:7">
      <c r="B63" s="202" t="s">
        <v>29</v>
      </c>
      <c r="C63" s="203" t="s">
        <v>48</v>
      </c>
      <c r="D63" s="84">
        <v>0</v>
      </c>
      <c r="E63" s="85">
        <v>0</v>
      </c>
    </row>
    <row r="64" spans="2:7">
      <c r="B64" s="204" t="s">
        <v>31</v>
      </c>
      <c r="C64" s="205" t="s">
        <v>49</v>
      </c>
      <c r="D64" s="86">
        <f>E12</f>
        <v>11962370.6</v>
      </c>
      <c r="E64" s="87">
        <f>D64/E21</f>
        <v>1.0014320989713095</v>
      </c>
    </row>
    <row r="65" spans="2:5">
      <c r="B65" s="204" t="s">
        <v>33</v>
      </c>
      <c r="C65" s="205" t="s">
        <v>118</v>
      </c>
      <c r="D65" s="86">
        <v>0</v>
      </c>
      <c r="E65" s="87">
        <v>0</v>
      </c>
    </row>
    <row r="66" spans="2:5">
      <c r="B66" s="204" t="s">
        <v>50</v>
      </c>
      <c r="C66" s="205" t="s">
        <v>51</v>
      </c>
      <c r="D66" s="86">
        <v>0</v>
      </c>
      <c r="E66" s="87">
        <v>0</v>
      </c>
    </row>
    <row r="67" spans="2:5">
      <c r="B67" s="202" t="s">
        <v>52</v>
      </c>
      <c r="C67" s="203" t="s">
        <v>53</v>
      </c>
      <c r="D67" s="84">
        <v>0</v>
      </c>
      <c r="E67" s="85">
        <v>0</v>
      </c>
    </row>
    <row r="68" spans="2:5">
      <c r="B68" s="202" t="s">
        <v>54</v>
      </c>
      <c r="C68" s="203" t="s">
        <v>55</v>
      </c>
      <c r="D68" s="84">
        <v>0</v>
      </c>
      <c r="E68" s="85">
        <v>0</v>
      </c>
    </row>
    <row r="69" spans="2:5">
      <c r="B69" s="202" t="s">
        <v>56</v>
      </c>
      <c r="C69" s="203" t="s">
        <v>57</v>
      </c>
      <c r="D69" s="320">
        <v>0</v>
      </c>
      <c r="E69" s="85">
        <v>0</v>
      </c>
    </row>
    <row r="70" spans="2:5">
      <c r="B70" s="277" t="s">
        <v>58</v>
      </c>
      <c r="C70" s="276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f>E13</f>
        <v>0</v>
      </c>
      <c r="E71" s="69">
        <f>D71/E21</f>
        <v>0</v>
      </c>
    </row>
    <row r="72" spans="2:5">
      <c r="B72" s="138" t="s">
        <v>60</v>
      </c>
      <c r="C72" s="124" t="s">
        <v>63</v>
      </c>
      <c r="D72" s="125">
        <f>E14</f>
        <v>8223.2000000000007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25330</v>
      </c>
      <c r="E73" s="26">
        <f>D73/E21</f>
        <v>2.1205057020172299E-3</v>
      </c>
    </row>
    <row r="74" spans="2:5">
      <c r="B74" s="137" t="s">
        <v>64</v>
      </c>
      <c r="C74" s="128" t="s">
        <v>66</v>
      </c>
      <c r="D74" s="129">
        <f>D58+D72-D73</f>
        <v>11945263.799999999</v>
      </c>
      <c r="E74" s="69">
        <f>E58+E71+E72-E73</f>
        <v>0.9993115932692922</v>
      </c>
    </row>
    <row r="75" spans="2:5">
      <c r="B75" s="202" t="s">
        <v>4</v>
      </c>
      <c r="C75" s="203" t="s">
        <v>67</v>
      </c>
      <c r="D75" s="84">
        <f>D74</f>
        <v>11945263.799999999</v>
      </c>
      <c r="E75" s="85">
        <f>E74</f>
        <v>0.9993115932692922</v>
      </c>
    </row>
    <row r="76" spans="2:5">
      <c r="B76" s="202" t="s">
        <v>6</v>
      </c>
      <c r="C76" s="203" t="s">
        <v>119</v>
      </c>
      <c r="D76" s="84">
        <v>0</v>
      </c>
      <c r="E76" s="85">
        <v>0</v>
      </c>
    </row>
    <row r="77" spans="2:5" ht="13.5" thickBot="1">
      <c r="B77" s="206" t="s">
        <v>8</v>
      </c>
      <c r="C77" s="20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999999999999995" right="0.75" top="0.56999999999999995" bottom="0.43" header="0.5" footer="0.5"/>
  <pageSetup paperSize="9" scale="7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6"/>
  <dimension ref="A1:L81"/>
  <sheetViews>
    <sheetView zoomScale="80" zoomScaleNormal="80" workbookViewId="0">
      <selection activeCell="J20" sqref="J20:L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72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12203176.65</v>
      </c>
      <c r="E11" s="284">
        <f>SUM(E12:E14)</f>
        <v>11839255.17</v>
      </c>
    </row>
    <row r="12" spans="2:12">
      <c r="B12" s="113" t="s">
        <v>4</v>
      </c>
      <c r="C12" s="6" t="s">
        <v>5</v>
      </c>
      <c r="D12" s="329">
        <v>12203176.65</v>
      </c>
      <c r="E12" s="353">
        <v>11839255.17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>
        <v>42572.61</v>
      </c>
      <c r="E17" s="356">
        <f>E18</f>
        <v>70754.710000000006</v>
      </c>
    </row>
    <row r="18" spans="2:11">
      <c r="B18" s="113" t="s">
        <v>4</v>
      </c>
      <c r="C18" s="6" t="s">
        <v>11</v>
      </c>
      <c r="D18" s="324">
        <v>42572.61</v>
      </c>
      <c r="E18" s="355">
        <v>70754.710000000006</v>
      </c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12160604.040000001</v>
      </c>
      <c r="E21" s="155">
        <f>E11-E17</f>
        <v>11768500.459999999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95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15610706.049999999</v>
      </c>
      <c r="E26" s="270">
        <f>D21</f>
        <v>12160604.040000001</v>
      </c>
      <c r="G26" s="80"/>
    </row>
    <row r="27" spans="2:11">
      <c r="B27" s="9" t="s">
        <v>17</v>
      </c>
      <c r="C27" s="10" t="s">
        <v>111</v>
      </c>
      <c r="D27" s="226">
        <v>-566118.35</v>
      </c>
      <c r="E27" s="263">
        <f>E28-E32</f>
        <v>-1136217.94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131371</v>
      </c>
      <c r="E28" s="264">
        <f>SUM(E29:E31)</f>
        <v>0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227"/>
      <c r="E29" s="265"/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227">
        <v>131371</v>
      </c>
      <c r="E31" s="265"/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697489.35</v>
      </c>
      <c r="E32" s="264">
        <f>SUM(E33:E39)</f>
        <v>1136217.94</v>
      </c>
      <c r="F32" s="76"/>
      <c r="G32" s="368"/>
      <c r="H32" s="76"/>
      <c r="I32" s="76"/>
      <c r="J32" s="76"/>
    </row>
    <row r="33" spans="2:10">
      <c r="B33" s="111" t="s">
        <v>4</v>
      </c>
      <c r="C33" s="6" t="s">
        <v>25</v>
      </c>
      <c r="D33" s="227">
        <v>674824.37</v>
      </c>
      <c r="E33" s="265">
        <v>1042100.34</v>
      </c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11430.6</v>
      </c>
      <c r="E35" s="265">
        <v>9594.94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/>
      <c r="E37" s="265"/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11234.38</v>
      </c>
      <c r="E39" s="266">
        <v>84522.66</v>
      </c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-814048.72</v>
      </c>
      <c r="E40" s="271">
        <v>744114.36</v>
      </c>
      <c r="G40" s="80"/>
    </row>
    <row r="41" spans="2:10" ht="13.5" thickBot="1">
      <c r="B41" s="106" t="s">
        <v>37</v>
      </c>
      <c r="C41" s="107" t="s">
        <v>38</v>
      </c>
      <c r="D41" s="230">
        <v>14230538.979999999</v>
      </c>
      <c r="E41" s="155">
        <f>E26+E27+E40</f>
        <v>11768500.460000001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1219204.2578</v>
      </c>
      <c r="E47" s="79">
        <v>1116231.7472999999</v>
      </c>
      <c r="G47" s="76"/>
    </row>
    <row r="48" spans="2:10">
      <c r="B48" s="130" t="s">
        <v>6</v>
      </c>
      <c r="C48" s="22" t="s">
        <v>41</v>
      </c>
      <c r="D48" s="232">
        <v>1175102.3953</v>
      </c>
      <c r="E48" s="79">
        <v>1017377.3009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12.804</v>
      </c>
      <c r="E50" s="79">
        <v>10.894299999999999</v>
      </c>
      <c r="G50" s="190"/>
    </row>
    <row r="51" spans="2:7">
      <c r="B51" s="109" t="s">
        <v>6</v>
      </c>
      <c r="C51" s="15" t="s">
        <v>114</v>
      </c>
      <c r="D51" s="234">
        <v>12.11</v>
      </c>
      <c r="E51" s="81">
        <v>10.8071</v>
      </c>
      <c r="G51" s="190"/>
    </row>
    <row r="52" spans="2:7" ht="12.75" customHeight="1">
      <c r="B52" s="109" t="s">
        <v>8</v>
      </c>
      <c r="C52" s="15" t="s">
        <v>115</v>
      </c>
      <c r="D52" s="311">
        <v>13.472099999999999</v>
      </c>
      <c r="E52" s="81">
        <v>11.8994</v>
      </c>
    </row>
    <row r="53" spans="2:7" ht="13.5" thickBot="1">
      <c r="B53" s="110" t="s">
        <v>9</v>
      </c>
      <c r="C53" s="17" t="s">
        <v>41</v>
      </c>
      <c r="D53" s="235">
        <v>12.11</v>
      </c>
      <c r="E53" s="272">
        <v>11.567500000000001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8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11839255.17</v>
      </c>
      <c r="E58" s="32">
        <f>D58/E21</f>
        <v>1.0060122111768182</v>
      </c>
    </row>
    <row r="59" spans="2:7" ht="25.5">
      <c r="B59" s="204" t="s">
        <v>4</v>
      </c>
      <c r="C59" s="205" t="s">
        <v>44</v>
      </c>
      <c r="D59" s="86">
        <v>0</v>
      </c>
      <c r="E59" s="87">
        <v>0</v>
      </c>
    </row>
    <row r="60" spans="2:7" ht="24" customHeight="1">
      <c r="B60" s="202" t="s">
        <v>6</v>
      </c>
      <c r="C60" s="203" t="s">
        <v>45</v>
      </c>
      <c r="D60" s="84">
        <v>0</v>
      </c>
      <c r="E60" s="85">
        <v>0</v>
      </c>
    </row>
    <row r="61" spans="2:7">
      <c r="B61" s="202" t="s">
        <v>8</v>
      </c>
      <c r="C61" s="203" t="s">
        <v>46</v>
      </c>
      <c r="D61" s="84">
        <v>0</v>
      </c>
      <c r="E61" s="85">
        <v>0</v>
      </c>
    </row>
    <row r="62" spans="2:7">
      <c r="B62" s="202" t="s">
        <v>9</v>
      </c>
      <c r="C62" s="203" t="s">
        <v>47</v>
      </c>
      <c r="D62" s="84">
        <v>0</v>
      </c>
      <c r="E62" s="85">
        <v>0</v>
      </c>
    </row>
    <row r="63" spans="2:7">
      <c r="B63" s="202" t="s">
        <v>29</v>
      </c>
      <c r="C63" s="203" t="s">
        <v>48</v>
      </c>
      <c r="D63" s="84">
        <v>0</v>
      </c>
      <c r="E63" s="85">
        <v>0</v>
      </c>
    </row>
    <row r="64" spans="2:7">
      <c r="B64" s="204" t="s">
        <v>31</v>
      </c>
      <c r="C64" s="205" t="s">
        <v>49</v>
      </c>
      <c r="D64" s="86">
        <f>E12</f>
        <v>11839255.17</v>
      </c>
      <c r="E64" s="87">
        <f>D64/E21</f>
        <v>1.0060122111768182</v>
      </c>
    </row>
    <row r="65" spans="2:5">
      <c r="B65" s="204" t="s">
        <v>33</v>
      </c>
      <c r="C65" s="205" t="s">
        <v>118</v>
      </c>
      <c r="D65" s="86">
        <v>0</v>
      </c>
      <c r="E65" s="87">
        <v>0</v>
      </c>
    </row>
    <row r="66" spans="2:5">
      <c r="B66" s="204" t="s">
        <v>50</v>
      </c>
      <c r="C66" s="205" t="s">
        <v>51</v>
      </c>
      <c r="D66" s="86">
        <v>0</v>
      </c>
      <c r="E66" s="87">
        <v>0</v>
      </c>
    </row>
    <row r="67" spans="2:5">
      <c r="B67" s="202" t="s">
        <v>52</v>
      </c>
      <c r="C67" s="203" t="s">
        <v>53</v>
      </c>
      <c r="D67" s="84">
        <v>0</v>
      </c>
      <c r="E67" s="85">
        <v>0</v>
      </c>
    </row>
    <row r="68" spans="2:5">
      <c r="B68" s="202" t="s">
        <v>54</v>
      </c>
      <c r="C68" s="203" t="s">
        <v>55</v>
      </c>
      <c r="D68" s="84">
        <v>0</v>
      </c>
      <c r="E68" s="85">
        <v>0</v>
      </c>
    </row>
    <row r="69" spans="2:5">
      <c r="B69" s="202" t="s">
        <v>56</v>
      </c>
      <c r="C69" s="203" t="s">
        <v>57</v>
      </c>
      <c r="D69" s="320">
        <v>0</v>
      </c>
      <c r="E69" s="85">
        <v>0</v>
      </c>
    </row>
    <row r="70" spans="2:5">
      <c r="B70" s="277" t="s">
        <v>58</v>
      </c>
      <c r="C70" s="276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f>D72/E21</f>
        <v>0</v>
      </c>
    </row>
    <row r="73" spans="2:5">
      <c r="B73" s="139" t="s">
        <v>62</v>
      </c>
      <c r="C73" s="24" t="s">
        <v>65</v>
      </c>
      <c r="D73" s="25">
        <f>E17</f>
        <v>70754.710000000006</v>
      </c>
      <c r="E73" s="26">
        <f>D73/E21</f>
        <v>6.0122111768180202E-3</v>
      </c>
    </row>
    <row r="74" spans="2:5">
      <c r="B74" s="137" t="s">
        <v>64</v>
      </c>
      <c r="C74" s="128" t="s">
        <v>66</v>
      </c>
      <c r="D74" s="129">
        <f>D58-D73+D72</f>
        <v>11768500.459999999</v>
      </c>
      <c r="E74" s="69">
        <f>E58+E72-E73</f>
        <v>1.0000000000000002</v>
      </c>
    </row>
    <row r="75" spans="2:5">
      <c r="B75" s="202" t="s">
        <v>4</v>
      </c>
      <c r="C75" s="203" t="s">
        <v>67</v>
      </c>
      <c r="D75" s="84">
        <f>D74</f>
        <v>11768500.459999999</v>
      </c>
      <c r="E75" s="85">
        <f>E74</f>
        <v>1.0000000000000002</v>
      </c>
    </row>
    <row r="76" spans="2:5">
      <c r="B76" s="202" t="s">
        <v>6</v>
      </c>
      <c r="C76" s="203" t="s">
        <v>119</v>
      </c>
      <c r="D76" s="84">
        <v>0</v>
      </c>
      <c r="E76" s="85">
        <v>0</v>
      </c>
    </row>
    <row r="77" spans="2:5" ht="13.5" thickBot="1">
      <c r="B77" s="206" t="s">
        <v>8</v>
      </c>
      <c r="C77" s="20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62" bottom="0.47" header="0.5" footer="0.5"/>
  <pageSetup paperSize="9" scale="7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7"/>
  <dimension ref="A1:L81"/>
  <sheetViews>
    <sheetView zoomScale="80" zoomScaleNormal="80" workbookViewId="0">
      <selection activeCell="K34" sqref="K3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73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2165417.9699999997</v>
      </c>
      <c r="E11" s="284">
        <f>SUM(E12:E14)</f>
        <v>2037348.93</v>
      </c>
    </row>
    <row r="12" spans="2:12">
      <c r="B12" s="113" t="s">
        <v>4</v>
      </c>
      <c r="C12" s="6" t="s">
        <v>5</v>
      </c>
      <c r="D12" s="329">
        <v>2165417.9699999997</v>
      </c>
      <c r="E12" s="353">
        <f>2029199.73+3348.99+0.21</f>
        <v>2032548.93</v>
      </c>
      <c r="G12" s="70"/>
    </row>
    <row r="13" spans="2:12">
      <c r="B13" s="113" t="s">
        <v>6</v>
      </c>
      <c r="C13" s="71" t="s">
        <v>7</v>
      </c>
      <c r="D13" s="322"/>
      <c r="E13" s="354"/>
      <c r="H13" s="70"/>
    </row>
    <row r="14" spans="2:12">
      <c r="B14" s="113" t="s">
        <v>8</v>
      </c>
      <c r="C14" s="71" t="s">
        <v>10</v>
      </c>
      <c r="D14" s="322"/>
      <c r="E14" s="354">
        <f>E15</f>
        <v>4800</v>
      </c>
    </row>
    <row r="15" spans="2:12">
      <c r="B15" s="113" t="s">
        <v>106</v>
      </c>
      <c r="C15" s="71" t="s">
        <v>11</v>
      </c>
      <c r="D15" s="322"/>
      <c r="E15" s="354">
        <v>4800</v>
      </c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>
        <v>4017.68</v>
      </c>
      <c r="E17" s="356">
        <f>E18</f>
        <v>3226.21</v>
      </c>
    </row>
    <row r="18" spans="2:11">
      <c r="B18" s="113" t="s">
        <v>4</v>
      </c>
      <c r="C18" s="6" t="s">
        <v>11</v>
      </c>
      <c r="D18" s="324">
        <v>4017.68</v>
      </c>
      <c r="E18" s="355">
        <v>3226.21</v>
      </c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2161400.2899999996</v>
      </c>
      <c r="E21" s="155">
        <f>E11-E17</f>
        <v>2034122.72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95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3380701.35</v>
      </c>
      <c r="E26" s="270">
        <f>D21</f>
        <v>2161400.2899999996</v>
      </c>
      <c r="G26" s="80"/>
    </row>
    <row r="27" spans="2:11">
      <c r="B27" s="9" t="s">
        <v>17</v>
      </c>
      <c r="C27" s="10" t="s">
        <v>111</v>
      </c>
      <c r="D27" s="226">
        <v>-654727.79</v>
      </c>
      <c r="E27" s="263">
        <f>E28-E32</f>
        <v>-288566.25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109.19</v>
      </c>
      <c r="E28" s="264">
        <f>SUM(E29:E31)</f>
        <v>67.67</v>
      </c>
      <c r="F28" s="76"/>
      <c r="G28" s="359"/>
      <c r="H28" s="76"/>
      <c r="I28" s="76"/>
      <c r="J28" s="76"/>
    </row>
    <row r="29" spans="2:11">
      <c r="B29" s="111" t="s">
        <v>4</v>
      </c>
      <c r="C29" s="192" t="s">
        <v>20</v>
      </c>
      <c r="D29" s="227"/>
      <c r="E29" s="265"/>
      <c r="F29" s="76"/>
      <c r="G29" s="359"/>
      <c r="H29" s="76"/>
      <c r="I29" s="76"/>
      <c r="J29" s="76"/>
    </row>
    <row r="30" spans="2:11">
      <c r="B30" s="111" t="s">
        <v>6</v>
      </c>
      <c r="C30" s="192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192" t="s">
        <v>22</v>
      </c>
      <c r="D31" s="227">
        <v>109.19</v>
      </c>
      <c r="E31" s="265">
        <v>67.67</v>
      </c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654836.98</v>
      </c>
      <c r="E32" s="264">
        <f>SUM(E33:E39)</f>
        <v>288633.92</v>
      </c>
      <c r="F32" s="76"/>
      <c r="G32" s="368"/>
      <c r="H32" s="76"/>
      <c r="I32" s="76"/>
      <c r="J32" s="76"/>
    </row>
    <row r="33" spans="2:10">
      <c r="B33" s="111" t="s">
        <v>4</v>
      </c>
      <c r="C33" s="192" t="s">
        <v>25</v>
      </c>
      <c r="D33" s="227">
        <v>633264.59</v>
      </c>
      <c r="E33" s="265">
        <f>303334.8-28294.89</f>
        <v>275039.90999999997</v>
      </c>
      <c r="F33" s="76"/>
      <c r="G33" s="359"/>
      <c r="H33" s="76"/>
      <c r="I33" s="76"/>
      <c r="J33" s="76"/>
    </row>
    <row r="34" spans="2:10">
      <c r="B34" s="111" t="s">
        <v>6</v>
      </c>
      <c r="C34" s="192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192" t="s">
        <v>27</v>
      </c>
      <c r="D35" s="227">
        <v>15107.75</v>
      </c>
      <c r="E35" s="265">
        <v>12917.36</v>
      </c>
      <c r="F35" s="76"/>
      <c r="G35" s="359"/>
      <c r="H35" s="76"/>
      <c r="I35" s="76"/>
      <c r="J35" s="76"/>
    </row>
    <row r="36" spans="2:10">
      <c r="B36" s="111" t="s">
        <v>9</v>
      </c>
      <c r="C36" s="192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192" t="s">
        <v>30</v>
      </c>
      <c r="D37" s="227"/>
      <c r="E37" s="265"/>
      <c r="F37" s="76"/>
      <c r="G37" s="359"/>
      <c r="H37" s="76"/>
      <c r="I37" s="76"/>
      <c r="J37" s="76"/>
    </row>
    <row r="38" spans="2:10">
      <c r="B38" s="111" t="s">
        <v>31</v>
      </c>
      <c r="C38" s="192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201" t="s">
        <v>34</v>
      </c>
      <c r="D39" s="228">
        <v>6464.64</v>
      </c>
      <c r="E39" s="266">
        <v>676.65</v>
      </c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-115259.22</v>
      </c>
      <c r="E40" s="271">
        <v>161288.68</v>
      </c>
      <c r="G40" s="80"/>
    </row>
    <row r="41" spans="2:10" ht="13.5" thickBot="1">
      <c r="B41" s="106" t="s">
        <v>37</v>
      </c>
      <c r="C41" s="107" t="s">
        <v>38</v>
      </c>
      <c r="D41" s="230">
        <v>2610714.34</v>
      </c>
      <c r="E41" s="155">
        <f>E26+E27+E40</f>
        <v>2034122.7199999995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203" t="s">
        <v>40</v>
      </c>
      <c r="D47" s="231">
        <v>448474.96818800003</v>
      </c>
      <c r="E47" s="79">
        <v>344905.10879999999</v>
      </c>
      <c r="G47" s="76"/>
    </row>
    <row r="48" spans="2:10">
      <c r="B48" s="130" t="s">
        <v>6</v>
      </c>
      <c r="C48" s="205" t="s">
        <v>41</v>
      </c>
      <c r="D48" s="232">
        <v>361925.27889999998</v>
      </c>
      <c r="E48" s="79">
        <v>301836.72122100001</v>
      </c>
      <c r="G48" s="166"/>
    </row>
    <row r="49" spans="2:7">
      <c r="B49" s="127" t="s">
        <v>23</v>
      </c>
      <c r="C49" s="131" t="s">
        <v>113</v>
      </c>
      <c r="D49" s="233"/>
      <c r="E49" s="79"/>
    </row>
    <row r="50" spans="2:7">
      <c r="B50" s="109" t="s">
        <v>4</v>
      </c>
      <c r="C50" s="203" t="s">
        <v>40</v>
      </c>
      <c r="D50" s="231">
        <v>7.5382160000000002</v>
      </c>
      <c r="E50" s="79">
        <v>6.2666519999999997</v>
      </c>
      <c r="G50" s="190"/>
    </row>
    <row r="51" spans="2:7">
      <c r="B51" s="109" t="s">
        <v>6</v>
      </c>
      <c r="C51" s="203" t="s">
        <v>114</v>
      </c>
      <c r="D51" s="234">
        <v>7.1597169999999997</v>
      </c>
      <c r="E51" s="79">
        <v>6.2491539999999999</v>
      </c>
      <c r="G51" s="190"/>
    </row>
    <row r="52" spans="2:7" ht="12.75" customHeight="1">
      <c r="B52" s="109" t="s">
        <v>8</v>
      </c>
      <c r="C52" s="203" t="s">
        <v>115</v>
      </c>
      <c r="D52" s="234">
        <v>7.97018</v>
      </c>
      <c r="E52" s="79">
        <v>6.9216569999999997</v>
      </c>
    </row>
    <row r="53" spans="2:7" ht="13.5" thickBot="1">
      <c r="B53" s="110" t="s">
        <v>9</v>
      </c>
      <c r="C53" s="207" t="s">
        <v>41</v>
      </c>
      <c r="D53" s="235">
        <v>7.2134070000000001</v>
      </c>
      <c r="E53" s="272">
        <v>6.7391490000000003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D64+D69</f>
        <v>2032548.93</v>
      </c>
      <c r="E58" s="32">
        <f>D58/E21</f>
        <v>0.99922630528407841</v>
      </c>
    </row>
    <row r="59" spans="2:7" ht="25.5">
      <c r="B59" s="204" t="s">
        <v>4</v>
      </c>
      <c r="C59" s="205" t="s">
        <v>44</v>
      </c>
      <c r="D59" s="86">
        <v>0</v>
      </c>
      <c r="E59" s="87">
        <v>0</v>
      </c>
    </row>
    <row r="60" spans="2:7" ht="24" customHeight="1">
      <c r="B60" s="202" t="s">
        <v>6</v>
      </c>
      <c r="C60" s="203" t="s">
        <v>45</v>
      </c>
      <c r="D60" s="84">
        <v>0</v>
      </c>
      <c r="E60" s="85">
        <v>0</v>
      </c>
    </row>
    <row r="61" spans="2:7">
      <c r="B61" s="202" t="s">
        <v>8</v>
      </c>
      <c r="C61" s="203" t="s">
        <v>46</v>
      </c>
      <c r="D61" s="84">
        <v>0</v>
      </c>
      <c r="E61" s="85">
        <v>0</v>
      </c>
    </row>
    <row r="62" spans="2:7">
      <c r="B62" s="202" t="s">
        <v>9</v>
      </c>
      <c r="C62" s="203" t="s">
        <v>47</v>
      </c>
      <c r="D62" s="84">
        <v>0</v>
      </c>
      <c r="E62" s="85">
        <v>0</v>
      </c>
    </row>
    <row r="63" spans="2:7">
      <c r="B63" s="202" t="s">
        <v>29</v>
      </c>
      <c r="C63" s="203" t="s">
        <v>48</v>
      </c>
      <c r="D63" s="84">
        <v>0</v>
      </c>
      <c r="E63" s="85">
        <v>0</v>
      </c>
    </row>
    <row r="64" spans="2:7">
      <c r="B64" s="204" t="s">
        <v>31</v>
      </c>
      <c r="C64" s="205" t="s">
        <v>49</v>
      </c>
      <c r="D64" s="86">
        <v>2029199.73</v>
      </c>
      <c r="E64" s="87">
        <f>D64/E21</f>
        <v>0.99757979695541676</v>
      </c>
    </row>
    <row r="65" spans="2:7">
      <c r="B65" s="204" t="s">
        <v>33</v>
      </c>
      <c r="C65" s="205" t="s">
        <v>118</v>
      </c>
      <c r="D65" s="86">
        <v>0</v>
      </c>
      <c r="E65" s="87">
        <v>0</v>
      </c>
    </row>
    <row r="66" spans="2:7">
      <c r="B66" s="204" t="s">
        <v>50</v>
      </c>
      <c r="C66" s="205" t="s">
        <v>51</v>
      </c>
      <c r="D66" s="86">
        <v>0</v>
      </c>
      <c r="E66" s="87">
        <v>0</v>
      </c>
    </row>
    <row r="67" spans="2:7">
      <c r="B67" s="202" t="s">
        <v>52</v>
      </c>
      <c r="C67" s="203" t="s">
        <v>53</v>
      </c>
      <c r="D67" s="84">
        <v>0</v>
      </c>
      <c r="E67" s="85">
        <v>0</v>
      </c>
    </row>
    <row r="68" spans="2:7">
      <c r="B68" s="202" t="s">
        <v>54</v>
      </c>
      <c r="C68" s="203" t="s">
        <v>55</v>
      </c>
      <c r="D68" s="84">
        <v>0</v>
      </c>
      <c r="E68" s="85">
        <v>0</v>
      </c>
      <c r="G68" s="70"/>
    </row>
    <row r="69" spans="2:7">
      <c r="B69" s="202" t="s">
        <v>56</v>
      </c>
      <c r="C69" s="203" t="s">
        <v>57</v>
      </c>
      <c r="D69" s="320">
        <v>3349.2</v>
      </c>
      <c r="E69" s="85">
        <f>D69/E21</f>
        <v>1.6465083286617043E-3</v>
      </c>
    </row>
    <row r="70" spans="2:7">
      <c r="B70" s="277" t="s">
        <v>58</v>
      </c>
      <c r="C70" s="276" t="s">
        <v>59</v>
      </c>
      <c r="D70" s="121">
        <v>0</v>
      </c>
      <c r="E70" s="122">
        <v>0</v>
      </c>
    </row>
    <row r="71" spans="2:7">
      <c r="B71" s="137" t="s">
        <v>23</v>
      </c>
      <c r="C71" s="128" t="s">
        <v>61</v>
      </c>
      <c r="D71" s="129">
        <v>0</v>
      </c>
      <c r="E71" s="69">
        <v>0</v>
      </c>
    </row>
    <row r="72" spans="2:7">
      <c r="B72" s="138" t="s">
        <v>60</v>
      </c>
      <c r="C72" s="124" t="s">
        <v>63</v>
      </c>
      <c r="D72" s="125">
        <f>E14</f>
        <v>4800</v>
      </c>
      <c r="E72" s="126">
        <f>D72/E21</f>
        <v>2.3597396326215754E-3</v>
      </c>
    </row>
    <row r="73" spans="2:7">
      <c r="B73" s="139" t="s">
        <v>62</v>
      </c>
      <c r="C73" s="24" t="s">
        <v>65</v>
      </c>
      <c r="D73" s="25">
        <f>E17</f>
        <v>3226.21</v>
      </c>
      <c r="E73" s="26">
        <f>D73/E21</f>
        <v>1.586044916700011E-3</v>
      </c>
    </row>
    <row r="74" spans="2:7">
      <c r="B74" s="137" t="s">
        <v>64</v>
      </c>
      <c r="C74" s="128" t="s">
        <v>66</v>
      </c>
      <c r="D74" s="129">
        <f>D58+D72-D73</f>
        <v>2034122.72</v>
      </c>
      <c r="E74" s="69">
        <f>E58+E72-E73</f>
        <v>1</v>
      </c>
    </row>
    <row r="75" spans="2:7">
      <c r="B75" s="202" t="s">
        <v>4</v>
      </c>
      <c r="C75" s="203" t="s">
        <v>67</v>
      </c>
      <c r="D75" s="84">
        <f>D74</f>
        <v>2034122.72</v>
      </c>
      <c r="E75" s="85">
        <f>E74</f>
        <v>1</v>
      </c>
    </row>
    <row r="76" spans="2:7">
      <c r="B76" s="202" t="s">
        <v>6</v>
      </c>
      <c r="C76" s="203" t="s">
        <v>119</v>
      </c>
      <c r="D76" s="84">
        <v>0</v>
      </c>
      <c r="E76" s="85">
        <v>0</v>
      </c>
    </row>
    <row r="77" spans="2:7" ht="13.5" thickBot="1">
      <c r="B77" s="206" t="s">
        <v>8</v>
      </c>
      <c r="C77" s="207" t="s">
        <v>120</v>
      </c>
      <c r="D77" s="88">
        <v>0</v>
      </c>
      <c r="E77" s="89">
        <v>0</v>
      </c>
    </row>
    <row r="78" spans="2:7">
      <c r="B78" s="1"/>
      <c r="C78" s="1"/>
      <c r="D78" s="2"/>
      <c r="E78" s="2"/>
    </row>
    <row r="79" spans="2:7">
      <c r="B79" s="1"/>
      <c r="C79" s="1"/>
      <c r="D79" s="2"/>
      <c r="E79" s="2"/>
    </row>
    <row r="80" spans="2:7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48" right="0.75" top="0.56999999999999995" bottom="0.4" header="0.5" footer="0.5"/>
  <pageSetup paperSize="9" scale="7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8"/>
  <dimension ref="A1:L81"/>
  <sheetViews>
    <sheetView zoomScale="80" zoomScaleNormal="80" workbookViewId="0">
      <selection activeCell="G18" sqref="G18:L4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76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3537319.1199999996</v>
      </c>
      <c r="E11" s="284">
        <f>SUM(E12:E14)</f>
        <v>3185606.8200000003</v>
      </c>
    </row>
    <row r="12" spans="2:12">
      <c r="B12" s="113" t="s">
        <v>4</v>
      </c>
      <c r="C12" s="6" t="s">
        <v>5</v>
      </c>
      <c r="D12" s="329">
        <v>3537319.1199999996</v>
      </c>
      <c r="E12" s="353">
        <f>3172684.62+4321.93+0.27</f>
        <v>3177006.8200000003</v>
      </c>
      <c r="G12" s="70"/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>
        <f>E15</f>
        <v>8600</v>
      </c>
    </row>
    <row r="15" spans="2:12">
      <c r="B15" s="113" t="s">
        <v>106</v>
      </c>
      <c r="C15" s="71" t="s">
        <v>11</v>
      </c>
      <c r="D15" s="322"/>
      <c r="E15" s="354">
        <v>8600</v>
      </c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>
        <v>10232.66</v>
      </c>
      <c r="E17" s="356">
        <f>E18</f>
        <v>5087.24</v>
      </c>
    </row>
    <row r="18" spans="2:11">
      <c r="B18" s="113" t="s">
        <v>4</v>
      </c>
      <c r="C18" s="6" t="s">
        <v>11</v>
      </c>
      <c r="D18" s="324">
        <v>10232.66</v>
      </c>
      <c r="E18" s="355">
        <v>5087.24</v>
      </c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3527086.4599999995</v>
      </c>
      <c r="E21" s="155">
        <f>E11-E17</f>
        <v>3180519.58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95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4283636.46</v>
      </c>
      <c r="E26" s="270">
        <f>D21</f>
        <v>3527086.4599999995</v>
      </c>
      <c r="G26" s="80"/>
    </row>
    <row r="27" spans="2:11">
      <c r="B27" s="9" t="s">
        <v>17</v>
      </c>
      <c r="C27" s="10" t="s">
        <v>111</v>
      </c>
      <c r="D27" s="226">
        <v>-357652.07</v>
      </c>
      <c r="E27" s="263">
        <f>E28-E32</f>
        <v>-372899.97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1996.37</v>
      </c>
      <c r="E28" s="264">
        <f>SUM(E29:E31)</f>
        <v>0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227"/>
      <c r="E29" s="265"/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227">
        <v>1996.37</v>
      </c>
      <c r="E31" s="265"/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359648.44</v>
      </c>
      <c r="E32" s="264">
        <f>SUM(E33:E39)</f>
        <v>372899.97</v>
      </c>
      <c r="F32" s="76"/>
      <c r="G32" s="368"/>
      <c r="H32" s="76"/>
      <c r="I32" s="76"/>
      <c r="J32" s="76"/>
    </row>
    <row r="33" spans="2:10">
      <c r="B33" s="111" t="s">
        <v>4</v>
      </c>
      <c r="C33" s="6" t="s">
        <v>25</v>
      </c>
      <c r="D33" s="227">
        <v>346186.93</v>
      </c>
      <c r="E33" s="265">
        <v>333180.52</v>
      </c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13461.51</v>
      </c>
      <c r="E35" s="265">
        <v>13667.23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/>
      <c r="E37" s="265"/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/>
      <c r="E39" s="266">
        <v>26052.22</v>
      </c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-63318.91</v>
      </c>
      <c r="E40" s="271">
        <v>26333.09</v>
      </c>
      <c r="G40" s="80"/>
    </row>
    <row r="41" spans="2:10" ht="13.5" thickBot="1">
      <c r="B41" s="106" t="s">
        <v>37</v>
      </c>
      <c r="C41" s="107" t="s">
        <v>38</v>
      </c>
      <c r="D41" s="230">
        <v>3862665.48</v>
      </c>
      <c r="E41" s="155">
        <f>E26+E27+E40</f>
        <v>3180519.5799999991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385900.97203200002</v>
      </c>
      <c r="E47" s="79">
        <v>337432.93696999998</v>
      </c>
      <c r="G47" s="76"/>
    </row>
    <row r="48" spans="2:10">
      <c r="B48" s="130" t="s">
        <v>6</v>
      </c>
      <c r="C48" s="22" t="s">
        <v>41</v>
      </c>
      <c r="D48" s="232">
        <v>353913.209156</v>
      </c>
      <c r="E48" s="79">
        <v>302008.72700200003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11.100350000000001</v>
      </c>
      <c r="E50" s="79">
        <v>10.452704000000001</v>
      </c>
      <c r="G50" s="190"/>
    </row>
    <row r="51" spans="2:7">
      <c r="B51" s="109" t="s">
        <v>6</v>
      </c>
      <c r="C51" s="15" t="s">
        <v>114</v>
      </c>
      <c r="D51" s="234">
        <v>10.872199999999999</v>
      </c>
      <c r="E51" s="81">
        <v>10.422288999999999</v>
      </c>
      <c r="G51" s="190"/>
    </row>
    <row r="52" spans="2:7" ht="12" customHeight="1">
      <c r="B52" s="109" t="s">
        <v>8</v>
      </c>
      <c r="C52" s="15" t="s">
        <v>115</v>
      </c>
      <c r="D52" s="234">
        <v>11.4299</v>
      </c>
      <c r="E52" s="81">
        <v>10.646007000000001</v>
      </c>
    </row>
    <row r="53" spans="2:7" ht="13.5" thickBot="1">
      <c r="B53" s="110" t="s">
        <v>9</v>
      </c>
      <c r="C53" s="17" t="s">
        <v>41</v>
      </c>
      <c r="D53" s="235">
        <v>10.914160000000001</v>
      </c>
      <c r="E53" s="272">
        <v>10.531217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D64+D69</f>
        <v>3177006.8200000003</v>
      </c>
      <c r="E58" s="32">
        <f>D58/E21</f>
        <v>0.9988955389483879</v>
      </c>
    </row>
    <row r="59" spans="2:7" ht="25.5">
      <c r="B59" s="204" t="s">
        <v>4</v>
      </c>
      <c r="C59" s="205" t="s">
        <v>44</v>
      </c>
      <c r="D59" s="86">
        <v>0</v>
      </c>
      <c r="E59" s="87">
        <v>0</v>
      </c>
    </row>
    <row r="60" spans="2:7" ht="24" customHeight="1">
      <c r="B60" s="202" t="s">
        <v>6</v>
      </c>
      <c r="C60" s="203" t="s">
        <v>45</v>
      </c>
      <c r="D60" s="84">
        <v>0</v>
      </c>
      <c r="E60" s="85">
        <v>0</v>
      </c>
    </row>
    <row r="61" spans="2:7">
      <c r="B61" s="202" t="s">
        <v>8</v>
      </c>
      <c r="C61" s="203" t="s">
        <v>46</v>
      </c>
      <c r="D61" s="84">
        <v>0</v>
      </c>
      <c r="E61" s="85">
        <v>0</v>
      </c>
    </row>
    <row r="62" spans="2:7">
      <c r="B62" s="202" t="s">
        <v>9</v>
      </c>
      <c r="C62" s="203" t="s">
        <v>47</v>
      </c>
      <c r="D62" s="84">
        <v>0</v>
      </c>
      <c r="E62" s="85">
        <v>0</v>
      </c>
    </row>
    <row r="63" spans="2:7">
      <c r="B63" s="202" t="s">
        <v>29</v>
      </c>
      <c r="C63" s="203" t="s">
        <v>48</v>
      </c>
      <c r="D63" s="84">
        <v>0</v>
      </c>
      <c r="E63" s="85">
        <v>0</v>
      </c>
    </row>
    <row r="64" spans="2:7">
      <c r="B64" s="204" t="s">
        <v>31</v>
      </c>
      <c r="C64" s="205" t="s">
        <v>49</v>
      </c>
      <c r="D64" s="86">
        <v>3172684.62</v>
      </c>
      <c r="E64" s="87">
        <f>D64/E21</f>
        <v>0.99753657859889677</v>
      </c>
    </row>
    <row r="65" spans="2:5">
      <c r="B65" s="204" t="s">
        <v>33</v>
      </c>
      <c r="C65" s="205" t="s">
        <v>118</v>
      </c>
      <c r="D65" s="86">
        <v>0</v>
      </c>
      <c r="E65" s="87">
        <v>0</v>
      </c>
    </row>
    <row r="66" spans="2:5">
      <c r="B66" s="204" t="s">
        <v>50</v>
      </c>
      <c r="C66" s="205" t="s">
        <v>51</v>
      </c>
      <c r="D66" s="86">
        <v>0</v>
      </c>
      <c r="E66" s="87">
        <v>0</v>
      </c>
    </row>
    <row r="67" spans="2:5">
      <c r="B67" s="202" t="s">
        <v>52</v>
      </c>
      <c r="C67" s="203" t="s">
        <v>53</v>
      </c>
      <c r="D67" s="84">
        <v>0</v>
      </c>
      <c r="E67" s="85">
        <v>0</v>
      </c>
    </row>
    <row r="68" spans="2:5">
      <c r="B68" s="202" t="s">
        <v>54</v>
      </c>
      <c r="C68" s="203" t="s">
        <v>55</v>
      </c>
      <c r="D68" s="84">
        <v>0</v>
      </c>
      <c r="E68" s="85">
        <v>0</v>
      </c>
    </row>
    <row r="69" spans="2:5">
      <c r="B69" s="202" t="s">
        <v>56</v>
      </c>
      <c r="C69" s="203" t="s">
        <v>57</v>
      </c>
      <c r="D69" s="320">
        <v>4322.2000000000007</v>
      </c>
      <c r="E69" s="85">
        <f>D69/E21</f>
        <v>1.358960349491073E-3</v>
      </c>
    </row>
    <row r="70" spans="2:5">
      <c r="B70" s="277" t="s">
        <v>58</v>
      </c>
      <c r="C70" s="276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8600</v>
      </c>
      <c r="E72" s="126">
        <f>D72/E21</f>
        <v>2.7039607157519842E-3</v>
      </c>
    </row>
    <row r="73" spans="2:5">
      <c r="B73" s="139" t="s">
        <v>62</v>
      </c>
      <c r="C73" s="24" t="s">
        <v>65</v>
      </c>
      <c r="D73" s="25">
        <f>E17</f>
        <v>5087.24</v>
      </c>
      <c r="E73" s="26">
        <f>D73/E21</f>
        <v>1.5994996641397817E-3</v>
      </c>
    </row>
    <row r="74" spans="2:5">
      <c r="B74" s="137" t="s">
        <v>64</v>
      </c>
      <c r="C74" s="128" t="s">
        <v>66</v>
      </c>
      <c r="D74" s="129">
        <f>D58+D72-D73</f>
        <v>3180519.58</v>
      </c>
      <c r="E74" s="69">
        <f>E58+E72-E73</f>
        <v>1.0000000000000002</v>
      </c>
    </row>
    <row r="75" spans="2:5">
      <c r="B75" s="202" t="s">
        <v>4</v>
      </c>
      <c r="C75" s="203" t="s">
        <v>67</v>
      </c>
      <c r="D75" s="84">
        <f>D74</f>
        <v>3180519.58</v>
      </c>
      <c r="E75" s="85">
        <f>E74</f>
        <v>1.0000000000000002</v>
      </c>
    </row>
    <row r="76" spans="2:5">
      <c r="B76" s="202" t="s">
        <v>6</v>
      </c>
      <c r="C76" s="203" t="s">
        <v>119</v>
      </c>
      <c r="D76" s="84">
        <v>0</v>
      </c>
      <c r="E76" s="85">
        <v>0</v>
      </c>
    </row>
    <row r="77" spans="2:5" ht="13.5" thickBot="1">
      <c r="B77" s="206" t="s">
        <v>8</v>
      </c>
      <c r="C77" s="20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055118110236227" right="0.74803149606299213" top="0.59055118110236227" bottom="0.55118110236220474" header="0.51181102362204722" footer="0.51181102362204722"/>
  <pageSetup paperSize="9" scale="70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9"/>
  <dimension ref="A1:L81"/>
  <sheetViews>
    <sheetView zoomScale="80" zoomScaleNormal="80" workbookViewId="0">
      <selection activeCell="J21" sqref="J21:K2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75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282"/>
      <c r="C10" s="246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4711286.1800000006</v>
      </c>
      <c r="E11" s="284">
        <f>SUM(E12:E14)</f>
        <v>4519301.68</v>
      </c>
    </row>
    <row r="12" spans="2:12">
      <c r="B12" s="191" t="s">
        <v>4</v>
      </c>
      <c r="C12" s="192" t="s">
        <v>5</v>
      </c>
      <c r="D12" s="329">
        <v>4711286.1800000006</v>
      </c>
      <c r="E12" s="353">
        <f>4501034.38+6166.91+0.39</f>
        <v>4507201.68</v>
      </c>
      <c r="G12" s="70"/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>
        <f>E15</f>
        <v>12100</v>
      </c>
      <c r="G14" s="70"/>
    </row>
    <row r="15" spans="2:12">
      <c r="B15" s="191" t="s">
        <v>106</v>
      </c>
      <c r="C15" s="193" t="s">
        <v>11</v>
      </c>
      <c r="D15" s="322"/>
      <c r="E15" s="354">
        <v>12100</v>
      </c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>
        <v>8245.369999999999</v>
      </c>
      <c r="E17" s="356">
        <f>E18</f>
        <v>7170.67</v>
      </c>
    </row>
    <row r="18" spans="2:11">
      <c r="B18" s="191" t="s">
        <v>4</v>
      </c>
      <c r="C18" s="192" t="s">
        <v>11</v>
      </c>
      <c r="D18" s="324">
        <v>8245.369999999999</v>
      </c>
      <c r="E18" s="355">
        <v>7170.67</v>
      </c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4703040.8100000005</v>
      </c>
      <c r="E21" s="155">
        <f>E11-E17</f>
        <v>4512131.01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82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5409613.1999999993</v>
      </c>
      <c r="E26" s="270">
        <f>D21</f>
        <v>4703040.8100000005</v>
      </c>
      <c r="G26" s="80"/>
    </row>
    <row r="27" spans="2:11">
      <c r="B27" s="9" t="s">
        <v>17</v>
      </c>
      <c r="C27" s="10" t="s">
        <v>111</v>
      </c>
      <c r="D27" s="226">
        <v>-243450.33</v>
      </c>
      <c r="E27" s="263">
        <f>E28-E32</f>
        <v>-243125.91</v>
      </c>
      <c r="F27" s="76"/>
      <c r="G27" s="359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359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359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243450.33</v>
      </c>
      <c r="E32" s="264">
        <f>SUM(E33:E39)</f>
        <v>243125.91</v>
      </c>
      <c r="F32" s="76"/>
      <c r="G32" s="359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220279.33</v>
      </c>
      <c r="E33" s="265">
        <v>222160.69</v>
      </c>
      <c r="F33" s="76"/>
      <c r="G33" s="359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19191.400000000001</v>
      </c>
      <c r="E35" s="265">
        <v>20953.46</v>
      </c>
      <c r="F35" s="76"/>
      <c r="G35" s="359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99" t="s">
        <v>29</v>
      </c>
      <c r="C37" s="192" t="s">
        <v>30</v>
      </c>
      <c r="D37" s="227"/>
      <c r="E37" s="265"/>
      <c r="F37" s="76"/>
      <c r="G37" s="359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3979.6</v>
      </c>
      <c r="E39" s="266">
        <v>11.76</v>
      </c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-64904.05</v>
      </c>
      <c r="E40" s="271">
        <v>52216.11</v>
      </c>
      <c r="G40" s="80"/>
      <c r="H40" s="70"/>
    </row>
    <row r="41" spans="2:10" ht="13.5" thickBot="1">
      <c r="B41" s="106" t="s">
        <v>37</v>
      </c>
      <c r="C41" s="107" t="s">
        <v>38</v>
      </c>
      <c r="D41" s="230">
        <v>5101258.8199999994</v>
      </c>
      <c r="E41" s="155">
        <f>E26+E27+E40</f>
        <v>4512131.0100000007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82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531672.55431000004</v>
      </c>
      <c r="E47" s="79">
        <v>486028.44018899999</v>
      </c>
      <c r="G47" s="76"/>
    </row>
    <row r="48" spans="2:10">
      <c r="B48" s="204" t="s">
        <v>6</v>
      </c>
      <c r="C48" s="205" t="s">
        <v>41</v>
      </c>
      <c r="D48" s="232">
        <v>507961.76468899997</v>
      </c>
      <c r="E48" s="79">
        <v>461137.27739200002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202" t="s">
        <v>4</v>
      </c>
      <c r="C50" s="203" t="s">
        <v>40</v>
      </c>
      <c r="D50" s="231">
        <v>10.174707</v>
      </c>
      <c r="E50" s="79">
        <v>9.6764720000000004</v>
      </c>
      <c r="G50" s="190"/>
    </row>
    <row r="51" spans="2:7">
      <c r="B51" s="202" t="s">
        <v>6</v>
      </c>
      <c r="C51" s="203" t="s">
        <v>114</v>
      </c>
      <c r="D51" s="231">
        <v>10.020820000000001</v>
      </c>
      <c r="E51" s="79">
        <v>9.6598679999999995</v>
      </c>
      <c r="G51" s="190"/>
    </row>
    <row r="52" spans="2:7" ht="12.75" customHeight="1">
      <c r="B52" s="202" t="s">
        <v>8</v>
      </c>
      <c r="C52" s="203" t="s">
        <v>115</v>
      </c>
      <c r="D52" s="234">
        <v>10.523999999999999</v>
      </c>
      <c r="E52" s="81">
        <v>9.8492879999999996</v>
      </c>
    </row>
    <row r="53" spans="2:7" ht="13.5" thickBot="1">
      <c r="B53" s="206" t="s">
        <v>9</v>
      </c>
      <c r="C53" s="207" t="s">
        <v>41</v>
      </c>
      <c r="D53" s="235">
        <v>10.042604000000001</v>
      </c>
      <c r="E53" s="272">
        <v>9.7847880000000007</v>
      </c>
    </row>
    <row r="54" spans="2:7">
      <c r="B54" s="208"/>
      <c r="C54" s="209"/>
      <c r="D54" s="118"/>
      <c r="E54" s="118"/>
    </row>
    <row r="55" spans="2:7" ht="13.5">
      <c r="B55" s="500" t="s">
        <v>62</v>
      </c>
      <c r="C55" s="512"/>
      <c r="D55" s="512"/>
      <c r="E55" s="512"/>
    </row>
    <row r="56" spans="2:7" ht="16.5" customHeight="1" thickBot="1">
      <c r="B56" s="498" t="s">
        <v>116</v>
      </c>
      <c r="C56" s="511"/>
      <c r="D56" s="511"/>
      <c r="E56" s="511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D64+D69</f>
        <v>4507201.68</v>
      </c>
      <c r="E58" s="32">
        <f>D58/E21</f>
        <v>0.99890753836954749</v>
      </c>
    </row>
    <row r="59" spans="2:7" ht="25.5">
      <c r="B59" s="204" t="s">
        <v>4</v>
      </c>
      <c r="C59" s="205" t="s">
        <v>44</v>
      </c>
      <c r="D59" s="86">
        <v>0</v>
      </c>
      <c r="E59" s="87">
        <v>0</v>
      </c>
    </row>
    <row r="60" spans="2:7" ht="24" customHeight="1">
      <c r="B60" s="202" t="s">
        <v>6</v>
      </c>
      <c r="C60" s="203" t="s">
        <v>45</v>
      </c>
      <c r="D60" s="84">
        <v>0</v>
      </c>
      <c r="E60" s="85">
        <v>0</v>
      </c>
    </row>
    <row r="61" spans="2:7">
      <c r="B61" s="202" t="s">
        <v>8</v>
      </c>
      <c r="C61" s="203" t="s">
        <v>46</v>
      </c>
      <c r="D61" s="84">
        <v>0</v>
      </c>
      <c r="E61" s="85">
        <v>0</v>
      </c>
    </row>
    <row r="62" spans="2:7">
      <c r="B62" s="202" t="s">
        <v>9</v>
      </c>
      <c r="C62" s="203" t="s">
        <v>47</v>
      </c>
      <c r="D62" s="84">
        <v>0</v>
      </c>
      <c r="E62" s="85">
        <v>0</v>
      </c>
    </row>
    <row r="63" spans="2:7">
      <c r="B63" s="202" t="s">
        <v>29</v>
      </c>
      <c r="C63" s="203" t="s">
        <v>48</v>
      </c>
      <c r="D63" s="84">
        <v>0</v>
      </c>
      <c r="E63" s="85">
        <v>0</v>
      </c>
    </row>
    <row r="64" spans="2:7">
      <c r="B64" s="204" t="s">
        <v>31</v>
      </c>
      <c r="C64" s="205" t="s">
        <v>49</v>
      </c>
      <c r="D64" s="86">
        <v>4501034.38</v>
      </c>
      <c r="E64" s="87">
        <f>D64/E21</f>
        <v>0.99754071192183758</v>
      </c>
    </row>
    <row r="65" spans="2:5">
      <c r="B65" s="204" t="s">
        <v>33</v>
      </c>
      <c r="C65" s="205" t="s">
        <v>118</v>
      </c>
      <c r="D65" s="86">
        <v>0</v>
      </c>
      <c r="E65" s="87">
        <v>0</v>
      </c>
    </row>
    <row r="66" spans="2:5">
      <c r="B66" s="204" t="s">
        <v>50</v>
      </c>
      <c r="C66" s="205" t="s">
        <v>51</v>
      </c>
      <c r="D66" s="86">
        <v>0</v>
      </c>
      <c r="E66" s="87">
        <v>0</v>
      </c>
    </row>
    <row r="67" spans="2:5">
      <c r="B67" s="202" t="s">
        <v>52</v>
      </c>
      <c r="C67" s="203" t="s">
        <v>53</v>
      </c>
      <c r="D67" s="84">
        <v>0</v>
      </c>
      <c r="E67" s="85">
        <v>0</v>
      </c>
    </row>
    <row r="68" spans="2:5">
      <c r="B68" s="202" t="s">
        <v>54</v>
      </c>
      <c r="C68" s="203" t="s">
        <v>55</v>
      </c>
      <c r="D68" s="84">
        <v>0</v>
      </c>
      <c r="E68" s="85">
        <v>0</v>
      </c>
    </row>
    <row r="69" spans="2:5">
      <c r="B69" s="202" t="s">
        <v>56</v>
      </c>
      <c r="C69" s="203" t="s">
        <v>57</v>
      </c>
      <c r="D69" s="320">
        <v>6167.3</v>
      </c>
      <c r="E69" s="85">
        <f>D69/E21</f>
        <v>1.3668264477099039E-3</v>
      </c>
    </row>
    <row r="70" spans="2:5">
      <c r="B70" s="277" t="s">
        <v>58</v>
      </c>
      <c r="C70" s="276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12100</v>
      </c>
      <c r="E72" s="126">
        <f>D72/E21</f>
        <v>2.6816597242374841E-3</v>
      </c>
    </row>
    <row r="73" spans="2:5">
      <c r="B73" s="139" t="s">
        <v>62</v>
      </c>
      <c r="C73" s="24" t="s">
        <v>65</v>
      </c>
      <c r="D73" s="25">
        <f>E17</f>
        <v>7170.67</v>
      </c>
      <c r="E73" s="26">
        <f>D73/E21</f>
        <v>1.5891980937849587E-3</v>
      </c>
    </row>
    <row r="74" spans="2:5">
      <c r="B74" s="137" t="s">
        <v>64</v>
      </c>
      <c r="C74" s="128" t="s">
        <v>66</v>
      </c>
      <c r="D74" s="129">
        <f>D58+D72-D73</f>
        <v>4512131.01</v>
      </c>
      <c r="E74" s="69">
        <f>E58+E72-E73</f>
        <v>1</v>
      </c>
    </row>
    <row r="75" spans="2:5">
      <c r="B75" s="202" t="s">
        <v>4</v>
      </c>
      <c r="C75" s="203" t="s">
        <v>67</v>
      </c>
      <c r="D75" s="84">
        <f>D74</f>
        <v>4512131.01</v>
      </c>
      <c r="E75" s="85">
        <f>E74</f>
        <v>1</v>
      </c>
    </row>
    <row r="76" spans="2:5">
      <c r="B76" s="202" t="s">
        <v>6</v>
      </c>
      <c r="C76" s="203" t="s">
        <v>119</v>
      </c>
      <c r="D76" s="84">
        <v>0</v>
      </c>
      <c r="E76" s="85">
        <v>0</v>
      </c>
    </row>
    <row r="77" spans="2:5" ht="13.5" thickBot="1">
      <c r="B77" s="206" t="s">
        <v>8</v>
      </c>
      <c r="C77" s="20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L81"/>
  <sheetViews>
    <sheetView zoomScale="80" zoomScaleNormal="80" workbookViewId="0">
      <selection activeCell="G20" sqref="G20:L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9.140625" customWidth="1"/>
    <col min="8" max="8" width="22" customWidth="1"/>
    <col min="9" max="9" width="13.28515625" customWidth="1"/>
    <col min="10" max="10" width="16.5703125" customWidth="1"/>
    <col min="11" max="11" width="18" customWidth="1"/>
    <col min="12" max="12" width="14.5703125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2"/>
      <c r="C4" s="92"/>
      <c r="D4" s="92"/>
      <c r="E4" s="92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86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  <c r="G9" s="219"/>
    </row>
    <row r="10" spans="2:12" ht="13.5" thickBot="1">
      <c r="B10" s="93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214" t="s">
        <v>109</v>
      </c>
      <c r="D11" s="283">
        <v>217054880.88000003</v>
      </c>
      <c r="E11" s="284">
        <f>SUM(E12:E14)</f>
        <v>223016911.60999998</v>
      </c>
    </row>
    <row r="12" spans="2:12">
      <c r="B12" s="113" t="s">
        <v>4</v>
      </c>
      <c r="C12" s="71" t="s">
        <v>5</v>
      </c>
      <c r="D12" s="329">
        <v>216250237.36000001</v>
      </c>
      <c r="E12" s="353">
        <f>227803382.9+290628.69+7.96-5605877.61</f>
        <v>222488141.94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>
        <v>804643.52</v>
      </c>
      <c r="E14" s="354">
        <f>E15</f>
        <v>528769.67000000004</v>
      </c>
    </row>
    <row r="15" spans="2:12">
      <c r="B15" s="113" t="s">
        <v>106</v>
      </c>
      <c r="C15" s="71" t="s">
        <v>11</v>
      </c>
      <c r="D15" s="322">
        <v>804643.52</v>
      </c>
      <c r="E15" s="354">
        <v>528769.67000000004</v>
      </c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248" t="s">
        <v>65</v>
      </c>
      <c r="D17" s="325">
        <v>495508.66</v>
      </c>
      <c r="E17" s="356">
        <f>E18</f>
        <v>302473.23</v>
      </c>
    </row>
    <row r="18" spans="2:11">
      <c r="B18" s="113" t="s">
        <v>4</v>
      </c>
      <c r="C18" s="71" t="s">
        <v>11</v>
      </c>
      <c r="D18" s="324">
        <v>495508.66</v>
      </c>
      <c r="E18" s="355">
        <v>302473.23</v>
      </c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customHeight="1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216559372.22000003</v>
      </c>
      <c r="E21" s="155">
        <f>E11-E17</f>
        <v>222714438.38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6.5" customHeight="1" thickBot="1">
      <c r="B24" s="498" t="s">
        <v>105</v>
      </c>
      <c r="C24" s="508"/>
      <c r="D24" s="508"/>
      <c r="E24" s="508"/>
    </row>
    <row r="25" spans="2:11" ht="13.5" thickBot="1">
      <c r="B25" s="93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245152416.87</v>
      </c>
      <c r="E26" s="270">
        <f>D21</f>
        <v>216559372.22000003</v>
      </c>
    </row>
    <row r="27" spans="2:11">
      <c r="B27" s="9" t="s">
        <v>17</v>
      </c>
      <c r="C27" s="10" t="s">
        <v>111</v>
      </c>
      <c r="D27" s="226">
        <v>-4236436.3699999955</v>
      </c>
      <c r="E27" s="263">
        <f>E28-E32</f>
        <v>-2805054.8099999987</v>
      </c>
      <c r="F27" s="76"/>
      <c r="G27" s="76"/>
      <c r="H27" s="359"/>
      <c r="I27" s="359"/>
      <c r="J27" s="359"/>
    </row>
    <row r="28" spans="2:11">
      <c r="B28" s="9" t="s">
        <v>18</v>
      </c>
      <c r="C28" s="10" t="s">
        <v>19</v>
      </c>
      <c r="D28" s="226">
        <v>15191700.290000001</v>
      </c>
      <c r="E28" s="264">
        <f>SUM(E29:E31)</f>
        <v>13688917.970000001</v>
      </c>
      <c r="F28" s="76"/>
      <c r="G28" s="76"/>
      <c r="H28" s="359"/>
      <c r="I28" s="359"/>
      <c r="J28" s="359"/>
    </row>
    <row r="29" spans="2:11">
      <c r="B29" s="111" t="s">
        <v>4</v>
      </c>
      <c r="C29" s="6" t="s">
        <v>20</v>
      </c>
      <c r="D29" s="227">
        <v>14484107.74</v>
      </c>
      <c r="E29" s="265">
        <v>13229104.380000001</v>
      </c>
      <c r="F29" s="76"/>
      <c r="G29" s="76"/>
      <c r="H29" s="359"/>
      <c r="I29" s="359"/>
      <c r="J29" s="359"/>
    </row>
    <row r="30" spans="2:11">
      <c r="B30" s="111" t="s">
        <v>6</v>
      </c>
      <c r="C30" s="6" t="s">
        <v>21</v>
      </c>
      <c r="D30" s="227"/>
      <c r="E30" s="265"/>
      <c r="F30" s="76"/>
      <c r="G30" s="76"/>
      <c r="H30" s="359"/>
      <c r="I30" s="359"/>
      <c r="J30" s="359"/>
    </row>
    <row r="31" spans="2:11">
      <c r="B31" s="111" t="s">
        <v>8</v>
      </c>
      <c r="C31" s="6" t="s">
        <v>22</v>
      </c>
      <c r="D31" s="227">
        <v>707592.55</v>
      </c>
      <c r="E31" s="265">
        <v>459813.59</v>
      </c>
      <c r="F31" s="76"/>
      <c r="G31" s="76"/>
      <c r="H31" s="359"/>
      <c r="I31" s="359"/>
      <c r="J31" s="359"/>
    </row>
    <row r="32" spans="2:11">
      <c r="B32" s="99" t="s">
        <v>23</v>
      </c>
      <c r="C32" s="11" t="s">
        <v>24</v>
      </c>
      <c r="D32" s="226">
        <v>19428136.659999996</v>
      </c>
      <c r="E32" s="264">
        <f>SUM(E33:E39)</f>
        <v>16493972.779999999</v>
      </c>
      <c r="F32" s="76"/>
      <c r="G32" s="76"/>
      <c r="H32" s="359"/>
      <c r="I32" s="359"/>
      <c r="J32" s="359"/>
    </row>
    <row r="33" spans="2:10">
      <c r="B33" s="111" t="s">
        <v>4</v>
      </c>
      <c r="C33" s="6" t="s">
        <v>25</v>
      </c>
      <c r="D33" s="227">
        <v>15529709.449999999</v>
      </c>
      <c r="E33" s="265">
        <f>12078290.1-147019.56</f>
        <v>11931270.539999999</v>
      </c>
      <c r="F33" s="76"/>
      <c r="G33" s="76"/>
      <c r="H33" s="359"/>
      <c r="I33" s="359"/>
      <c r="J33" s="359"/>
    </row>
    <row r="34" spans="2:10">
      <c r="B34" s="111" t="s">
        <v>6</v>
      </c>
      <c r="C34" s="6" t="s">
        <v>26</v>
      </c>
      <c r="D34" s="227"/>
      <c r="E34" s="265"/>
      <c r="F34" s="76"/>
      <c r="G34" s="76"/>
      <c r="H34" s="359"/>
      <c r="I34" s="359"/>
      <c r="J34" s="359"/>
    </row>
    <row r="35" spans="2:10">
      <c r="B35" s="111" t="s">
        <v>8</v>
      </c>
      <c r="C35" s="6" t="s">
        <v>27</v>
      </c>
      <c r="D35" s="227">
        <v>3031656.42</v>
      </c>
      <c r="E35" s="265">
        <v>2882991.52</v>
      </c>
      <c r="F35" s="76"/>
      <c r="G35" s="76"/>
      <c r="H35" s="359"/>
      <c r="I35" s="359"/>
      <c r="J35" s="359"/>
    </row>
    <row r="36" spans="2:10">
      <c r="B36" s="111" t="s">
        <v>9</v>
      </c>
      <c r="C36" s="6" t="s">
        <v>28</v>
      </c>
      <c r="D36" s="227"/>
      <c r="E36" s="265"/>
      <c r="F36" s="76"/>
      <c r="G36" s="76"/>
      <c r="H36" s="359"/>
      <c r="I36" s="359"/>
      <c r="J36" s="359"/>
    </row>
    <row r="37" spans="2:10" ht="25.5">
      <c r="B37" s="111" t="s">
        <v>29</v>
      </c>
      <c r="C37" s="6" t="s">
        <v>30</v>
      </c>
      <c r="D37" s="227"/>
      <c r="E37" s="265"/>
      <c r="F37" s="76"/>
      <c r="G37" s="76"/>
      <c r="H37" s="359"/>
      <c r="I37" s="359"/>
      <c r="J37" s="359"/>
    </row>
    <row r="38" spans="2:10">
      <c r="B38" s="111" t="s">
        <v>31</v>
      </c>
      <c r="C38" s="6" t="s">
        <v>32</v>
      </c>
      <c r="D38" s="227"/>
      <c r="E38" s="265"/>
      <c r="F38" s="76"/>
      <c r="G38" s="76"/>
      <c r="H38" s="359"/>
      <c r="I38" s="359"/>
      <c r="J38" s="359"/>
    </row>
    <row r="39" spans="2:10">
      <c r="B39" s="112" t="s">
        <v>33</v>
      </c>
      <c r="C39" s="12" t="s">
        <v>34</v>
      </c>
      <c r="D39" s="228">
        <v>866770.79</v>
      </c>
      <c r="E39" s="266">
        <v>1679710.72</v>
      </c>
      <c r="F39" s="76"/>
      <c r="G39" s="76"/>
      <c r="H39" s="359"/>
      <c r="I39" s="359"/>
      <c r="J39" s="359"/>
    </row>
    <row r="40" spans="2:10" ht="13.5" thickBot="1">
      <c r="B40" s="104" t="s">
        <v>35</v>
      </c>
      <c r="C40" s="105" t="s">
        <v>36</v>
      </c>
      <c r="D40" s="229">
        <v>-21254774.870000001</v>
      </c>
      <c r="E40" s="271">
        <v>8960120.9700000007</v>
      </c>
    </row>
    <row r="41" spans="2:10" ht="13.5" thickBot="1">
      <c r="B41" s="106" t="s">
        <v>37</v>
      </c>
      <c r="C41" s="107" t="s">
        <v>38</v>
      </c>
      <c r="D41" s="230">
        <v>219661205.63</v>
      </c>
      <c r="E41" s="155">
        <f>E26+E27+E40</f>
        <v>222714438.38000003</v>
      </c>
      <c r="F41" s="83"/>
      <c r="G41" s="70"/>
    </row>
    <row r="42" spans="2:10">
      <c r="B42" s="100"/>
      <c r="C42" s="100"/>
      <c r="D42" s="101"/>
      <c r="E42" s="101"/>
      <c r="F42" s="83"/>
    </row>
    <row r="43" spans="2:10" ht="13.5">
      <c r="B43" s="500" t="s">
        <v>60</v>
      </c>
      <c r="C43" s="501"/>
      <c r="D43" s="501"/>
      <c r="E43" s="501"/>
    </row>
    <row r="44" spans="2:10" ht="15.75" customHeight="1" thickBot="1">
      <c r="B44" s="498" t="s">
        <v>121</v>
      </c>
      <c r="C44" s="502"/>
      <c r="D44" s="502"/>
      <c r="E44" s="502"/>
    </row>
    <row r="45" spans="2:10" ht="13.5" thickBot="1">
      <c r="B45" s="93"/>
      <c r="C45" s="30" t="s">
        <v>39</v>
      </c>
      <c r="D45" s="73" t="s">
        <v>125</v>
      </c>
      <c r="E45" s="29" t="s">
        <v>145</v>
      </c>
    </row>
    <row r="46" spans="2:10">
      <c r="B46" s="13" t="s">
        <v>18</v>
      </c>
      <c r="C46" s="31" t="s">
        <v>112</v>
      </c>
      <c r="D46" s="108"/>
      <c r="E46" s="28"/>
    </row>
    <row r="47" spans="2:10">
      <c r="B47" s="109" t="s">
        <v>4</v>
      </c>
      <c r="C47" s="15" t="s">
        <v>40</v>
      </c>
      <c r="D47" s="231">
        <v>12195842.338</v>
      </c>
      <c r="E47" s="79">
        <v>11883548.877800001</v>
      </c>
      <c r="G47" s="159"/>
    </row>
    <row r="48" spans="2:10">
      <c r="B48" s="130" t="s">
        <v>6</v>
      </c>
      <c r="C48" s="22" t="s">
        <v>41</v>
      </c>
      <c r="D48" s="232">
        <v>11943894.970799999</v>
      </c>
      <c r="E48" s="309">
        <v>11748586.95764558</v>
      </c>
      <c r="G48" s="159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20.101310764341601</v>
      </c>
      <c r="E50" s="310">
        <v>18.223459544591801</v>
      </c>
      <c r="G50" s="190"/>
    </row>
    <row r="51" spans="2:7">
      <c r="B51" s="109" t="s">
        <v>6</v>
      </c>
      <c r="C51" s="15" t="s">
        <v>114</v>
      </c>
      <c r="D51" s="311">
        <v>18.124400000000001</v>
      </c>
      <c r="E51" s="312">
        <v>17.9162</v>
      </c>
      <c r="G51" s="190"/>
    </row>
    <row r="52" spans="2:7">
      <c r="B52" s="109" t="s">
        <v>8</v>
      </c>
      <c r="C52" s="15" t="s">
        <v>115</v>
      </c>
      <c r="D52" s="311">
        <v>21.191099999999999</v>
      </c>
      <c r="E52" s="312">
        <v>19.8736</v>
      </c>
    </row>
    <row r="53" spans="2:7" ht="12.75" customHeight="1" thickBot="1">
      <c r="B53" s="110" t="s">
        <v>9</v>
      </c>
      <c r="C53" s="17" t="s">
        <v>41</v>
      </c>
      <c r="D53" s="235">
        <v>18.391086506211099</v>
      </c>
      <c r="E53" s="272">
        <v>18.956700000000001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D64+D69</f>
        <v>222488141.94</v>
      </c>
      <c r="E58" s="32">
        <f>D58/E21</f>
        <v>0.99898391661696451</v>
      </c>
    </row>
    <row r="59" spans="2:7" ht="25.5">
      <c r="B59" s="21" t="s">
        <v>4</v>
      </c>
      <c r="C59" s="22" t="s">
        <v>44</v>
      </c>
      <c r="D59" s="86">
        <v>0</v>
      </c>
      <c r="E59" s="87">
        <v>0</v>
      </c>
    </row>
    <row r="60" spans="2:7" ht="25.5">
      <c r="B60" s="14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4" t="s">
        <v>8</v>
      </c>
      <c r="C61" s="15" t="s">
        <v>46</v>
      </c>
      <c r="D61" s="84">
        <v>0</v>
      </c>
      <c r="E61" s="85">
        <v>0</v>
      </c>
    </row>
    <row r="62" spans="2:7">
      <c r="B62" s="14" t="s">
        <v>9</v>
      </c>
      <c r="C62" s="15" t="s">
        <v>47</v>
      </c>
      <c r="D62" s="84">
        <v>0</v>
      </c>
      <c r="E62" s="85">
        <v>0</v>
      </c>
    </row>
    <row r="63" spans="2:7">
      <c r="B63" s="14" t="s">
        <v>29</v>
      </c>
      <c r="C63" s="15" t="s">
        <v>48</v>
      </c>
      <c r="D63" s="84">
        <v>0</v>
      </c>
      <c r="E63" s="85">
        <v>0</v>
      </c>
    </row>
    <row r="64" spans="2:7">
      <c r="B64" s="21" t="s">
        <v>31</v>
      </c>
      <c r="C64" s="22" t="s">
        <v>49</v>
      </c>
      <c r="D64" s="86">
        <f>227803382.9-5605877.61</f>
        <v>222197505.28999999</v>
      </c>
      <c r="E64" s="87">
        <f>D64/E21</f>
        <v>0.99767894217474129</v>
      </c>
    </row>
    <row r="65" spans="2:5">
      <c r="B65" s="21" t="s">
        <v>33</v>
      </c>
      <c r="C65" s="22" t="s">
        <v>118</v>
      </c>
      <c r="D65" s="86">
        <v>0</v>
      </c>
      <c r="E65" s="87">
        <v>0</v>
      </c>
    </row>
    <row r="66" spans="2:5">
      <c r="B66" s="21" t="s">
        <v>50</v>
      </c>
      <c r="C66" s="22" t="s">
        <v>51</v>
      </c>
      <c r="D66" s="86">
        <v>0</v>
      </c>
      <c r="E66" s="87">
        <v>0</v>
      </c>
    </row>
    <row r="67" spans="2:5">
      <c r="B67" s="14" t="s">
        <v>52</v>
      </c>
      <c r="C67" s="15" t="s">
        <v>53</v>
      </c>
      <c r="D67" s="84">
        <v>0</v>
      </c>
      <c r="E67" s="85">
        <v>0</v>
      </c>
    </row>
    <row r="68" spans="2:5">
      <c r="B68" s="14" t="s">
        <v>54</v>
      </c>
      <c r="C68" s="15" t="s">
        <v>55</v>
      </c>
      <c r="D68" s="84">
        <v>0</v>
      </c>
      <c r="E68" s="85">
        <v>0</v>
      </c>
    </row>
    <row r="69" spans="2:5">
      <c r="B69" s="14" t="s">
        <v>56</v>
      </c>
      <c r="C69" s="15" t="s">
        <v>57</v>
      </c>
      <c r="D69" s="320">
        <v>290636.65000000002</v>
      </c>
      <c r="E69" s="85">
        <f>D69/E21</f>
        <v>1.3049744422232283E-3</v>
      </c>
    </row>
    <row r="70" spans="2:5">
      <c r="B70" s="119" t="s">
        <v>58</v>
      </c>
      <c r="C70" s="120" t="s">
        <v>59</v>
      </c>
      <c r="D70" s="121">
        <v>0</v>
      </c>
      <c r="E70" s="122">
        <v>0</v>
      </c>
    </row>
    <row r="71" spans="2:5">
      <c r="B71" s="127" t="s">
        <v>23</v>
      </c>
      <c r="C71" s="128" t="s">
        <v>61</v>
      </c>
      <c r="D71" s="129">
        <f>E13</f>
        <v>0</v>
      </c>
      <c r="E71" s="69">
        <v>0</v>
      </c>
    </row>
    <row r="72" spans="2:5">
      <c r="B72" s="123" t="s">
        <v>60</v>
      </c>
      <c r="C72" s="124" t="s">
        <v>63</v>
      </c>
      <c r="D72" s="125">
        <f>E14</f>
        <v>528769.67000000004</v>
      </c>
      <c r="E72" s="126">
        <f>D72/E21</f>
        <v>2.374204716345342E-3</v>
      </c>
    </row>
    <row r="73" spans="2:5">
      <c r="B73" s="23" t="s">
        <v>62</v>
      </c>
      <c r="C73" s="24" t="s">
        <v>65</v>
      </c>
      <c r="D73" s="25">
        <f>E17</f>
        <v>302473.23</v>
      </c>
      <c r="E73" s="26">
        <f>D73/E21</f>
        <v>1.3581213333098499E-3</v>
      </c>
    </row>
    <row r="74" spans="2:5">
      <c r="B74" s="127" t="s">
        <v>64</v>
      </c>
      <c r="C74" s="128" t="s">
        <v>66</v>
      </c>
      <c r="D74" s="129">
        <f>D58+D71+D72-D73</f>
        <v>222714438.38</v>
      </c>
      <c r="E74" s="69">
        <f>E58+E72-E73</f>
        <v>1</v>
      </c>
    </row>
    <row r="75" spans="2:5">
      <c r="B75" s="14" t="s">
        <v>4</v>
      </c>
      <c r="C75" s="15" t="s">
        <v>67</v>
      </c>
      <c r="D75" s="84">
        <f>D74</f>
        <v>222714438.38</v>
      </c>
      <c r="E75" s="85">
        <f>E74</f>
        <v>1</v>
      </c>
    </row>
    <row r="76" spans="2:5">
      <c r="B76" s="14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6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56999999999999995" bottom="0.51" header="0.5" footer="0.5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0"/>
  <dimension ref="A1:L81"/>
  <sheetViews>
    <sheetView zoomScale="80" zoomScaleNormal="80" workbookViewId="0">
      <selection activeCell="G18" sqref="G18:K3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100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282"/>
      <c r="C10" s="246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8691929.5299999993</v>
      </c>
      <c r="E11" s="284">
        <f>SUM(E12:E14)</f>
        <v>8232003.6399999997</v>
      </c>
    </row>
    <row r="12" spans="2:12">
      <c r="B12" s="191" t="s">
        <v>4</v>
      </c>
      <c r="C12" s="192" t="s">
        <v>5</v>
      </c>
      <c r="D12" s="329">
        <v>8691929.5299999993</v>
      </c>
      <c r="E12" s="353">
        <f>8193331.03+19278.63+1.21</f>
        <v>8212610.8700000001</v>
      </c>
      <c r="G12" s="70"/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>
        <f>E15</f>
        <v>19392.77</v>
      </c>
      <c r="G14" s="70"/>
    </row>
    <row r="15" spans="2:12">
      <c r="B15" s="191" t="s">
        <v>106</v>
      </c>
      <c r="C15" s="193" t="s">
        <v>11</v>
      </c>
      <c r="D15" s="322"/>
      <c r="E15" s="354">
        <v>19392.77</v>
      </c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>
        <v>24911.019999999997</v>
      </c>
      <c r="E17" s="356">
        <f>E18</f>
        <v>18182.91</v>
      </c>
    </row>
    <row r="18" spans="2:11">
      <c r="B18" s="191" t="s">
        <v>4</v>
      </c>
      <c r="C18" s="192" t="s">
        <v>11</v>
      </c>
      <c r="D18" s="324">
        <v>24911.019999999997</v>
      </c>
      <c r="E18" s="355">
        <v>18182.91</v>
      </c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8667018.5099999998</v>
      </c>
      <c r="E21" s="155">
        <f>E11-E17</f>
        <v>8213820.7299999995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82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11235091.560000001</v>
      </c>
      <c r="E26" s="270">
        <f>D21</f>
        <v>8667018.5099999998</v>
      </c>
      <c r="G26" s="80"/>
    </row>
    <row r="27" spans="2:11">
      <c r="B27" s="9" t="s">
        <v>17</v>
      </c>
      <c r="C27" s="10" t="s">
        <v>111</v>
      </c>
      <c r="D27" s="226">
        <v>-1300224.8699999999</v>
      </c>
      <c r="E27" s="263">
        <f>E28-E32</f>
        <v>-587333.01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10650.84</v>
      </c>
      <c r="E28" s="264">
        <f>SUM(E29:E31)</f>
        <v>26733.78</v>
      </c>
      <c r="F28" s="76"/>
      <c r="G28" s="359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359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10650.84</v>
      </c>
      <c r="E31" s="265">
        <v>26733.78</v>
      </c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1310875.71</v>
      </c>
      <c r="E32" s="264">
        <f>SUM(E33:E39)</f>
        <v>614066.79</v>
      </c>
      <c r="F32" s="76"/>
      <c r="G32" s="368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1299810.23</v>
      </c>
      <c r="E33" s="265">
        <v>604976.78</v>
      </c>
      <c r="F33" s="76"/>
      <c r="G33" s="359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11065.48</v>
      </c>
      <c r="E35" s="265">
        <v>9090.01</v>
      </c>
      <c r="F35" s="76"/>
      <c r="G35" s="359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99" t="s">
        <v>29</v>
      </c>
      <c r="C37" s="192" t="s">
        <v>30</v>
      </c>
      <c r="D37" s="227"/>
      <c r="E37" s="265"/>
      <c r="F37" s="76"/>
      <c r="G37" s="359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-58175.45</v>
      </c>
      <c r="E40" s="271">
        <v>134135.23000000001</v>
      </c>
      <c r="G40" s="80"/>
    </row>
    <row r="41" spans="2:10" ht="13.5" thickBot="1">
      <c r="B41" s="106" t="s">
        <v>37</v>
      </c>
      <c r="C41" s="107" t="s">
        <v>38</v>
      </c>
      <c r="D41" s="230">
        <v>9876691.2400000021</v>
      </c>
      <c r="E41" s="155">
        <f>E26+E27+E40</f>
        <v>8213820.7300000004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1057685.5909559999</v>
      </c>
      <c r="E47" s="79">
        <v>817332.49030599999</v>
      </c>
      <c r="G47" s="76"/>
    </row>
    <row r="48" spans="2:10">
      <c r="B48" s="130" t="s">
        <v>6</v>
      </c>
      <c r="C48" s="22" t="s">
        <v>41</v>
      </c>
      <c r="D48" s="232">
        <v>935176.37991200003</v>
      </c>
      <c r="E48" s="79">
        <v>762267.03703999997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10.622334</v>
      </c>
      <c r="E50" s="79">
        <v>10.60403</v>
      </c>
      <c r="G50" s="190"/>
    </row>
    <row r="51" spans="2:7">
      <c r="B51" s="109" t="s">
        <v>6</v>
      </c>
      <c r="C51" s="15" t="s">
        <v>114</v>
      </c>
      <c r="D51" s="231">
        <v>10.555289999999999</v>
      </c>
      <c r="E51" s="81">
        <v>10.601967</v>
      </c>
      <c r="G51" s="190"/>
    </row>
    <row r="52" spans="2:7" ht="12.75" customHeight="1">
      <c r="B52" s="109" t="s">
        <v>8</v>
      </c>
      <c r="C52" s="15" t="s">
        <v>115</v>
      </c>
      <c r="D52" s="231">
        <v>10.686400000000001</v>
      </c>
      <c r="E52" s="81">
        <v>10.793628999999999</v>
      </c>
    </row>
    <row r="53" spans="2:7" ht="13.5" thickBot="1">
      <c r="B53" s="110" t="s">
        <v>9</v>
      </c>
      <c r="C53" s="17" t="s">
        <v>41</v>
      </c>
      <c r="D53" s="235">
        <v>10.561313</v>
      </c>
      <c r="E53" s="336">
        <v>10.775515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D64+D69</f>
        <v>8212610.8699999992</v>
      </c>
      <c r="E58" s="32">
        <f>D58/E21</f>
        <v>0.99985270435771978</v>
      </c>
    </row>
    <row r="59" spans="2:7" ht="25.5">
      <c r="B59" s="204" t="s">
        <v>4</v>
      </c>
      <c r="C59" s="205" t="s">
        <v>44</v>
      </c>
      <c r="D59" s="86">
        <v>0</v>
      </c>
      <c r="E59" s="87">
        <v>0</v>
      </c>
    </row>
    <row r="60" spans="2:7" ht="24" customHeight="1">
      <c r="B60" s="202" t="s">
        <v>6</v>
      </c>
      <c r="C60" s="203" t="s">
        <v>45</v>
      </c>
      <c r="D60" s="84">
        <v>0</v>
      </c>
      <c r="E60" s="85">
        <v>0</v>
      </c>
    </row>
    <row r="61" spans="2:7">
      <c r="B61" s="202" t="s">
        <v>8</v>
      </c>
      <c r="C61" s="203" t="s">
        <v>46</v>
      </c>
      <c r="D61" s="84">
        <v>0</v>
      </c>
      <c r="E61" s="85">
        <v>0</v>
      </c>
    </row>
    <row r="62" spans="2:7">
      <c r="B62" s="202" t="s">
        <v>9</v>
      </c>
      <c r="C62" s="203" t="s">
        <v>47</v>
      </c>
      <c r="D62" s="84">
        <v>0</v>
      </c>
      <c r="E62" s="85">
        <v>0</v>
      </c>
    </row>
    <row r="63" spans="2:7">
      <c r="B63" s="202" t="s">
        <v>29</v>
      </c>
      <c r="C63" s="203" t="s">
        <v>48</v>
      </c>
      <c r="D63" s="84">
        <v>0</v>
      </c>
      <c r="E63" s="85">
        <v>0</v>
      </c>
    </row>
    <row r="64" spans="2:7">
      <c r="B64" s="204" t="s">
        <v>31</v>
      </c>
      <c r="C64" s="205" t="s">
        <v>49</v>
      </c>
      <c r="D64" s="86">
        <v>8193331.0299999993</v>
      </c>
      <c r="E64" s="87">
        <f>D64/E21</f>
        <v>0.99750546053127698</v>
      </c>
    </row>
    <row r="65" spans="2:5">
      <c r="B65" s="204" t="s">
        <v>33</v>
      </c>
      <c r="C65" s="205" t="s">
        <v>118</v>
      </c>
      <c r="D65" s="86">
        <v>0</v>
      </c>
      <c r="E65" s="87">
        <v>0</v>
      </c>
    </row>
    <row r="66" spans="2:5">
      <c r="B66" s="204" t="s">
        <v>50</v>
      </c>
      <c r="C66" s="205" t="s">
        <v>51</v>
      </c>
      <c r="D66" s="86">
        <v>0</v>
      </c>
      <c r="E66" s="87">
        <v>0</v>
      </c>
    </row>
    <row r="67" spans="2:5">
      <c r="B67" s="202" t="s">
        <v>52</v>
      </c>
      <c r="C67" s="203" t="s">
        <v>53</v>
      </c>
      <c r="D67" s="84">
        <v>0</v>
      </c>
      <c r="E67" s="85">
        <v>0</v>
      </c>
    </row>
    <row r="68" spans="2:5">
      <c r="B68" s="202" t="s">
        <v>54</v>
      </c>
      <c r="C68" s="203" t="s">
        <v>55</v>
      </c>
      <c r="D68" s="84">
        <v>0</v>
      </c>
      <c r="E68" s="85">
        <v>0</v>
      </c>
    </row>
    <row r="69" spans="2:5">
      <c r="B69" s="202" t="s">
        <v>56</v>
      </c>
      <c r="C69" s="203" t="s">
        <v>57</v>
      </c>
      <c r="D69" s="320">
        <v>19279.84</v>
      </c>
      <c r="E69" s="85">
        <f>D69/E21</f>
        <v>2.3472438264427525E-3</v>
      </c>
    </row>
    <row r="70" spans="2:5">
      <c r="B70" s="277" t="s">
        <v>58</v>
      </c>
      <c r="C70" s="276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19392.77</v>
      </c>
      <c r="E72" s="126">
        <f>D72/E21</f>
        <v>2.3609926047168553E-3</v>
      </c>
    </row>
    <row r="73" spans="2:5">
      <c r="B73" s="139" t="s">
        <v>62</v>
      </c>
      <c r="C73" s="24" t="s">
        <v>65</v>
      </c>
      <c r="D73" s="25">
        <f>E17</f>
        <v>18182.91</v>
      </c>
      <c r="E73" s="26">
        <f>D73/E21</f>
        <v>2.2136969624366272E-3</v>
      </c>
    </row>
    <row r="74" spans="2:5">
      <c r="B74" s="137" t="s">
        <v>64</v>
      </c>
      <c r="C74" s="128" t="s">
        <v>66</v>
      </c>
      <c r="D74" s="129">
        <f>D58+D72-D73</f>
        <v>8213820.7299999986</v>
      </c>
      <c r="E74" s="69">
        <f>E58+E72-E73</f>
        <v>1</v>
      </c>
    </row>
    <row r="75" spans="2:5">
      <c r="B75" s="202" t="s">
        <v>4</v>
      </c>
      <c r="C75" s="203" t="s">
        <v>67</v>
      </c>
      <c r="D75" s="84">
        <f>D74</f>
        <v>8213820.7299999986</v>
      </c>
      <c r="E75" s="85">
        <f>E74</f>
        <v>1</v>
      </c>
    </row>
    <row r="76" spans="2:5">
      <c r="B76" s="202" t="s">
        <v>6</v>
      </c>
      <c r="C76" s="203" t="s">
        <v>119</v>
      </c>
      <c r="D76" s="84">
        <v>0</v>
      </c>
      <c r="E76" s="85">
        <v>0</v>
      </c>
    </row>
    <row r="77" spans="2:5" ht="13.5" thickBot="1">
      <c r="B77" s="206" t="s">
        <v>8</v>
      </c>
      <c r="C77" s="20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118110236220474" right="0.74803149606299213" top="0.51181102362204722" bottom="0.62992125984251968" header="0.51181102362204722" footer="0.51181102362204722"/>
  <pageSetup paperSize="9" scale="7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1"/>
  <dimension ref="A1:L81"/>
  <sheetViews>
    <sheetView zoomScale="80" zoomScaleNormal="80" workbookViewId="0">
      <selection activeCell="G19" sqref="G19:K3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8.4257812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74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9165848.3399999999</v>
      </c>
      <c r="E11" s="284">
        <f>SUM(E12:E14)</f>
        <v>8840098.660000002</v>
      </c>
    </row>
    <row r="12" spans="2:12">
      <c r="B12" s="113" t="s">
        <v>4</v>
      </c>
      <c r="C12" s="6" t="s">
        <v>5</v>
      </c>
      <c r="D12" s="329">
        <v>9165848.3399999999</v>
      </c>
      <c r="E12" s="353">
        <f>8799537.83+15401.64+0.96</f>
        <v>8814940.4300000016</v>
      </c>
      <c r="G12" s="70"/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>
        <f>E15</f>
        <v>25158.23</v>
      </c>
      <c r="G14" s="70"/>
    </row>
    <row r="15" spans="2:12">
      <c r="B15" s="113" t="s">
        <v>106</v>
      </c>
      <c r="C15" s="71" t="s">
        <v>11</v>
      </c>
      <c r="D15" s="322"/>
      <c r="E15" s="354">
        <v>25158.23</v>
      </c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>
        <v>16263.15</v>
      </c>
      <c r="E17" s="356">
        <f>E18</f>
        <v>18750.21</v>
      </c>
    </row>
    <row r="18" spans="2:11">
      <c r="B18" s="113" t="s">
        <v>4</v>
      </c>
      <c r="C18" s="6" t="s">
        <v>11</v>
      </c>
      <c r="D18" s="324">
        <v>16263.15</v>
      </c>
      <c r="E18" s="355">
        <v>18750.21</v>
      </c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9149585.1899999995</v>
      </c>
      <c r="E21" s="155">
        <f>E11-E17</f>
        <v>8821348.4500000011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95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10980876.390000001</v>
      </c>
      <c r="E26" s="270">
        <f>D21</f>
        <v>9149585.1899999995</v>
      </c>
      <c r="G26" s="80"/>
    </row>
    <row r="27" spans="2:11">
      <c r="B27" s="9" t="s">
        <v>17</v>
      </c>
      <c r="C27" s="10" t="s">
        <v>111</v>
      </c>
      <c r="D27" s="226">
        <v>-783602.21</v>
      </c>
      <c r="E27" s="263">
        <f>E28-E32</f>
        <v>-352823.41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227"/>
      <c r="E29" s="265"/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227"/>
      <c r="E31" s="265"/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783602.21</v>
      </c>
      <c r="E32" s="264">
        <f>SUM(E33:E39)</f>
        <v>352823.41</v>
      </c>
      <c r="F32" s="76"/>
      <c r="G32" s="368"/>
      <c r="H32" s="76"/>
      <c r="I32" s="76"/>
      <c r="J32" s="76"/>
    </row>
    <row r="33" spans="2:10">
      <c r="B33" s="111" t="s">
        <v>4</v>
      </c>
      <c r="C33" s="6" t="s">
        <v>25</v>
      </c>
      <c r="D33" s="227">
        <v>737961.76</v>
      </c>
      <c r="E33" s="265">
        <v>306868.11</v>
      </c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44155.01</v>
      </c>
      <c r="E35" s="265">
        <v>45955.3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/>
      <c r="E37" s="265"/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1485.44</v>
      </c>
      <c r="E39" s="266"/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-363973.33</v>
      </c>
      <c r="E40" s="271">
        <v>24586.67</v>
      </c>
      <c r="G40" s="80"/>
    </row>
    <row r="41" spans="2:10" ht="13.5" thickBot="1">
      <c r="B41" s="106" t="s">
        <v>37</v>
      </c>
      <c r="C41" s="107" t="s">
        <v>38</v>
      </c>
      <c r="D41" s="230">
        <v>9833300.8499999996</v>
      </c>
      <c r="E41" s="155">
        <f>E26+E27+E40</f>
        <v>8821348.4499999993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1126274.9694330001</v>
      </c>
      <c r="E47" s="79">
        <v>982505.90725199995</v>
      </c>
      <c r="G47" s="76"/>
    </row>
    <row r="48" spans="2:10">
      <c r="B48" s="130" t="s">
        <v>6</v>
      </c>
      <c r="C48" s="22" t="s">
        <v>41</v>
      </c>
      <c r="D48" s="232">
        <v>1045024.0525850001</v>
      </c>
      <c r="E48" s="79">
        <v>944840.88785000006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9.7497290000000003</v>
      </c>
      <c r="E50" s="79">
        <v>9.3124990000000007</v>
      </c>
      <c r="G50" s="190"/>
    </row>
    <row r="51" spans="2:7">
      <c r="B51" s="109" t="s">
        <v>6</v>
      </c>
      <c r="C51" s="15" t="s">
        <v>114</v>
      </c>
      <c r="D51" s="234">
        <v>9.1789830000000006</v>
      </c>
      <c r="E51" s="81">
        <v>9.2418270000000007</v>
      </c>
      <c r="G51" s="190"/>
    </row>
    <row r="52" spans="2:7" ht="12.75" customHeight="1">
      <c r="B52" s="109" t="s">
        <v>8</v>
      </c>
      <c r="C52" s="15" t="s">
        <v>115</v>
      </c>
      <c r="D52" s="234">
        <v>9.849926</v>
      </c>
      <c r="E52" s="81">
        <v>9.4380380000000006</v>
      </c>
    </row>
    <row r="53" spans="2:7" ht="13.5" thickBot="1">
      <c r="B53" s="110" t="s">
        <v>9</v>
      </c>
      <c r="C53" s="17" t="s">
        <v>41</v>
      </c>
      <c r="D53" s="235">
        <v>9.4096399999999996</v>
      </c>
      <c r="E53" s="272">
        <v>9.3363309999999995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D64+D69</f>
        <v>8814940.4299999997</v>
      </c>
      <c r="E58" s="32">
        <f>D58/E21</f>
        <v>0.99927357817953544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4" customHeight="1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v>8799537.8300000001</v>
      </c>
      <c r="E64" s="87">
        <f>D64/E21</f>
        <v>0.9975275185960939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15402.599999999999</v>
      </c>
      <c r="E69" s="85">
        <f>D69/E21</f>
        <v>1.7460595834415764E-3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f>E13</f>
        <v>0</v>
      </c>
      <c r="E71" s="69">
        <f>D71/E21</f>
        <v>0</v>
      </c>
    </row>
    <row r="72" spans="2:5">
      <c r="B72" s="138" t="s">
        <v>60</v>
      </c>
      <c r="C72" s="124" t="s">
        <v>63</v>
      </c>
      <c r="D72" s="125">
        <f>E14</f>
        <v>25158.23</v>
      </c>
      <c r="E72" s="126">
        <f>D72/E21</f>
        <v>2.8519710045010176E-3</v>
      </c>
    </row>
    <row r="73" spans="2:5">
      <c r="B73" s="139" t="s">
        <v>62</v>
      </c>
      <c r="C73" s="24" t="s">
        <v>65</v>
      </c>
      <c r="D73" s="25">
        <f>E17</f>
        <v>18750.21</v>
      </c>
      <c r="E73" s="26">
        <f>D73/E21</f>
        <v>2.1255491840365967E-3</v>
      </c>
    </row>
    <row r="74" spans="2:5">
      <c r="B74" s="137" t="s">
        <v>64</v>
      </c>
      <c r="C74" s="128" t="s">
        <v>66</v>
      </c>
      <c r="D74" s="129">
        <f>D58+D72-D73+D71</f>
        <v>8821348.4499999993</v>
      </c>
      <c r="E74" s="69">
        <f>E58+E71+E72-E73</f>
        <v>0.99999999999999978</v>
      </c>
    </row>
    <row r="75" spans="2:5">
      <c r="B75" s="109" t="s">
        <v>4</v>
      </c>
      <c r="C75" s="15" t="s">
        <v>67</v>
      </c>
      <c r="D75" s="84">
        <f>D74</f>
        <v>8821348.4499999993</v>
      </c>
      <c r="E75" s="85">
        <f>E74</f>
        <v>0.99999999999999978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rowBreaks count="1" manualBreakCount="1">
    <brk id="74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3"/>
  <dimension ref="A1:L81"/>
  <sheetViews>
    <sheetView zoomScaleNormal="100" workbookViewId="0">
      <selection activeCell="G47" sqref="G47"/>
    </sheetView>
  </sheetViews>
  <sheetFormatPr defaultRowHeight="11.25"/>
  <cols>
    <col min="1" max="1" width="9.140625" style="1"/>
    <col min="2" max="2" width="5.28515625" style="1" bestFit="1" customWidth="1"/>
    <col min="3" max="3" width="62.85546875" style="1" customWidth="1"/>
    <col min="4" max="4" width="13.7109375" style="1" customWidth="1"/>
    <col min="5" max="5" width="15.28515625" style="1" customWidth="1"/>
    <col min="6" max="6" width="7.42578125" style="372" customWidth="1"/>
    <col min="7" max="7" width="17.28515625" style="372" customWidth="1"/>
    <col min="8" max="8" width="19" style="372" customWidth="1"/>
    <col min="9" max="9" width="13.28515625" style="372" customWidth="1"/>
    <col min="10" max="10" width="13.5703125" style="372" customWidth="1"/>
    <col min="11" max="11" width="13.85546875" style="372" customWidth="1"/>
    <col min="12" max="12" width="12.42578125" style="372" bestFit="1" customWidth="1"/>
    <col min="13" max="16384" width="9.140625" style="372"/>
  </cols>
  <sheetData>
    <row r="1" spans="2:12">
      <c r="D1" s="2"/>
      <c r="E1" s="2"/>
    </row>
    <row r="2" spans="2:12">
      <c r="B2" s="519" t="s">
        <v>0</v>
      </c>
      <c r="C2" s="519"/>
      <c r="D2" s="519"/>
      <c r="E2" s="519"/>
      <c r="L2" s="373"/>
    </row>
    <row r="3" spans="2:12">
      <c r="B3" s="519" t="s">
        <v>144</v>
      </c>
      <c r="C3" s="519"/>
      <c r="D3" s="519"/>
      <c r="E3" s="519"/>
    </row>
    <row r="4" spans="2:12">
      <c r="B4" s="374"/>
      <c r="C4" s="374"/>
      <c r="D4" s="374"/>
      <c r="E4" s="374"/>
    </row>
    <row r="5" spans="2:12" ht="21" customHeight="1">
      <c r="B5" s="520" t="s">
        <v>1</v>
      </c>
      <c r="C5" s="520"/>
      <c r="D5" s="520"/>
      <c r="E5" s="520"/>
    </row>
    <row r="6" spans="2:12">
      <c r="B6" s="521" t="s">
        <v>264</v>
      </c>
      <c r="C6" s="521"/>
      <c r="D6" s="521"/>
      <c r="E6" s="521"/>
    </row>
    <row r="7" spans="2:12">
      <c r="B7" s="375"/>
      <c r="C7" s="375"/>
      <c r="D7" s="375"/>
      <c r="E7" s="375"/>
    </row>
    <row r="8" spans="2:12">
      <c r="B8" s="522" t="s">
        <v>18</v>
      </c>
      <c r="C8" s="514"/>
      <c r="D8" s="514"/>
      <c r="E8" s="514"/>
    </row>
    <row r="9" spans="2:12" ht="12" thickBot="1">
      <c r="B9" s="515" t="s">
        <v>103</v>
      </c>
      <c r="C9" s="515"/>
      <c r="D9" s="515"/>
      <c r="E9" s="515"/>
    </row>
    <row r="10" spans="2:12" ht="12" thickBot="1">
      <c r="B10" s="376"/>
      <c r="C10" s="377" t="s">
        <v>2</v>
      </c>
      <c r="D10" s="378" t="s">
        <v>127</v>
      </c>
      <c r="E10" s="379" t="s">
        <v>145</v>
      </c>
    </row>
    <row r="11" spans="2:12">
      <c r="B11" s="380" t="s">
        <v>3</v>
      </c>
      <c r="C11" s="381" t="s">
        <v>109</v>
      </c>
      <c r="D11" s="382"/>
      <c r="E11" s="383"/>
    </row>
    <row r="12" spans="2:12">
      <c r="B12" s="384" t="s">
        <v>4</v>
      </c>
      <c r="C12" s="385" t="s">
        <v>5</v>
      </c>
      <c r="D12" s="386"/>
      <c r="E12" s="387"/>
    </row>
    <row r="13" spans="2:12">
      <c r="B13" s="384" t="s">
        <v>6</v>
      </c>
      <c r="C13" s="388" t="s">
        <v>7</v>
      </c>
      <c r="D13" s="389"/>
      <c r="E13" s="390"/>
    </row>
    <row r="14" spans="2:12">
      <c r="B14" s="384" t="s">
        <v>8</v>
      </c>
      <c r="C14" s="388" t="s">
        <v>10</v>
      </c>
      <c r="D14" s="389"/>
      <c r="E14" s="390"/>
      <c r="G14" s="391"/>
    </row>
    <row r="15" spans="2:12">
      <c r="B15" s="384" t="s">
        <v>106</v>
      </c>
      <c r="C15" s="388" t="s">
        <v>11</v>
      </c>
      <c r="D15" s="389"/>
      <c r="E15" s="390"/>
    </row>
    <row r="16" spans="2:12">
      <c r="B16" s="392" t="s">
        <v>107</v>
      </c>
      <c r="C16" s="393" t="s">
        <v>12</v>
      </c>
      <c r="D16" s="394"/>
      <c r="E16" s="395"/>
    </row>
    <row r="17" spans="2:11">
      <c r="B17" s="396" t="s">
        <v>13</v>
      </c>
      <c r="C17" s="397" t="s">
        <v>65</v>
      </c>
      <c r="D17" s="398"/>
      <c r="E17" s="399"/>
    </row>
    <row r="18" spans="2:11">
      <c r="B18" s="384" t="s">
        <v>4</v>
      </c>
      <c r="C18" s="385" t="s">
        <v>11</v>
      </c>
      <c r="D18" s="394"/>
      <c r="E18" s="395"/>
    </row>
    <row r="19" spans="2:11" ht="11.25" customHeight="1">
      <c r="B19" s="384" t="s">
        <v>6</v>
      </c>
      <c r="C19" s="388" t="s">
        <v>108</v>
      </c>
      <c r="D19" s="389"/>
      <c r="E19" s="390"/>
    </row>
    <row r="20" spans="2:11" ht="12" thickBot="1">
      <c r="B20" s="400" t="s">
        <v>8</v>
      </c>
      <c r="C20" s="401" t="s">
        <v>14</v>
      </c>
      <c r="D20" s="402"/>
      <c r="E20" s="403"/>
    </row>
    <row r="21" spans="2:11" ht="12" thickBot="1">
      <c r="B21" s="523" t="s">
        <v>110</v>
      </c>
      <c r="C21" s="524"/>
      <c r="D21" s="404"/>
      <c r="E21" s="405"/>
      <c r="F21" s="406"/>
      <c r="G21" s="406"/>
      <c r="H21" s="407"/>
      <c r="J21" s="408"/>
      <c r="K21" s="391"/>
    </row>
    <row r="22" spans="2:11">
      <c r="B22" s="3"/>
      <c r="C22" s="7"/>
      <c r="D22" s="8"/>
      <c r="E22" s="8"/>
      <c r="G22" s="492"/>
    </row>
    <row r="23" spans="2:11">
      <c r="B23" s="522" t="s">
        <v>104</v>
      </c>
      <c r="C23" s="525"/>
      <c r="D23" s="525"/>
      <c r="E23" s="525"/>
      <c r="G23" s="373"/>
    </row>
    <row r="24" spans="2:11" ht="15.75" customHeight="1" thickBot="1">
      <c r="B24" s="515" t="s">
        <v>105</v>
      </c>
      <c r="C24" s="526"/>
      <c r="D24" s="526"/>
      <c r="E24" s="526"/>
    </row>
    <row r="25" spans="2:11" ht="12" thickBot="1">
      <c r="B25" s="376"/>
      <c r="C25" s="409" t="s">
        <v>2</v>
      </c>
      <c r="D25" s="378" t="s">
        <v>125</v>
      </c>
      <c r="E25" s="379" t="s">
        <v>145</v>
      </c>
    </row>
    <row r="26" spans="2:11" ht="12.75" customHeight="1">
      <c r="B26" s="410" t="s">
        <v>15</v>
      </c>
      <c r="C26" s="411" t="s">
        <v>16</v>
      </c>
      <c r="D26" s="412">
        <v>19683.14</v>
      </c>
      <c r="E26" s="413"/>
      <c r="G26" s="414"/>
      <c r="H26" s="415"/>
    </row>
    <row r="27" spans="2:11">
      <c r="B27" s="396" t="s">
        <v>17</v>
      </c>
      <c r="C27" s="416" t="s">
        <v>111</v>
      </c>
      <c r="D27" s="417">
        <v>-14251.470000000001</v>
      </c>
      <c r="E27" s="418"/>
      <c r="F27" s="373"/>
      <c r="G27" s="414"/>
      <c r="H27" s="373"/>
      <c r="I27" s="373"/>
      <c r="J27" s="373"/>
    </row>
    <row r="28" spans="2:11">
      <c r="B28" s="396" t="s">
        <v>18</v>
      </c>
      <c r="C28" s="416" t="s">
        <v>19</v>
      </c>
      <c r="D28" s="417">
        <v>0</v>
      </c>
      <c r="E28" s="419"/>
      <c r="F28" s="373"/>
      <c r="G28" s="373"/>
      <c r="H28" s="373"/>
      <c r="I28" s="373"/>
      <c r="J28" s="373"/>
    </row>
    <row r="29" spans="2:11">
      <c r="B29" s="420" t="s">
        <v>4</v>
      </c>
      <c r="C29" s="385" t="s">
        <v>20</v>
      </c>
      <c r="D29" s="421"/>
      <c r="E29" s="422"/>
      <c r="F29" s="373"/>
      <c r="G29" s="373"/>
      <c r="H29" s="373"/>
      <c r="I29" s="373"/>
      <c r="J29" s="373"/>
    </row>
    <row r="30" spans="2:11">
      <c r="B30" s="420" t="s">
        <v>6</v>
      </c>
      <c r="C30" s="385" t="s">
        <v>21</v>
      </c>
      <c r="D30" s="421"/>
      <c r="E30" s="422"/>
      <c r="F30" s="373"/>
      <c r="G30" s="373"/>
      <c r="H30" s="373"/>
      <c r="I30" s="373"/>
      <c r="J30" s="373"/>
    </row>
    <row r="31" spans="2:11">
      <c r="B31" s="420" t="s">
        <v>8</v>
      </c>
      <c r="C31" s="385" t="s">
        <v>22</v>
      </c>
      <c r="D31" s="421"/>
      <c r="E31" s="422"/>
      <c r="F31" s="373"/>
      <c r="G31" s="373"/>
      <c r="H31" s="373"/>
      <c r="I31" s="373"/>
      <c r="J31" s="373"/>
    </row>
    <row r="32" spans="2:11">
      <c r="B32" s="423" t="s">
        <v>23</v>
      </c>
      <c r="C32" s="397" t="s">
        <v>24</v>
      </c>
      <c r="D32" s="417">
        <v>14251.470000000001</v>
      </c>
      <c r="E32" s="419"/>
      <c r="F32" s="373"/>
      <c r="G32" s="414"/>
      <c r="H32" s="373"/>
      <c r="I32" s="373"/>
      <c r="J32" s="373"/>
    </row>
    <row r="33" spans="2:10">
      <c r="B33" s="420" t="s">
        <v>4</v>
      </c>
      <c r="C33" s="385" t="s">
        <v>25</v>
      </c>
      <c r="D33" s="421">
        <v>11700.2</v>
      </c>
      <c r="E33" s="422"/>
      <c r="F33" s="373"/>
      <c r="G33" s="373"/>
      <c r="H33" s="373"/>
      <c r="I33" s="373"/>
      <c r="J33" s="373"/>
    </row>
    <row r="34" spans="2:10">
      <c r="B34" s="420" t="s">
        <v>6</v>
      </c>
      <c r="C34" s="385" t="s">
        <v>26</v>
      </c>
      <c r="D34" s="421"/>
      <c r="E34" s="422"/>
      <c r="F34" s="373"/>
      <c r="G34" s="373"/>
      <c r="H34" s="373"/>
      <c r="I34" s="373"/>
      <c r="J34" s="373"/>
    </row>
    <row r="35" spans="2:10" ht="12.75" customHeight="1">
      <c r="B35" s="420" t="s">
        <v>8</v>
      </c>
      <c r="C35" s="385" t="s">
        <v>27</v>
      </c>
      <c r="D35" s="421">
        <v>7.11</v>
      </c>
      <c r="E35" s="422"/>
      <c r="F35" s="373"/>
      <c r="G35" s="373"/>
      <c r="H35" s="373"/>
      <c r="I35" s="373"/>
      <c r="J35" s="373"/>
    </row>
    <row r="36" spans="2:10">
      <c r="B36" s="420" t="s">
        <v>9</v>
      </c>
      <c r="C36" s="385" t="s">
        <v>28</v>
      </c>
      <c r="D36" s="421"/>
      <c r="E36" s="422"/>
      <c r="F36" s="373"/>
      <c r="G36" s="373"/>
      <c r="H36" s="373"/>
      <c r="I36" s="373"/>
      <c r="J36" s="373"/>
    </row>
    <row r="37" spans="2:10" ht="22.5">
      <c r="B37" s="420" t="s">
        <v>29</v>
      </c>
      <c r="C37" s="385" t="s">
        <v>30</v>
      </c>
      <c r="D37" s="421">
        <v>203.63</v>
      </c>
      <c r="E37" s="422"/>
      <c r="F37" s="373"/>
      <c r="G37" s="373"/>
      <c r="H37" s="373"/>
      <c r="I37" s="373"/>
      <c r="J37" s="373"/>
    </row>
    <row r="38" spans="2:10">
      <c r="B38" s="420" t="s">
        <v>31</v>
      </c>
      <c r="C38" s="385" t="s">
        <v>32</v>
      </c>
      <c r="D38" s="421"/>
      <c r="E38" s="422"/>
      <c r="F38" s="373"/>
      <c r="G38" s="373"/>
      <c r="H38" s="373"/>
      <c r="I38" s="373"/>
      <c r="J38" s="373"/>
    </row>
    <row r="39" spans="2:10">
      <c r="B39" s="424" t="s">
        <v>33</v>
      </c>
      <c r="C39" s="425" t="s">
        <v>34</v>
      </c>
      <c r="D39" s="426">
        <v>2340.5300000000002</v>
      </c>
      <c r="E39" s="427"/>
      <c r="F39" s="373"/>
      <c r="G39" s="373"/>
      <c r="H39" s="373"/>
      <c r="I39" s="373"/>
      <c r="J39" s="373"/>
    </row>
    <row r="40" spans="2:10" ht="12" thickBot="1">
      <c r="B40" s="428" t="s">
        <v>35</v>
      </c>
      <c r="C40" s="429" t="s">
        <v>36</v>
      </c>
      <c r="D40" s="430">
        <v>-107.32</v>
      </c>
      <c r="E40" s="431"/>
      <c r="G40" s="414"/>
    </row>
    <row r="41" spans="2:10" ht="12" thickBot="1">
      <c r="B41" s="432" t="s">
        <v>37</v>
      </c>
      <c r="C41" s="433" t="s">
        <v>38</v>
      </c>
      <c r="D41" s="434">
        <v>5324.3499999999985</v>
      </c>
      <c r="E41" s="405"/>
      <c r="F41" s="406"/>
      <c r="G41" s="414"/>
    </row>
    <row r="42" spans="2:10">
      <c r="B42" s="435"/>
      <c r="C42" s="435"/>
      <c r="D42" s="436"/>
      <c r="E42" s="436"/>
      <c r="F42" s="406"/>
      <c r="G42" s="391"/>
    </row>
    <row r="43" spans="2:10">
      <c r="B43" s="513" t="s">
        <v>60</v>
      </c>
      <c r="C43" s="514"/>
      <c r="D43" s="514"/>
      <c r="E43" s="514"/>
      <c r="G43" s="373"/>
    </row>
    <row r="44" spans="2:10" ht="18" customHeight="1" thickBot="1">
      <c r="B44" s="515" t="s">
        <v>121</v>
      </c>
      <c r="C44" s="516"/>
      <c r="D44" s="516"/>
      <c r="E44" s="516"/>
      <c r="G44" s="373"/>
    </row>
    <row r="45" spans="2:10" ht="12" thickBot="1">
      <c r="B45" s="376"/>
      <c r="C45" s="437" t="s">
        <v>39</v>
      </c>
      <c r="D45" s="378" t="s">
        <v>125</v>
      </c>
      <c r="E45" s="379" t="s">
        <v>145</v>
      </c>
      <c r="G45" s="373"/>
    </row>
    <row r="46" spans="2:10">
      <c r="B46" s="438" t="s">
        <v>18</v>
      </c>
      <c r="C46" s="439" t="s">
        <v>112</v>
      </c>
      <c r="D46" s="440"/>
      <c r="E46" s="441"/>
      <c r="G46" s="373"/>
    </row>
    <row r="47" spans="2:10">
      <c r="B47" s="442" t="s">
        <v>4</v>
      </c>
      <c r="C47" s="443" t="s">
        <v>40</v>
      </c>
      <c r="D47" s="444">
        <v>127.97880000000001</v>
      </c>
      <c r="E47" s="445"/>
      <c r="G47" s="373"/>
    </row>
    <row r="48" spans="2:10">
      <c r="B48" s="446" t="s">
        <v>6</v>
      </c>
      <c r="C48" s="447" t="s">
        <v>41</v>
      </c>
      <c r="D48" s="448">
        <v>38.224899999999998</v>
      </c>
      <c r="E48" s="449"/>
      <c r="G48" s="373"/>
    </row>
    <row r="49" spans="2:5">
      <c r="B49" s="450" t="s">
        <v>23</v>
      </c>
      <c r="C49" s="451" t="s">
        <v>113</v>
      </c>
      <c r="D49" s="452"/>
      <c r="E49" s="445"/>
    </row>
    <row r="50" spans="2:5">
      <c r="B50" s="442" t="s">
        <v>4</v>
      </c>
      <c r="C50" s="443" t="s">
        <v>40</v>
      </c>
      <c r="D50" s="444">
        <v>153.80000000000001</v>
      </c>
      <c r="E50" s="445"/>
    </row>
    <row r="51" spans="2:5">
      <c r="B51" s="442" t="s">
        <v>6</v>
      </c>
      <c r="C51" s="443" t="s">
        <v>114</v>
      </c>
      <c r="D51" s="453">
        <v>137.28</v>
      </c>
      <c r="E51" s="445"/>
    </row>
    <row r="52" spans="2:5">
      <c r="B52" s="442" t="s">
        <v>8</v>
      </c>
      <c r="C52" s="443" t="s">
        <v>115</v>
      </c>
      <c r="D52" s="453">
        <v>161.94999999999999</v>
      </c>
      <c r="E52" s="445"/>
    </row>
    <row r="53" spans="2:5" ht="12.75" customHeight="1" thickBot="1">
      <c r="B53" s="454" t="s">
        <v>9</v>
      </c>
      <c r="C53" s="455" t="s">
        <v>41</v>
      </c>
      <c r="D53" s="456">
        <v>139.29</v>
      </c>
      <c r="E53" s="457"/>
    </row>
    <row r="54" spans="2:5">
      <c r="B54" s="458"/>
      <c r="C54" s="459"/>
      <c r="D54" s="460"/>
      <c r="E54" s="460"/>
    </row>
    <row r="55" spans="2:5">
      <c r="B55" s="513" t="s">
        <v>62</v>
      </c>
      <c r="C55" s="514"/>
      <c r="D55" s="514"/>
      <c r="E55" s="514"/>
    </row>
    <row r="56" spans="2:5" ht="18" customHeight="1" thickBot="1">
      <c r="B56" s="515" t="s">
        <v>116</v>
      </c>
      <c r="C56" s="516"/>
      <c r="D56" s="516"/>
      <c r="E56" s="516"/>
    </row>
    <row r="57" spans="2:5" ht="34.5" thickBot="1">
      <c r="B57" s="517" t="s">
        <v>42</v>
      </c>
      <c r="C57" s="518"/>
      <c r="D57" s="18" t="s">
        <v>122</v>
      </c>
      <c r="E57" s="19" t="s">
        <v>117</v>
      </c>
    </row>
    <row r="58" spans="2:5">
      <c r="B58" s="461" t="s">
        <v>18</v>
      </c>
      <c r="C58" s="462" t="s">
        <v>43</v>
      </c>
      <c r="D58" s="463">
        <f>D64</f>
        <v>0</v>
      </c>
      <c r="E58" s="464">
        <v>0</v>
      </c>
    </row>
    <row r="59" spans="2:5" ht="33.75">
      <c r="B59" s="446" t="s">
        <v>4</v>
      </c>
      <c r="C59" s="447" t="s">
        <v>44</v>
      </c>
      <c r="D59" s="465">
        <v>0</v>
      </c>
      <c r="E59" s="466">
        <v>0</v>
      </c>
    </row>
    <row r="60" spans="2:5" ht="22.5">
      <c r="B60" s="442" t="s">
        <v>6</v>
      </c>
      <c r="C60" s="443" t="s">
        <v>45</v>
      </c>
      <c r="D60" s="467">
        <v>0</v>
      </c>
      <c r="E60" s="468">
        <v>0</v>
      </c>
    </row>
    <row r="61" spans="2:5" ht="13.5" customHeight="1">
      <c r="B61" s="442" t="s">
        <v>8</v>
      </c>
      <c r="C61" s="443" t="s">
        <v>46</v>
      </c>
      <c r="D61" s="467">
        <v>0</v>
      </c>
      <c r="E61" s="468">
        <v>0</v>
      </c>
    </row>
    <row r="62" spans="2:5">
      <c r="B62" s="442" t="s">
        <v>9</v>
      </c>
      <c r="C62" s="443" t="s">
        <v>47</v>
      </c>
      <c r="D62" s="467">
        <v>0</v>
      </c>
      <c r="E62" s="468">
        <v>0</v>
      </c>
    </row>
    <row r="63" spans="2:5">
      <c r="B63" s="442" t="s">
        <v>29</v>
      </c>
      <c r="C63" s="443" t="s">
        <v>48</v>
      </c>
      <c r="D63" s="467">
        <v>0</v>
      </c>
      <c r="E63" s="468">
        <v>0</v>
      </c>
    </row>
    <row r="64" spans="2:5">
      <c r="B64" s="446" t="s">
        <v>31</v>
      </c>
      <c r="C64" s="447" t="s">
        <v>49</v>
      </c>
      <c r="D64" s="465">
        <f>E21</f>
        <v>0</v>
      </c>
      <c r="E64" s="466">
        <v>0</v>
      </c>
    </row>
    <row r="65" spans="2:5">
      <c r="B65" s="446" t="s">
        <v>33</v>
      </c>
      <c r="C65" s="447" t="s">
        <v>118</v>
      </c>
      <c r="D65" s="465">
        <v>0</v>
      </c>
      <c r="E65" s="466">
        <v>0</v>
      </c>
    </row>
    <row r="66" spans="2:5">
      <c r="B66" s="446" t="s">
        <v>50</v>
      </c>
      <c r="C66" s="447" t="s">
        <v>51</v>
      </c>
      <c r="D66" s="465">
        <v>0</v>
      </c>
      <c r="E66" s="466">
        <v>0</v>
      </c>
    </row>
    <row r="67" spans="2:5">
      <c r="B67" s="442" t="s">
        <v>52</v>
      </c>
      <c r="C67" s="443" t="s">
        <v>53</v>
      </c>
      <c r="D67" s="467">
        <v>0</v>
      </c>
      <c r="E67" s="468">
        <v>0</v>
      </c>
    </row>
    <row r="68" spans="2:5">
      <c r="B68" s="442" t="s">
        <v>54</v>
      </c>
      <c r="C68" s="443" t="s">
        <v>55</v>
      </c>
      <c r="D68" s="467">
        <v>0</v>
      </c>
      <c r="E68" s="468">
        <v>0</v>
      </c>
    </row>
    <row r="69" spans="2:5">
      <c r="B69" s="442" t="s">
        <v>56</v>
      </c>
      <c r="C69" s="443" t="s">
        <v>57</v>
      </c>
      <c r="D69" s="469">
        <v>0</v>
      </c>
      <c r="E69" s="468">
        <v>0</v>
      </c>
    </row>
    <row r="70" spans="2:5">
      <c r="B70" s="470" t="s">
        <v>58</v>
      </c>
      <c r="C70" s="471" t="s">
        <v>59</v>
      </c>
      <c r="D70" s="472">
        <v>0</v>
      </c>
      <c r="E70" s="473">
        <v>0</v>
      </c>
    </row>
    <row r="71" spans="2:5">
      <c r="B71" s="474" t="s">
        <v>23</v>
      </c>
      <c r="C71" s="475" t="s">
        <v>61</v>
      </c>
      <c r="D71" s="476">
        <v>0</v>
      </c>
      <c r="E71" s="477">
        <v>0</v>
      </c>
    </row>
    <row r="72" spans="2:5">
      <c r="B72" s="478" t="s">
        <v>60</v>
      </c>
      <c r="C72" s="479" t="s">
        <v>63</v>
      </c>
      <c r="D72" s="480">
        <f>E14</f>
        <v>0</v>
      </c>
      <c r="E72" s="481">
        <v>0</v>
      </c>
    </row>
    <row r="73" spans="2:5">
      <c r="B73" s="482" t="s">
        <v>62</v>
      </c>
      <c r="C73" s="483" t="s">
        <v>65</v>
      </c>
      <c r="D73" s="484">
        <v>0</v>
      </c>
      <c r="E73" s="485">
        <v>0</v>
      </c>
    </row>
    <row r="74" spans="2:5">
      <c r="B74" s="474" t="s">
        <v>64</v>
      </c>
      <c r="C74" s="475" t="s">
        <v>66</v>
      </c>
      <c r="D74" s="476">
        <f>D58</f>
        <v>0</v>
      </c>
      <c r="E74" s="477">
        <f>E58+E72-E73</f>
        <v>0</v>
      </c>
    </row>
    <row r="75" spans="2:5">
      <c r="B75" s="442" t="s">
        <v>4</v>
      </c>
      <c r="C75" s="443" t="s">
        <v>67</v>
      </c>
      <c r="D75" s="467">
        <f>D74</f>
        <v>0</v>
      </c>
      <c r="E75" s="468">
        <f>E74</f>
        <v>0</v>
      </c>
    </row>
    <row r="76" spans="2:5">
      <c r="B76" s="442" t="s">
        <v>6</v>
      </c>
      <c r="C76" s="443" t="s">
        <v>119</v>
      </c>
      <c r="D76" s="467">
        <v>0</v>
      </c>
      <c r="E76" s="468">
        <v>0</v>
      </c>
    </row>
    <row r="77" spans="2:5" ht="12" thickBot="1">
      <c r="B77" s="454" t="s">
        <v>8</v>
      </c>
      <c r="C77" s="455" t="s">
        <v>120</v>
      </c>
      <c r="D77" s="486">
        <v>0</v>
      </c>
      <c r="E77" s="487">
        <v>0</v>
      </c>
    </row>
    <row r="78" spans="2:5">
      <c r="D78" s="2"/>
      <c r="E78" s="2"/>
    </row>
    <row r="79" spans="2:5">
      <c r="D79" s="2"/>
      <c r="E79" s="2"/>
    </row>
    <row r="80" spans="2:5">
      <c r="D80" s="2"/>
      <c r="E80" s="2"/>
    </row>
    <row r="81" spans="4:5"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000000000000005" right="0.75" top="0.56999999999999995" bottom="0.45" header="0.5" footer="0.5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4"/>
  <dimension ref="A1:L81"/>
  <sheetViews>
    <sheetView zoomScale="80" zoomScaleNormal="80" workbookViewId="0">
      <selection activeCell="I49" sqref="I4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154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256033.28</v>
      </c>
      <c r="E11" s="284">
        <f>SUM(E12:E14)</f>
        <v>200705.14</v>
      </c>
    </row>
    <row r="12" spans="2:12">
      <c r="B12" s="191" t="s">
        <v>4</v>
      </c>
      <c r="C12" s="192" t="s">
        <v>5</v>
      </c>
      <c r="D12" s="329">
        <v>256033.28</v>
      </c>
      <c r="E12" s="353">
        <v>200705.14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256033.28</v>
      </c>
      <c r="E21" s="155">
        <f>E11-E17</f>
        <v>200705.14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36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413343.65</v>
      </c>
      <c r="E26" s="270">
        <f>D21</f>
        <v>256033.28</v>
      </c>
      <c r="G26" s="80"/>
    </row>
    <row r="27" spans="2:11">
      <c r="B27" s="9" t="s">
        <v>17</v>
      </c>
      <c r="C27" s="10" t="s">
        <v>111</v>
      </c>
      <c r="D27" s="226">
        <v>-121558.53000000001</v>
      </c>
      <c r="E27" s="263">
        <f>E28-E32</f>
        <v>-63220.98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5137.9299999999994</v>
      </c>
      <c r="E28" s="264">
        <f>SUM(E29:E31)</f>
        <v>4772.37</v>
      </c>
      <c r="F28" s="76"/>
      <c r="G28" s="359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4669.82</v>
      </c>
      <c r="E29" s="265">
        <v>4772.37</v>
      </c>
      <c r="F29" s="76"/>
      <c r="G29" s="359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468.11</v>
      </c>
      <c r="E31" s="265"/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126696.46</v>
      </c>
      <c r="E32" s="264">
        <f>SUM(E33:E39)</f>
        <v>67993.350000000006</v>
      </c>
      <c r="F32" s="76"/>
      <c r="G32" s="368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3633.59</v>
      </c>
      <c r="E33" s="265">
        <f>68759.17-3144.29</f>
        <v>65614.880000000005</v>
      </c>
      <c r="F33" s="76"/>
      <c r="G33" s="359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188.75</v>
      </c>
      <c r="E35" s="265">
        <v>196.85</v>
      </c>
      <c r="F35" s="76"/>
      <c r="G35" s="359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3360.27</v>
      </c>
      <c r="E37" s="265">
        <v>2181.62</v>
      </c>
      <c r="F37" s="76"/>
      <c r="G37" s="359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119513.85</v>
      </c>
      <c r="E39" s="266"/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-11388.13</v>
      </c>
      <c r="E40" s="271">
        <v>7892.84</v>
      </c>
      <c r="G40" s="80"/>
    </row>
    <row r="41" spans="2:10" ht="13.5" thickBot="1">
      <c r="B41" s="106" t="s">
        <v>37</v>
      </c>
      <c r="C41" s="107" t="s">
        <v>38</v>
      </c>
      <c r="D41" s="230">
        <v>280396.99</v>
      </c>
      <c r="E41" s="155">
        <f>E26+E27+E40</f>
        <v>200705.13999999998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3149.7649000000001</v>
      </c>
      <c r="E47" s="79">
        <v>2130.0605999999998</v>
      </c>
      <c r="G47" s="76"/>
    </row>
    <row r="48" spans="2:10">
      <c r="B48" s="130" t="s">
        <v>6</v>
      </c>
      <c r="C48" s="22" t="s">
        <v>41</v>
      </c>
      <c r="D48" s="232">
        <v>2217.8042</v>
      </c>
      <c r="E48" s="337">
        <v>1615.2030999999999</v>
      </c>
      <c r="G48" s="166"/>
    </row>
    <row r="49" spans="2:7">
      <c r="B49" s="127" t="s">
        <v>23</v>
      </c>
      <c r="C49" s="131" t="s">
        <v>113</v>
      </c>
      <c r="D49" s="233"/>
      <c r="E49" s="81"/>
    </row>
    <row r="50" spans="2:7">
      <c r="B50" s="109" t="s">
        <v>4</v>
      </c>
      <c r="C50" s="15" t="s">
        <v>40</v>
      </c>
      <c r="D50" s="231">
        <v>131.22999999999999</v>
      </c>
      <c r="E50" s="81">
        <v>120.2</v>
      </c>
      <c r="G50" s="190"/>
    </row>
    <row r="51" spans="2:7">
      <c r="B51" s="109" t="s">
        <v>6</v>
      </c>
      <c r="C51" s="15" t="s">
        <v>114</v>
      </c>
      <c r="D51" s="234">
        <v>125.69</v>
      </c>
      <c r="E51" s="81">
        <v>120.13</v>
      </c>
      <c r="G51" s="190"/>
    </row>
    <row r="52" spans="2:7">
      <c r="B52" s="109" t="s">
        <v>8</v>
      </c>
      <c r="C52" s="15" t="s">
        <v>115</v>
      </c>
      <c r="D52" s="234">
        <v>134.88999999999999</v>
      </c>
      <c r="E52" s="81">
        <v>126.1</v>
      </c>
    </row>
    <row r="53" spans="2:7" ht="13.5" customHeight="1" thickBot="1">
      <c r="B53" s="110" t="s">
        <v>9</v>
      </c>
      <c r="C53" s="17" t="s">
        <v>41</v>
      </c>
      <c r="D53" s="235">
        <v>126.43</v>
      </c>
      <c r="E53" s="338">
        <v>124.26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200705.14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200705.14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200705.14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200705.14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692913385826772" right="0.74803149606299213" top="0.55118110236220474" bottom="0.39370078740157483" header="0.51181102362204722" footer="0.51181102362204722"/>
  <pageSetup paperSize="9" scale="70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5"/>
  <dimension ref="A1:L81"/>
  <sheetViews>
    <sheetView zoomScale="80" zoomScaleNormal="80" workbookViewId="0">
      <selection activeCell="J21" sqref="J21:K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155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3068149.66</v>
      </c>
      <c r="E11" s="284">
        <f>SUM(E12:E14)</f>
        <v>2607283.46</v>
      </c>
    </row>
    <row r="12" spans="2:12">
      <c r="B12" s="113" t="s">
        <v>4</v>
      </c>
      <c r="C12" s="6" t="s">
        <v>5</v>
      </c>
      <c r="D12" s="329">
        <v>3068149.66</v>
      </c>
      <c r="E12" s="353">
        <f>2609690-2406.54</f>
        <v>2607283.46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3068149.66</v>
      </c>
      <c r="E21" s="155">
        <f>E11-E17</f>
        <v>2607283.46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95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5593319.8600000003</v>
      </c>
      <c r="E26" s="270">
        <f>D21</f>
        <v>3068149.66</v>
      </c>
      <c r="G26" s="80"/>
    </row>
    <row r="27" spans="2:11">
      <c r="B27" s="9" t="s">
        <v>17</v>
      </c>
      <c r="C27" s="10" t="s">
        <v>111</v>
      </c>
      <c r="D27" s="226">
        <v>-485476.41</v>
      </c>
      <c r="E27" s="263">
        <f>E28-E32</f>
        <v>-511744.05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235663.18</v>
      </c>
      <c r="E28" s="264">
        <f>SUM(E29:E31)</f>
        <v>5882.88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227">
        <v>10563.02</v>
      </c>
      <c r="E29" s="265">
        <v>5882.88</v>
      </c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227">
        <v>225100.16</v>
      </c>
      <c r="E31" s="265"/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721139.59</v>
      </c>
      <c r="E32" s="264">
        <f>SUM(E33:E39)</f>
        <v>517626.93</v>
      </c>
      <c r="F32" s="76"/>
      <c r="G32" s="368"/>
      <c r="H32" s="76"/>
      <c r="I32" s="76"/>
      <c r="J32" s="76"/>
    </row>
    <row r="33" spans="2:10">
      <c r="B33" s="111" t="s">
        <v>4</v>
      </c>
      <c r="C33" s="6" t="s">
        <v>25</v>
      </c>
      <c r="D33" s="227">
        <v>383399.29</v>
      </c>
      <c r="E33" s="265">
        <f>489063.19+2406.54</f>
        <v>491469.73</v>
      </c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2833.72</v>
      </c>
      <c r="E35" s="265">
        <v>2609.9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44306.18</v>
      </c>
      <c r="E37" s="265">
        <v>23547.3</v>
      </c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290600.40000000002</v>
      </c>
      <c r="E39" s="266"/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-29399.360000000001</v>
      </c>
      <c r="E40" s="271">
        <v>50877.85</v>
      </c>
      <c r="G40" s="80"/>
    </row>
    <row r="41" spans="2:10" ht="13.5" thickBot="1">
      <c r="B41" s="106" t="s">
        <v>37</v>
      </c>
      <c r="C41" s="107" t="s">
        <v>38</v>
      </c>
      <c r="D41" s="230">
        <v>5078444.09</v>
      </c>
      <c r="E41" s="155">
        <f>E26+E27+E40</f>
        <v>2607283.4600000004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33071.127899999999</v>
      </c>
      <c r="E47" s="156">
        <v>18157.955000000002</v>
      </c>
      <c r="G47" s="76"/>
    </row>
    <row r="48" spans="2:10">
      <c r="B48" s="130" t="s">
        <v>6</v>
      </c>
      <c r="C48" s="22" t="s">
        <v>41</v>
      </c>
      <c r="D48" s="232">
        <v>30196.480500000001</v>
      </c>
      <c r="E48" s="339">
        <v>15178.7937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109" t="s">
        <v>4</v>
      </c>
      <c r="C50" s="15" t="s">
        <v>40</v>
      </c>
      <c r="D50" s="231">
        <v>169.13</v>
      </c>
      <c r="E50" s="156">
        <v>168.97</v>
      </c>
      <c r="G50" s="190"/>
    </row>
    <row r="51" spans="2:7">
      <c r="B51" s="109" t="s">
        <v>6</v>
      </c>
      <c r="C51" s="15" t="s">
        <v>114</v>
      </c>
      <c r="D51" s="234">
        <v>168.08</v>
      </c>
      <c r="E51" s="81">
        <v>168.97</v>
      </c>
      <c r="G51" s="190"/>
    </row>
    <row r="52" spans="2:7">
      <c r="B52" s="109" t="s">
        <v>8</v>
      </c>
      <c r="C52" s="15" t="s">
        <v>115</v>
      </c>
      <c r="D52" s="234">
        <v>169.42</v>
      </c>
      <c r="E52" s="81">
        <v>172.06</v>
      </c>
    </row>
    <row r="53" spans="2:7" ht="13.5" customHeight="1" thickBot="1">
      <c r="B53" s="110" t="s">
        <v>9</v>
      </c>
      <c r="C53" s="17" t="s">
        <v>41</v>
      </c>
      <c r="D53" s="235">
        <v>168.18</v>
      </c>
      <c r="E53" s="340">
        <v>171.93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2607283.46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2607283.46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2607283.46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2607283.46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2" right="0.75" top="0.6" bottom="0.56000000000000005" header="0.5" footer="0.5"/>
  <pageSetup paperSize="9" scale="70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6"/>
  <dimension ref="A1:L81"/>
  <sheetViews>
    <sheetView zoomScale="80" zoomScaleNormal="80" workbookViewId="0">
      <selection activeCell="J21" sqref="J21:K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 customHeight="1">
      <c r="B6" s="497" t="s">
        <v>156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 customHeight="1">
      <c r="B8" s="499" t="s">
        <v>18</v>
      </c>
      <c r="C8" s="499"/>
      <c r="D8" s="499"/>
      <c r="E8" s="499"/>
    </row>
    <row r="9" spans="2:12" ht="16.5" customHeight="1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262373.64</v>
      </c>
      <c r="E11" s="284">
        <f>SUM(E12:E14)</f>
        <v>239648.01</v>
      </c>
    </row>
    <row r="12" spans="2:12">
      <c r="B12" s="191" t="s">
        <v>4</v>
      </c>
      <c r="C12" s="192" t="s">
        <v>5</v>
      </c>
      <c r="D12" s="329">
        <v>262373.64</v>
      </c>
      <c r="E12" s="353">
        <v>239648.01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customHeight="1" thickBot="1">
      <c r="B21" s="503" t="s">
        <v>110</v>
      </c>
      <c r="C21" s="529"/>
      <c r="D21" s="287">
        <v>262373.64</v>
      </c>
      <c r="E21" s="155">
        <f>E11-E17</f>
        <v>239648.01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 customHeight="1">
      <c r="B23" s="499" t="s">
        <v>104</v>
      </c>
      <c r="C23" s="499"/>
      <c r="D23" s="499"/>
      <c r="E23" s="499"/>
      <c r="G23" s="76"/>
    </row>
    <row r="24" spans="2:11" ht="15.75" customHeight="1" thickBot="1">
      <c r="B24" s="498" t="s">
        <v>105</v>
      </c>
      <c r="C24" s="498"/>
      <c r="D24" s="498"/>
      <c r="E24" s="498"/>
    </row>
    <row r="25" spans="2:11" ht="13.5" thickBot="1">
      <c r="B25" s="236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326574.09000000003</v>
      </c>
      <c r="E26" s="270">
        <f>D21</f>
        <v>262373.64</v>
      </c>
      <c r="G26" s="80"/>
    </row>
    <row r="27" spans="2:11">
      <c r="B27" s="9" t="s">
        <v>17</v>
      </c>
      <c r="C27" s="10" t="s">
        <v>111</v>
      </c>
      <c r="D27" s="226">
        <v>-5380.0299999999988</v>
      </c>
      <c r="E27" s="263">
        <f>E28-E32</f>
        <v>-31347.300000000003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22557.78</v>
      </c>
      <c r="E28" s="264">
        <f>SUM(E29:E31)</f>
        <v>28986.04</v>
      </c>
      <c r="F28" s="76"/>
      <c r="G28" s="359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1146.77</v>
      </c>
      <c r="E29" s="265">
        <v>1161.7</v>
      </c>
      <c r="F29" s="76"/>
      <c r="G29" s="359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21411.01</v>
      </c>
      <c r="E31" s="265">
        <v>27824.34</v>
      </c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27937.809999999998</v>
      </c>
      <c r="E32" s="264">
        <f>SUM(E33:E39)</f>
        <v>60333.340000000004</v>
      </c>
      <c r="F32" s="76"/>
      <c r="G32" s="368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3307.34</v>
      </c>
      <c r="E33" s="265">
        <v>29862.79</v>
      </c>
      <c r="F33" s="76"/>
      <c r="G33" s="359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290.70999999999998</v>
      </c>
      <c r="E35" s="265">
        <v>310.22000000000003</v>
      </c>
      <c r="F35" s="76"/>
      <c r="G35" s="359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2898.03</v>
      </c>
      <c r="E37" s="265">
        <v>2440.83</v>
      </c>
      <c r="F37" s="76"/>
      <c r="G37" s="359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21441.73</v>
      </c>
      <c r="E39" s="266">
        <v>27719.5</v>
      </c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-12051.01</v>
      </c>
      <c r="E40" s="271">
        <v>8621.67</v>
      </c>
      <c r="G40" s="80"/>
    </row>
    <row r="41" spans="2:10" ht="13.5" thickBot="1">
      <c r="B41" s="106" t="s">
        <v>37</v>
      </c>
      <c r="C41" s="107" t="s">
        <v>38</v>
      </c>
      <c r="D41" s="230">
        <v>309143.05000000005</v>
      </c>
      <c r="E41" s="155">
        <f>E26+E27+E40</f>
        <v>239648.01000000004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 customHeight="1">
      <c r="B43" s="500" t="s">
        <v>60</v>
      </c>
      <c r="C43" s="500"/>
      <c r="D43" s="500"/>
      <c r="E43" s="500"/>
      <c r="G43" s="76"/>
    </row>
    <row r="44" spans="2:10" ht="18" customHeight="1" thickBot="1">
      <c r="B44" s="498" t="s">
        <v>121</v>
      </c>
      <c r="C44" s="498"/>
      <c r="D44" s="498"/>
      <c r="E44" s="498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249"/>
      <c r="E46" s="28"/>
      <c r="G46" s="76"/>
    </row>
    <row r="47" spans="2:10">
      <c r="B47" s="109" t="s">
        <v>4</v>
      </c>
      <c r="C47" s="15" t="s">
        <v>40</v>
      </c>
      <c r="D47" s="231">
        <v>3113.1943999999999</v>
      </c>
      <c r="E47" s="274">
        <v>2799.8467999999998</v>
      </c>
      <c r="G47" s="76"/>
    </row>
    <row r="48" spans="2:10">
      <c r="B48" s="130" t="s">
        <v>6</v>
      </c>
      <c r="C48" s="22" t="s">
        <v>41</v>
      </c>
      <c r="D48" s="232">
        <v>3062.0349999999999</v>
      </c>
      <c r="E48" s="341">
        <v>2472.3822</v>
      </c>
      <c r="G48" s="76"/>
    </row>
    <row r="49" spans="2:7">
      <c r="B49" s="127" t="s">
        <v>23</v>
      </c>
      <c r="C49" s="131" t="s">
        <v>113</v>
      </c>
      <c r="D49" s="233"/>
      <c r="E49" s="275"/>
    </row>
    <row r="50" spans="2:7">
      <c r="B50" s="109" t="s">
        <v>4</v>
      </c>
      <c r="C50" s="15" t="s">
        <v>40</v>
      </c>
      <c r="D50" s="231">
        <v>104.9</v>
      </c>
      <c r="E50" s="275">
        <v>93.71</v>
      </c>
      <c r="G50" s="190"/>
    </row>
    <row r="51" spans="2:7">
      <c r="B51" s="109" t="s">
        <v>6</v>
      </c>
      <c r="C51" s="15" t="s">
        <v>114</v>
      </c>
      <c r="D51" s="234">
        <v>100.04</v>
      </c>
      <c r="E51" s="275">
        <v>93.26</v>
      </c>
      <c r="G51" s="190"/>
    </row>
    <row r="52" spans="2:7">
      <c r="B52" s="109" t="s">
        <v>8</v>
      </c>
      <c r="C52" s="15" t="s">
        <v>115</v>
      </c>
      <c r="D52" s="234">
        <v>108.51</v>
      </c>
      <c r="E52" s="275">
        <v>101.12</v>
      </c>
    </row>
    <row r="53" spans="2:7" ht="12.75" customHeight="1" thickBot="1">
      <c r="B53" s="110" t="s">
        <v>9</v>
      </c>
      <c r="C53" s="17" t="s">
        <v>41</v>
      </c>
      <c r="D53" s="235">
        <v>100.96</v>
      </c>
      <c r="E53" s="340">
        <v>96.93</v>
      </c>
    </row>
    <row r="54" spans="2:7">
      <c r="B54" s="116"/>
      <c r="C54" s="117"/>
      <c r="D54" s="118"/>
      <c r="E54" s="118"/>
    </row>
    <row r="55" spans="2:7" ht="13.5" customHeight="1">
      <c r="B55" s="500" t="s">
        <v>62</v>
      </c>
      <c r="C55" s="500"/>
      <c r="D55" s="500"/>
      <c r="E55" s="500"/>
    </row>
    <row r="56" spans="2:7" ht="14.25" customHeight="1" thickBot="1">
      <c r="B56" s="498" t="s">
        <v>116</v>
      </c>
      <c r="C56" s="498"/>
      <c r="D56" s="498"/>
      <c r="E56" s="498"/>
    </row>
    <row r="57" spans="2:7" ht="23.25" customHeight="1" thickBot="1">
      <c r="B57" s="527" t="s">
        <v>42</v>
      </c>
      <c r="C57" s="528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239648.01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239648.01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239648.01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239648.01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999999999999995" right="0.75" top="0.62" bottom="0.5" header="0.5" footer="0.5"/>
  <pageSetup paperSize="9" scale="70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7"/>
  <dimension ref="A1:L81"/>
  <sheetViews>
    <sheetView zoomScale="80" zoomScaleNormal="80" workbookViewId="0">
      <selection activeCell="J21" sqref="J21:K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1" max="11" width="13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157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411843.35</v>
      </c>
      <c r="E11" s="284">
        <f>SUM(E12:E14)</f>
        <v>414336.11</v>
      </c>
    </row>
    <row r="12" spans="2:12">
      <c r="B12" s="113" t="s">
        <v>4</v>
      </c>
      <c r="C12" s="6" t="s">
        <v>5</v>
      </c>
      <c r="D12" s="329">
        <v>411843.35</v>
      </c>
      <c r="E12" s="353">
        <v>414336.11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2">
      <c r="B17" s="9" t="s">
        <v>13</v>
      </c>
      <c r="C17" s="11" t="s">
        <v>65</v>
      </c>
      <c r="D17" s="325"/>
      <c r="E17" s="356"/>
    </row>
    <row r="18" spans="2:12">
      <c r="B18" s="113" t="s">
        <v>4</v>
      </c>
      <c r="C18" s="6" t="s">
        <v>11</v>
      </c>
      <c r="D18" s="324"/>
      <c r="E18" s="355"/>
    </row>
    <row r="19" spans="2:12" ht="15" customHeight="1">
      <c r="B19" s="113" t="s">
        <v>6</v>
      </c>
      <c r="C19" s="71" t="s">
        <v>108</v>
      </c>
      <c r="D19" s="322"/>
      <c r="E19" s="354"/>
    </row>
    <row r="20" spans="2:12" ht="13.5" thickBot="1">
      <c r="B20" s="115" t="s">
        <v>8</v>
      </c>
      <c r="C20" s="72" t="s">
        <v>14</v>
      </c>
      <c r="D20" s="285"/>
      <c r="E20" s="286"/>
    </row>
    <row r="21" spans="2:12" ht="13.5" thickBot="1">
      <c r="B21" s="505" t="s">
        <v>110</v>
      </c>
      <c r="C21" s="506"/>
      <c r="D21" s="287">
        <v>411843.35</v>
      </c>
      <c r="E21" s="155">
        <f>E11-E17</f>
        <v>414336.11</v>
      </c>
      <c r="F21" s="83"/>
      <c r="G21" s="83"/>
      <c r="H21" s="176"/>
      <c r="J21" s="254"/>
      <c r="K21" s="70"/>
      <c r="L21" s="190"/>
    </row>
    <row r="22" spans="2:12">
      <c r="B22" s="3"/>
      <c r="C22" s="7"/>
      <c r="D22" s="8"/>
      <c r="E22" s="8"/>
      <c r="G22" s="169"/>
    </row>
    <row r="23" spans="2:12" ht="13.5">
      <c r="B23" s="499" t="s">
        <v>104</v>
      </c>
      <c r="C23" s="507"/>
      <c r="D23" s="507"/>
      <c r="E23" s="507"/>
      <c r="G23" s="76"/>
    </row>
    <row r="24" spans="2:12" ht="15.75" customHeight="1" thickBot="1">
      <c r="B24" s="498" t="s">
        <v>105</v>
      </c>
      <c r="C24" s="508"/>
      <c r="D24" s="508"/>
      <c r="E24" s="508"/>
    </row>
    <row r="25" spans="2:12" ht="13.5" thickBot="1">
      <c r="B25" s="95"/>
      <c r="C25" s="5" t="s">
        <v>2</v>
      </c>
      <c r="D25" s="73" t="s">
        <v>125</v>
      </c>
      <c r="E25" s="29" t="s">
        <v>145</v>
      </c>
    </row>
    <row r="26" spans="2:12">
      <c r="B26" s="102" t="s">
        <v>15</v>
      </c>
      <c r="C26" s="103" t="s">
        <v>16</v>
      </c>
      <c r="D26" s="225">
        <v>784800.99</v>
      </c>
      <c r="E26" s="270">
        <f>D21</f>
        <v>411843.35</v>
      </c>
      <c r="G26" s="80"/>
    </row>
    <row r="27" spans="2:12">
      <c r="B27" s="9" t="s">
        <v>17</v>
      </c>
      <c r="C27" s="10" t="s">
        <v>111</v>
      </c>
      <c r="D27" s="226">
        <v>-155108.18</v>
      </c>
      <c r="E27" s="263">
        <f>E28-E32</f>
        <v>-20879.920000000006</v>
      </c>
      <c r="F27" s="76"/>
      <c r="G27" s="368"/>
      <c r="H27" s="76"/>
      <c r="I27" s="76"/>
      <c r="J27" s="76"/>
    </row>
    <row r="28" spans="2:12">
      <c r="B28" s="9" t="s">
        <v>18</v>
      </c>
      <c r="C28" s="10" t="s">
        <v>19</v>
      </c>
      <c r="D28" s="226">
        <v>145892.29999999999</v>
      </c>
      <c r="E28" s="264">
        <f>SUM(E29:E31)</f>
        <v>32621.379999999997</v>
      </c>
      <c r="F28" s="76"/>
      <c r="G28" s="359"/>
      <c r="H28" s="76"/>
      <c r="I28" s="76"/>
      <c r="J28" s="76"/>
    </row>
    <row r="29" spans="2:12">
      <c r="B29" s="111" t="s">
        <v>4</v>
      </c>
      <c r="C29" s="6" t="s">
        <v>20</v>
      </c>
      <c r="D29" s="227">
        <v>5052.09</v>
      </c>
      <c r="E29" s="265">
        <v>3337.96</v>
      </c>
      <c r="F29" s="76"/>
      <c r="G29" s="359"/>
      <c r="H29" s="76"/>
      <c r="I29" s="76"/>
      <c r="J29" s="76"/>
    </row>
    <row r="30" spans="2:12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2">
      <c r="B31" s="111" t="s">
        <v>8</v>
      </c>
      <c r="C31" s="6" t="s">
        <v>22</v>
      </c>
      <c r="D31" s="227">
        <v>140840.21</v>
      </c>
      <c r="E31" s="265">
        <v>29283.42</v>
      </c>
      <c r="F31" s="76"/>
      <c r="G31" s="359"/>
      <c r="H31" s="76"/>
      <c r="I31" s="76"/>
      <c r="J31" s="76"/>
    </row>
    <row r="32" spans="2:12">
      <c r="B32" s="99" t="s">
        <v>23</v>
      </c>
      <c r="C32" s="11" t="s">
        <v>24</v>
      </c>
      <c r="D32" s="226">
        <v>301000.48</v>
      </c>
      <c r="E32" s="264">
        <f>SUM(E33:E39)</f>
        <v>53501.3</v>
      </c>
      <c r="F32" s="76"/>
      <c r="G32" s="368"/>
      <c r="H32" s="76"/>
      <c r="I32" s="76"/>
      <c r="J32" s="76"/>
    </row>
    <row r="33" spans="2:10">
      <c r="B33" s="111" t="s">
        <v>4</v>
      </c>
      <c r="C33" s="6" t="s">
        <v>25</v>
      </c>
      <c r="D33" s="227">
        <v>7546.92</v>
      </c>
      <c r="E33" s="265">
        <v>22133.56</v>
      </c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156.63</v>
      </c>
      <c r="E35" s="265">
        <v>146.75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5186.01</v>
      </c>
      <c r="E37" s="265">
        <v>3396.65</v>
      </c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288110.92</v>
      </c>
      <c r="E39" s="266">
        <v>27824.34</v>
      </c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-24606.77</v>
      </c>
      <c r="E40" s="271">
        <v>23372.68</v>
      </c>
      <c r="G40" s="80"/>
    </row>
    <row r="41" spans="2:10" ht="13.5" thickBot="1">
      <c r="B41" s="106" t="s">
        <v>37</v>
      </c>
      <c r="C41" s="107" t="s">
        <v>38</v>
      </c>
      <c r="D41" s="230">
        <v>605086.04</v>
      </c>
      <c r="E41" s="155">
        <f>E26+E27+E40</f>
        <v>414336.11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5562.4139999999998</v>
      </c>
      <c r="E47" s="156">
        <v>3541.8245000000002</v>
      </c>
      <c r="G47" s="76"/>
    </row>
    <row r="48" spans="2:10">
      <c r="B48" s="130" t="s">
        <v>6</v>
      </c>
      <c r="C48" s="22" t="s">
        <v>41</v>
      </c>
      <c r="D48" s="232">
        <v>4463.9323999999997</v>
      </c>
      <c r="E48" s="339">
        <v>3360.3901999999998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109" t="s">
        <v>4</v>
      </c>
      <c r="C50" s="15" t="s">
        <v>40</v>
      </c>
      <c r="D50" s="231">
        <v>141.09</v>
      </c>
      <c r="E50" s="156">
        <v>116.28</v>
      </c>
      <c r="G50" s="190"/>
    </row>
    <row r="51" spans="2:7">
      <c r="B51" s="109" t="s">
        <v>6</v>
      </c>
      <c r="C51" s="15" t="s">
        <v>114</v>
      </c>
      <c r="D51" s="234">
        <v>132.99</v>
      </c>
      <c r="E51" s="81">
        <v>115.52</v>
      </c>
      <c r="G51" s="190"/>
    </row>
    <row r="52" spans="2:7">
      <c r="B52" s="109" t="s">
        <v>8</v>
      </c>
      <c r="C52" s="15" t="s">
        <v>115</v>
      </c>
      <c r="D52" s="234">
        <v>145.88999999999999</v>
      </c>
      <c r="E52" s="81">
        <v>129.75</v>
      </c>
    </row>
    <row r="53" spans="2:7" ht="13.5" customHeight="1" thickBot="1">
      <c r="B53" s="110" t="s">
        <v>9</v>
      </c>
      <c r="C53" s="17" t="s">
        <v>41</v>
      </c>
      <c r="D53" s="235">
        <v>135.55000000000001</v>
      </c>
      <c r="E53" s="340">
        <v>123.3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414336.11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414336.11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414336.11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414336.11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59" bottom="0.4" header="0.5" footer="0.5"/>
  <pageSetup paperSize="9" scale="70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8"/>
  <dimension ref="A1:L81"/>
  <sheetViews>
    <sheetView zoomScale="80" zoomScaleNormal="80" workbookViewId="0">
      <selection activeCell="J21" sqref="J21:K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6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158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8316305.7400000002</v>
      </c>
      <c r="E11" s="284">
        <f>SUM(E12:E14)</f>
        <v>7300803.3899999997</v>
      </c>
    </row>
    <row r="12" spans="2:12">
      <c r="B12" s="191" t="s">
        <v>4</v>
      </c>
      <c r="C12" s="192" t="s">
        <v>5</v>
      </c>
      <c r="D12" s="329">
        <v>8316305.7400000002</v>
      </c>
      <c r="E12" s="353">
        <v>7300803.3899999997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8316305.7400000002</v>
      </c>
      <c r="E21" s="155">
        <f>E11-E17</f>
        <v>7300803.3899999997</v>
      </c>
      <c r="F21" s="83"/>
      <c r="G21" s="83"/>
      <c r="H21" s="83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36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16650722.060000001</v>
      </c>
      <c r="E26" s="270">
        <f>D21</f>
        <v>8316305.7400000002</v>
      </c>
      <c r="G26" s="80"/>
    </row>
    <row r="27" spans="2:11">
      <c r="B27" s="9" t="s">
        <v>17</v>
      </c>
      <c r="C27" s="10" t="s">
        <v>111</v>
      </c>
      <c r="D27" s="226">
        <v>-3318375.45</v>
      </c>
      <c r="E27" s="263">
        <f>E28-E32</f>
        <v>-1081764.6299999999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579906.92999999993</v>
      </c>
      <c r="E28" s="264">
        <f>SUM(E29:E31)</f>
        <v>10575.22</v>
      </c>
      <c r="F28" s="76"/>
      <c r="G28" s="359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11071.09</v>
      </c>
      <c r="E29" s="265">
        <v>10575.22</v>
      </c>
      <c r="F29" s="76"/>
      <c r="G29" s="359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568835.83999999997</v>
      </c>
      <c r="E31" s="265"/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3898282.3800000004</v>
      </c>
      <c r="E32" s="264">
        <f>SUM(E33:E39)</f>
        <v>1092339.8499999999</v>
      </c>
      <c r="F32" s="76"/>
      <c r="G32" s="368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3605138.41</v>
      </c>
      <c r="E33" s="265">
        <v>1022063.94</v>
      </c>
      <c r="F33" s="76"/>
      <c r="G33" s="359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7417.72</v>
      </c>
      <c r="E35" s="265">
        <v>8026.53</v>
      </c>
      <c r="F35" s="76"/>
      <c r="G35" s="359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116933.12</v>
      </c>
      <c r="E37" s="265">
        <v>62249.38</v>
      </c>
      <c r="F37" s="76"/>
      <c r="G37" s="359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168793.13</v>
      </c>
      <c r="E39" s="266"/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-29095.42</v>
      </c>
      <c r="E40" s="271">
        <v>66262.28</v>
      </c>
      <c r="G40" s="80"/>
    </row>
    <row r="41" spans="2:10" ht="13.5" thickBot="1">
      <c r="B41" s="106" t="s">
        <v>37</v>
      </c>
      <c r="C41" s="107" t="s">
        <v>38</v>
      </c>
      <c r="D41" s="230">
        <v>13303251.189999999</v>
      </c>
      <c r="E41" s="155">
        <f>E26+E27+E40</f>
        <v>7300803.3900000006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107625.3769</v>
      </c>
      <c r="E47" s="156">
        <v>53663.972000000002</v>
      </c>
      <c r="G47" s="76"/>
    </row>
    <row r="48" spans="2:10">
      <c r="B48" s="130" t="s">
        <v>6</v>
      </c>
      <c r="C48" s="22" t="s">
        <v>41</v>
      </c>
      <c r="D48" s="232">
        <v>86205.619399999996</v>
      </c>
      <c r="E48" s="339">
        <v>46695.256699999998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109" t="s">
        <v>4</v>
      </c>
      <c r="C50" s="15" t="s">
        <v>40</v>
      </c>
      <c r="D50" s="231">
        <v>154.71</v>
      </c>
      <c r="E50" s="156">
        <v>154.97</v>
      </c>
      <c r="G50" s="190"/>
    </row>
    <row r="51" spans="2:7">
      <c r="B51" s="109" t="s">
        <v>6</v>
      </c>
      <c r="C51" s="15" t="s">
        <v>114</v>
      </c>
      <c r="D51" s="234">
        <v>154.15</v>
      </c>
      <c r="E51" s="81">
        <v>154.97</v>
      </c>
      <c r="G51" s="190"/>
    </row>
    <row r="52" spans="2:7">
      <c r="B52" s="109" t="s">
        <v>8</v>
      </c>
      <c r="C52" s="15" t="s">
        <v>115</v>
      </c>
      <c r="D52" s="234">
        <v>155.4</v>
      </c>
      <c r="E52" s="81">
        <v>156.37</v>
      </c>
    </row>
    <row r="53" spans="2:7" ht="12.75" customHeight="1" thickBot="1">
      <c r="B53" s="110" t="s">
        <v>9</v>
      </c>
      <c r="C53" s="17" t="s">
        <v>41</v>
      </c>
      <c r="D53" s="235">
        <v>154.32</v>
      </c>
      <c r="E53" s="340">
        <v>156.35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7300803.3899999997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7300803.3899999997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7300803.3899999997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7300803.3899999997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56000000000000005" bottom="0.56000000000000005" header="0.5" footer="0.5"/>
  <pageSetup paperSize="9" scale="70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9"/>
  <dimension ref="A1:L81"/>
  <sheetViews>
    <sheetView zoomScale="80" zoomScaleNormal="80" workbookViewId="0">
      <selection activeCell="J22" sqref="J21:K2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1" customWidth="1"/>
    <col min="9" max="9" width="13.28515625" customWidth="1"/>
    <col min="10" max="10" width="13.5703125" customWidth="1"/>
    <col min="11" max="11" width="17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159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24134390.370000001</v>
      </c>
      <c r="E11" s="284">
        <f>SUM(E12:E14)</f>
        <v>20476947.850000001</v>
      </c>
    </row>
    <row r="12" spans="2:12">
      <c r="B12" s="113" t="s">
        <v>4</v>
      </c>
      <c r="C12" s="6" t="s">
        <v>5</v>
      </c>
      <c r="D12" s="329">
        <v>24134390.370000001</v>
      </c>
      <c r="E12" s="353">
        <f>20778421-301473.15</f>
        <v>20476947.850000001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24134390.370000001</v>
      </c>
      <c r="E21" s="155">
        <f>E11-E17</f>
        <v>20476947.850000001</v>
      </c>
      <c r="F21" s="83"/>
      <c r="G21" s="83"/>
      <c r="H21" s="177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95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36238211.900000006</v>
      </c>
      <c r="E26" s="270">
        <f>D21</f>
        <v>24134390.370000001</v>
      </c>
      <c r="G26" s="80"/>
    </row>
    <row r="27" spans="2:11">
      <c r="B27" s="9" t="s">
        <v>17</v>
      </c>
      <c r="C27" s="10" t="s">
        <v>111</v>
      </c>
      <c r="D27" s="226">
        <v>-4583410.9000000013</v>
      </c>
      <c r="E27" s="263">
        <f>E28-E32</f>
        <v>-3946139.92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557161.38</v>
      </c>
      <c r="E28" s="264">
        <f>SUM(E29:E31)</f>
        <v>769487.71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227"/>
      <c r="E29" s="265"/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227">
        <v>557161.38</v>
      </c>
      <c r="E31" s="265">
        <v>769487.71</v>
      </c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5140572.2800000012</v>
      </c>
      <c r="E32" s="264">
        <f>SUM(E33:E39)</f>
        <v>4715627.63</v>
      </c>
      <c r="F32" s="76"/>
      <c r="G32" s="368"/>
      <c r="H32" s="76"/>
      <c r="I32" s="76"/>
      <c r="J32" s="76"/>
    </row>
    <row r="33" spans="2:10">
      <c r="B33" s="111" t="s">
        <v>4</v>
      </c>
      <c r="C33" s="6" t="s">
        <v>25</v>
      </c>
      <c r="D33" s="227">
        <v>4225555.49</v>
      </c>
      <c r="E33" s="265">
        <f>4178193.93+79028.91</f>
        <v>4257222.84</v>
      </c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21358.240000000002</v>
      </c>
      <c r="E35" s="265">
        <v>24490.98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319553.74</v>
      </c>
      <c r="E37" s="265">
        <v>213846.76</v>
      </c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574104.81000000006</v>
      </c>
      <c r="E39" s="266">
        <v>220067.05</v>
      </c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-178773.45</v>
      </c>
      <c r="E40" s="271">
        <v>288697.40000000002</v>
      </c>
      <c r="G40" s="80"/>
    </row>
    <row r="41" spans="2:10" ht="13.5" thickBot="1">
      <c r="B41" s="106" t="s">
        <v>37</v>
      </c>
      <c r="C41" s="107" t="s">
        <v>38</v>
      </c>
      <c r="D41" s="230">
        <v>31476027.550000004</v>
      </c>
      <c r="E41" s="155">
        <f>E26+E27+E40</f>
        <v>20476947.850000001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254750.1715</v>
      </c>
      <c r="E47" s="156">
        <v>167020.00255999999</v>
      </c>
      <c r="G47" s="76"/>
    </row>
    <row r="48" spans="2:10">
      <c r="B48" s="130" t="s">
        <v>6</v>
      </c>
      <c r="C48" s="22" t="s">
        <v>41</v>
      </c>
      <c r="D48" s="232">
        <v>222508.32425999999</v>
      </c>
      <c r="E48" s="339">
        <v>141880.64869999999</v>
      </c>
      <c r="G48" s="210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109" t="s">
        <v>4</v>
      </c>
      <c r="C50" s="15" t="s">
        <v>40</v>
      </c>
      <c r="D50" s="231">
        <v>142.25</v>
      </c>
      <c r="E50" s="156">
        <v>144.5</v>
      </c>
      <c r="G50" s="190"/>
    </row>
    <row r="51" spans="2:7">
      <c r="B51" s="109" t="s">
        <v>6</v>
      </c>
      <c r="C51" s="15" t="s">
        <v>114</v>
      </c>
      <c r="D51" s="234">
        <v>141.22</v>
      </c>
      <c r="E51" s="81">
        <v>144.07</v>
      </c>
      <c r="G51" s="190"/>
    </row>
    <row r="52" spans="2:7">
      <c r="B52" s="109" t="s">
        <v>8</v>
      </c>
      <c r="C52" s="15" t="s">
        <v>115</v>
      </c>
      <c r="D52" s="234">
        <v>143.47</v>
      </c>
      <c r="E52" s="81">
        <v>146.76</v>
      </c>
    </row>
    <row r="53" spans="2:7" ht="12.75" customHeight="1" thickBot="1">
      <c r="B53" s="110" t="s">
        <v>9</v>
      </c>
      <c r="C53" s="17" t="s">
        <v>41</v>
      </c>
      <c r="D53" s="235">
        <v>141.46</v>
      </c>
      <c r="E53" s="340">
        <v>146.44999999999999</v>
      </c>
      <c r="G53" s="159"/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20476947.850000001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E12</f>
        <v>20476947.850000001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7" t="s">
        <v>64</v>
      </c>
      <c r="C74" s="128" t="s">
        <v>66</v>
      </c>
      <c r="D74" s="129">
        <f>D58-D73</f>
        <v>20476947.850000001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20476947.850000001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6" bottom="0.33" header="0.5" footer="0.5"/>
  <pageSetup paperSize="9" scale="70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0"/>
  <dimension ref="A1:L81"/>
  <sheetViews>
    <sheetView zoomScale="80" zoomScaleNormal="80" workbookViewId="0">
      <selection activeCell="J21" sqref="J21:L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0.42578125" customWidth="1"/>
    <col min="9" max="9" width="13.28515625" customWidth="1"/>
    <col min="10" max="10" width="13.5703125" customWidth="1"/>
    <col min="11" max="11" width="9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  <c r="L4" s="190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160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162660.99</v>
      </c>
      <c r="E11" s="284">
        <f>SUM(E12:E14)</f>
        <v>117273.58</v>
      </c>
    </row>
    <row r="12" spans="2:12">
      <c r="B12" s="113" t="s">
        <v>4</v>
      </c>
      <c r="C12" s="6" t="s">
        <v>5</v>
      </c>
      <c r="D12" s="329">
        <v>162660.99</v>
      </c>
      <c r="E12" s="353">
        <f>117279.01-5.43</f>
        <v>117273.58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162660.99</v>
      </c>
      <c r="E21" s="155">
        <f>E11-E17</f>
        <v>117273.58</v>
      </c>
      <c r="F21" s="83"/>
      <c r="G21" s="83"/>
      <c r="H21" s="177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95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177152.93999999997</v>
      </c>
      <c r="E26" s="270">
        <f>D21</f>
        <v>162660.99</v>
      </c>
      <c r="G26" s="80"/>
    </row>
    <row r="27" spans="2:11">
      <c r="B27" s="9" t="s">
        <v>17</v>
      </c>
      <c r="C27" s="10" t="s">
        <v>111</v>
      </c>
      <c r="D27" s="226">
        <v>-23655.4</v>
      </c>
      <c r="E27" s="263">
        <f>E28-E32</f>
        <v>-51036.26</v>
      </c>
      <c r="F27" s="76"/>
      <c r="G27" s="80"/>
      <c r="H27" s="359"/>
      <c r="I27" s="76"/>
      <c r="J27" s="76"/>
    </row>
    <row r="28" spans="2:11">
      <c r="B28" s="9" t="s">
        <v>18</v>
      </c>
      <c r="C28" s="10" t="s">
        <v>19</v>
      </c>
      <c r="D28" s="226">
        <v>2240.0100000000002</v>
      </c>
      <c r="E28" s="264">
        <f>SUM(E29:E31)</f>
        <v>1260.21</v>
      </c>
      <c r="F28" s="76"/>
      <c r="G28" s="76"/>
      <c r="H28" s="359"/>
      <c r="I28" s="76"/>
      <c r="J28" s="76"/>
    </row>
    <row r="29" spans="2:11">
      <c r="B29" s="111" t="s">
        <v>4</v>
      </c>
      <c r="C29" s="6" t="s">
        <v>20</v>
      </c>
      <c r="D29" s="227">
        <v>2240.0100000000002</v>
      </c>
      <c r="E29" s="265">
        <v>1260.21</v>
      </c>
      <c r="F29" s="76"/>
      <c r="G29" s="76"/>
      <c r="H29" s="359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76"/>
      <c r="H30" s="359"/>
      <c r="I30" s="76"/>
      <c r="J30" s="76"/>
    </row>
    <row r="31" spans="2:11">
      <c r="B31" s="111" t="s">
        <v>8</v>
      </c>
      <c r="C31" s="6" t="s">
        <v>22</v>
      </c>
      <c r="D31" s="227"/>
      <c r="E31" s="265"/>
      <c r="F31" s="76"/>
      <c r="G31" s="76"/>
      <c r="H31" s="359"/>
      <c r="I31" s="76"/>
      <c r="J31" s="76"/>
    </row>
    <row r="32" spans="2:11">
      <c r="B32" s="99" t="s">
        <v>23</v>
      </c>
      <c r="C32" s="11" t="s">
        <v>24</v>
      </c>
      <c r="D32" s="226">
        <v>25895.41</v>
      </c>
      <c r="E32" s="264">
        <f>SUM(E33:E39)</f>
        <v>52296.47</v>
      </c>
      <c r="F32" s="76"/>
      <c r="G32" s="80"/>
      <c r="H32" s="359"/>
      <c r="I32" s="76"/>
      <c r="J32" s="76"/>
    </row>
    <row r="33" spans="2:10">
      <c r="B33" s="111" t="s">
        <v>4</v>
      </c>
      <c r="C33" s="6" t="s">
        <v>25</v>
      </c>
      <c r="D33" s="227">
        <v>24933.05</v>
      </c>
      <c r="E33" s="265">
        <f>8186.38-2830.94</f>
        <v>5355.4400000000005</v>
      </c>
      <c r="F33" s="76"/>
      <c r="G33" s="76"/>
      <c r="H33" s="359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76"/>
      <c r="H34" s="359"/>
      <c r="I34" s="76"/>
      <c r="J34" s="76"/>
    </row>
    <row r="35" spans="2:10">
      <c r="B35" s="111" t="s">
        <v>8</v>
      </c>
      <c r="C35" s="6" t="s">
        <v>27</v>
      </c>
      <c r="D35" s="227">
        <v>76.41</v>
      </c>
      <c r="E35" s="265">
        <v>141.07</v>
      </c>
      <c r="F35" s="76"/>
      <c r="G35" s="76"/>
      <c r="H35" s="359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76"/>
      <c r="H36" s="359"/>
      <c r="I36" s="76"/>
      <c r="J36" s="76"/>
    </row>
    <row r="37" spans="2:10" ht="25.5">
      <c r="B37" s="111" t="s">
        <v>29</v>
      </c>
      <c r="C37" s="6" t="s">
        <v>30</v>
      </c>
      <c r="D37" s="227">
        <v>885.95</v>
      </c>
      <c r="E37" s="265">
        <v>881.3</v>
      </c>
      <c r="F37" s="76"/>
      <c r="G37" s="76"/>
      <c r="H37" s="359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76"/>
      <c r="H38" s="359"/>
      <c r="I38" s="76"/>
      <c r="J38" s="76"/>
    </row>
    <row r="39" spans="2:10">
      <c r="B39" s="112" t="s">
        <v>33</v>
      </c>
      <c r="C39" s="12" t="s">
        <v>34</v>
      </c>
      <c r="D39" s="228"/>
      <c r="E39" s="266">
        <v>45918.66</v>
      </c>
      <c r="F39" s="76"/>
      <c r="G39" s="76"/>
      <c r="H39" s="359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-16573.54</v>
      </c>
      <c r="E40" s="271">
        <v>5648.85</v>
      </c>
      <c r="G40" s="80"/>
    </row>
    <row r="41" spans="2:10" ht="13.5" thickBot="1">
      <c r="B41" s="106" t="s">
        <v>37</v>
      </c>
      <c r="C41" s="107" t="s">
        <v>38</v>
      </c>
      <c r="D41" s="230">
        <v>136923.99999999997</v>
      </c>
      <c r="E41" s="155">
        <f>E26+E27+E40</f>
        <v>117273.57999999999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1739.3514</v>
      </c>
      <c r="E47" s="156">
        <v>1798.3525999999999</v>
      </c>
      <c r="G47" s="76"/>
    </row>
    <row r="48" spans="2:10">
      <c r="B48" s="130" t="s">
        <v>6</v>
      </c>
      <c r="C48" s="22" t="s">
        <v>41</v>
      </c>
      <c r="D48" s="232">
        <v>1484.5929000000001</v>
      </c>
      <c r="E48" s="339">
        <v>1255.6057815845825</v>
      </c>
      <c r="G48" s="16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109" t="s">
        <v>4</v>
      </c>
      <c r="C50" s="15" t="s">
        <v>40</v>
      </c>
      <c r="D50" s="231">
        <v>101.85</v>
      </c>
      <c r="E50" s="156">
        <v>90.45</v>
      </c>
      <c r="G50" s="190"/>
    </row>
    <row r="51" spans="2:7">
      <c r="B51" s="109" t="s">
        <v>6</v>
      </c>
      <c r="C51" s="15" t="s">
        <v>114</v>
      </c>
      <c r="D51" s="234">
        <v>90.89</v>
      </c>
      <c r="E51" s="156">
        <v>88.41</v>
      </c>
      <c r="G51" s="190"/>
    </row>
    <row r="52" spans="2:7">
      <c r="B52" s="109" t="s">
        <v>8</v>
      </c>
      <c r="C52" s="15" t="s">
        <v>115</v>
      </c>
      <c r="D52" s="234">
        <v>107.29</v>
      </c>
      <c r="E52" s="81">
        <v>98.28</v>
      </c>
    </row>
    <row r="53" spans="2:7" ht="13.5" customHeight="1" thickBot="1">
      <c r="B53" s="110" t="s">
        <v>9</v>
      </c>
      <c r="C53" s="17" t="s">
        <v>41</v>
      </c>
      <c r="D53" s="235">
        <v>92.23</v>
      </c>
      <c r="E53" s="340">
        <v>93.4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117273.58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117273.58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117273.58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117273.58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81"/>
  <sheetViews>
    <sheetView zoomScale="80" zoomScaleNormal="80" workbookViewId="0">
      <selection activeCell="G21" sqref="G21:K3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5703125" customWidth="1"/>
    <col min="12" max="12" width="12.42578125" bestFit="1" customWidth="1"/>
    <col min="14" max="14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2"/>
      <c r="C4" s="92"/>
      <c r="D4" s="92"/>
      <c r="E4" s="92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143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3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66291035.709999993</v>
      </c>
      <c r="E11" s="284">
        <f>SUM(E12:E14)</f>
        <v>68465508.450000003</v>
      </c>
    </row>
    <row r="12" spans="2:12">
      <c r="B12" s="113" t="s">
        <v>4</v>
      </c>
      <c r="C12" s="6" t="s">
        <v>5</v>
      </c>
      <c r="D12" s="329">
        <v>66081046.089999996</v>
      </c>
      <c r="E12" s="353">
        <f>69901403.8+265497.42+7.27-1812293.55</f>
        <v>68354614.939999998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>
        <v>209989.62</v>
      </c>
      <c r="E14" s="354">
        <f>E15</f>
        <v>110893.51</v>
      </c>
    </row>
    <row r="15" spans="2:12">
      <c r="B15" s="113" t="s">
        <v>106</v>
      </c>
      <c r="C15" s="71" t="s">
        <v>11</v>
      </c>
      <c r="D15" s="322">
        <v>209989.62</v>
      </c>
      <c r="E15" s="354">
        <v>110893.51</v>
      </c>
    </row>
    <row r="16" spans="2:12">
      <c r="B16" s="114" t="s">
        <v>107</v>
      </c>
      <c r="C16" s="98" t="s">
        <v>12</v>
      </c>
      <c r="D16" s="324"/>
      <c r="E16" s="355"/>
    </row>
    <row r="17" spans="2:14">
      <c r="B17" s="9" t="s">
        <v>13</v>
      </c>
      <c r="C17" s="11" t="s">
        <v>65</v>
      </c>
      <c r="D17" s="325">
        <v>97365.56</v>
      </c>
      <c r="E17" s="356">
        <f>E18</f>
        <v>86903.83</v>
      </c>
    </row>
    <row r="18" spans="2:14">
      <c r="B18" s="113" t="s">
        <v>4</v>
      </c>
      <c r="C18" s="6" t="s">
        <v>11</v>
      </c>
      <c r="D18" s="324">
        <v>97365.56</v>
      </c>
      <c r="E18" s="355">
        <v>86903.83</v>
      </c>
    </row>
    <row r="19" spans="2:14" ht="15" customHeight="1">
      <c r="B19" s="113" t="s">
        <v>6</v>
      </c>
      <c r="C19" s="71" t="s">
        <v>108</v>
      </c>
      <c r="D19" s="322"/>
      <c r="E19" s="354"/>
    </row>
    <row r="20" spans="2:14" ht="13.5" customHeight="1" thickBot="1">
      <c r="B20" s="115" t="s">
        <v>8</v>
      </c>
      <c r="C20" s="72" t="s">
        <v>14</v>
      </c>
      <c r="D20" s="285"/>
      <c r="E20" s="286"/>
      <c r="N20" s="76"/>
    </row>
    <row r="21" spans="2:14" ht="13.5" thickBot="1">
      <c r="B21" s="505" t="s">
        <v>110</v>
      </c>
      <c r="C21" s="506"/>
      <c r="D21" s="287">
        <v>66193670.149999991</v>
      </c>
      <c r="E21" s="155">
        <f>E11-E17</f>
        <v>68378604.620000005</v>
      </c>
      <c r="F21" s="83"/>
      <c r="G21" s="83"/>
      <c r="H21" s="176"/>
      <c r="J21" s="254"/>
      <c r="K21" s="70"/>
    </row>
    <row r="22" spans="2:14">
      <c r="B22" s="3"/>
      <c r="C22" s="7"/>
      <c r="D22" s="8"/>
      <c r="E22" s="8"/>
      <c r="G22" s="169"/>
    </row>
    <row r="23" spans="2:14" ht="13.5">
      <c r="B23" s="499" t="s">
        <v>104</v>
      </c>
      <c r="C23" s="507"/>
      <c r="D23" s="507"/>
      <c r="E23" s="507"/>
      <c r="G23" s="76"/>
    </row>
    <row r="24" spans="2:14" ht="15.75" customHeight="1" thickBot="1">
      <c r="B24" s="498" t="s">
        <v>105</v>
      </c>
      <c r="C24" s="508"/>
      <c r="D24" s="508"/>
      <c r="E24" s="508"/>
    </row>
    <row r="25" spans="2:14" ht="13.5" thickBot="1">
      <c r="B25" s="93"/>
      <c r="C25" s="5" t="s">
        <v>2</v>
      </c>
      <c r="D25" s="73" t="s">
        <v>125</v>
      </c>
      <c r="E25" s="29" t="s">
        <v>145</v>
      </c>
    </row>
    <row r="26" spans="2:14">
      <c r="B26" s="102" t="s">
        <v>15</v>
      </c>
      <c r="C26" s="103" t="s">
        <v>16</v>
      </c>
      <c r="D26" s="225">
        <v>69323138.370000005</v>
      </c>
      <c r="E26" s="270">
        <f>D21</f>
        <v>66193670.149999991</v>
      </c>
      <c r="G26" s="80"/>
    </row>
    <row r="27" spans="2:14">
      <c r="B27" s="9" t="s">
        <v>17</v>
      </c>
      <c r="C27" s="10" t="s">
        <v>111</v>
      </c>
      <c r="D27" s="226">
        <v>-2745171.7199999997</v>
      </c>
      <c r="E27" s="364">
        <f>E28-E32</f>
        <v>1167491.209999999</v>
      </c>
      <c r="F27" s="76"/>
      <c r="G27" s="160"/>
      <c r="H27" s="359"/>
      <c r="I27" s="359"/>
      <c r="J27" s="359"/>
    </row>
    <row r="28" spans="2:14">
      <c r="B28" s="9" t="s">
        <v>18</v>
      </c>
      <c r="C28" s="10" t="s">
        <v>19</v>
      </c>
      <c r="D28" s="226">
        <v>5620157.8200000003</v>
      </c>
      <c r="E28" s="364">
        <f>SUM(E29:E31)</f>
        <v>6409810.7399999993</v>
      </c>
      <c r="F28" s="76"/>
      <c r="G28" s="76"/>
      <c r="H28" s="359"/>
      <c r="I28" s="359"/>
      <c r="J28" s="359"/>
    </row>
    <row r="29" spans="2:14">
      <c r="B29" s="111" t="s">
        <v>4</v>
      </c>
      <c r="C29" s="6" t="s">
        <v>20</v>
      </c>
      <c r="D29" s="227">
        <v>4943528.6900000004</v>
      </c>
      <c r="E29" s="363">
        <v>5290586.5699999994</v>
      </c>
      <c r="F29" s="76"/>
      <c r="G29" s="76"/>
      <c r="H29" s="359"/>
      <c r="I29" s="359"/>
      <c r="J29" s="359"/>
    </row>
    <row r="30" spans="2:14">
      <c r="B30" s="111" t="s">
        <v>6</v>
      </c>
      <c r="C30" s="6" t="s">
        <v>21</v>
      </c>
      <c r="D30" s="227"/>
      <c r="E30" s="363"/>
      <c r="F30" s="76"/>
      <c r="G30" s="76"/>
      <c r="H30" s="359"/>
      <c r="I30" s="359"/>
      <c r="J30" s="359"/>
    </row>
    <row r="31" spans="2:14">
      <c r="B31" s="111" t="s">
        <v>8</v>
      </c>
      <c r="C31" s="6" t="s">
        <v>22</v>
      </c>
      <c r="D31" s="227">
        <v>676629.13</v>
      </c>
      <c r="E31" s="363">
        <v>1119224.17</v>
      </c>
      <c r="F31" s="76"/>
      <c r="G31" s="76"/>
      <c r="H31" s="359"/>
      <c r="I31" s="359"/>
      <c r="J31" s="359"/>
    </row>
    <row r="32" spans="2:14">
      <c r="B32" s="99" t="s">
        <v>23</v>
      </c>
      <c r="C32" s="11" t="s">
        <v>24</v>
      </c>
      <c r="D32" s="226">
        <v>8365329.54</v>
      </c>
      <c r="E32" s="364">
        <f>SUM(E33:E39)</f>
        <v>5242319.53</v>
      </c>
      <c r="F32" s="76"/>
      <c r="G32" s="160"/>
      <c r="H32" s="359"/>
      <c r="I32" s="359"/>
      <c r="J32" s="359"/>
    </row>
    <row r="33" spans="2:10">
      <c r="B33" s="111" t="s">
        <v>4</v>
      </c>
      <c r="C33" s="6" t="s">
        <v>25</v>
      </c>
      <c r="D33" s="227">
        <v>6824577.2000000002</v>
      </c>
      <c r="E33" s="363">
        <f>4531284.64-325407.22</f>
        <v>4205877.42</v>
      </c>
      <c r="F33" s="76"/>
      <c r="G33" s="76"/>
      <c r="H33" s="359"/>
      <c r="I33" s="359"/>
      <c r="J33" s="359"/>
    </row>
    <row r="34" spans="2:10">
      <c r="B34" s="111" t="s">
        <v>6</v>
      </c>
      <c r="C34" s="6" t="s">
        <v>26</v>
      </c>
      <c r="D34" s="227"/>
      <c r="E34" s="363"/>
      <c r="F34" s="76"/>
      <c r="G34" s="76"/>
      <c r="H34" s="359"/>
      <c r="I34" s="359"/>
      <c r="J34" s="359"/>
    </row>
    <row r="35" spans="2:10">
      <c r="B35" s="111" t="s">
        <v>8</v>
      </c>
      <c r="C35" s="6" t="s">
        <v>27</v>
      </c>
      <c r="D35" s="227">
        <v>632823.85</v>
      </c>
      <c r="E35" s="363">
        <v>620833.41</v>
      </c>
      <c r="F35" s="76"/>
      <c r="G35" s="76"/>
      <c r="H35" s="359"/>
      <c r="I35" s="359"/>
      <c r="J35" s="359"/>
    </row>
    <row r="36" spans="2:10">
      <c r="B36" s="111" t="s">
        <v>9</v>
      </c>
      <c r="C36" s="6" t="s">
        <v>28</v>
      </c>
      <c r="D36" s="227"/>
      <c r="E36" s="363"/>
      <c r="F36" s="76"/>
      <c r="G36" s="76"/>
      <c r="H36" s="359"/>
      <c r="I36" s="359"/>
      <c r="J36" s="359"/>
    </row>
    <row r="37" spans="2:10" ht="25.5">
      <c r="B37" s="111" t="s">
        <v>29</v>
      </c>
      <c r="C37" s="6" t="s">
        <v>30</v>
      </c>
      <c r="D37" s="227"/>
      <c r="E37" s="363"/>
      <c r="F37" s="76"/>
      <c r="G37" s="76"/>
      <c r="H37" s="359"/>
      <c r="I37" s="359"/>
      <c r="J37" s="359"/>
    </row>
    <row r="38" spans="2:10">
      <c r="B38" s="111" t="s">
        <v>31</v>
      </c>
      <c r="C38" s="6" t="s">
        <v>32</v>
      </c>
      <c r="D38" s="227"/>
      <c r="E38" s="363"/>
      <c r="F38" s="76"/>
      <c r="G38" s="76"/>
      <c r="H38" s="359"/>
      <c r="I38" s="359"/>
      <c r="J38" s="359"/>
    </row>
    <row r="39" spans="2:10">
      <c r="B39" s="112" t="s">
        <v>33</v>
      </c>
      <c r="C39" s="12" t="s">
        <v>34</v>
      </c>
      <c r="D39" s="228">
        <v>907928.49</v>
      </c>
      <c r="E39" s="363">
        <v>415608.7</v>
      </c>
      <c r="F39" s="76"/>
      <c r="G39" s="76"/>
      <c r="H39" s="359"/>
      <c r="I39" s="359"/>
      <c r="J39" s="359"/>
    </row>
    <row r="40" spans="2:10" ht="13.5" thickBot="1">
      <c r="B40" s="104" t="s">
        <v>35</v>
      </c>
      <c r="C40" s="105" t="s">
        <v>36</v>
      </c>
      <c r="D40" s="229">
        <v>-569104.02</v>
      </c>
      <c r="E40" s="271">
        <v>1017443.26</v>
      </c>
      <c r="G40" s="80"/>
      <c r="H40" s="278"/>
      <c r="I40" s="160"/>
    </row>
    <row r="41" spans="2:10" ht="13.5" thickBot="1">
      <c r="B41" s="106" t="s">
        <v>37</v>
      </c>
      <c r="C41" s="107" t="s">
        <v>38</v>
      </c>
      <c r="D41" s="230">
        <v>66008862.630000003</v>
      </c>
      <c r="E41" s="155">
        <f>E26+E27+E40</f>
        <v>68378604.61999999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.75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3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249"/>
      <c r="E46" s="28"/>
      <c r="G46" s="76"/>
    </row>
    <row r="47" spans="2:10">
      <c r="B47" s="109" t="s">
        <v>4</v>
      </c>
      <c r="C47" s="15" t="s">
        <v>40</v>
      </c>
      <c r="D47" s="231">
        <v>1508445.1646</v>
      </c>
      <c r="E47" s="79">
        <v>1448976.9515</v>
      </c>
      <c r="G47" s="211"/>
    </row>
    <row r="48" spans="2:10">
      <c r="B48" s="130" t="s">
        <v>6</v>
      </c>
      <c r="C48" s="22" t="s">
        <v>41</v>
      </c>
      <c r="D48" s="232">
        <v>1448027.25939</v>
      </c>
      <c r="E48" s="309">
        <v>1474824.262411057</v>
      </c>
      <c r="G48" s="213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45.956684402908202</v>
      </c>
      <c r="E50" s="79">
        <v>45.683038699568002</v>
      </c>
      <c r="G50" s="239"/>
    </row>
    <row r="51" spans="2:7">
      <c r="B51" s="109" t="s">
        <v>6</v>
      </c>
      <c r="C51" s="15" t="s">
        <v>114</v>
      </c>
      <c r="D51" s="231">
        <v>45.5702</v>
      </c>
      <c r="E51" s="79">
        <v>45.683</v>
      </c>
      <c r="G51" s="190"/>
    </row>
    <row r="52" spans="2:7">
      <c r="B52" s="109" t="s">
        <v>8</v>
      </c>
      <c r="C52" s="15" t="s">
        <v>115</v>
      </c>
      <c r="D52" s="311">
        <v>46.025700000000001</v>
      </c>
      <c r="E52" s="81">
        <v>46.388599999999997</v>
      </c>
    </row>
    <row r="53" spans="2:7" ht="13.5" customHeight="1" thickBot="1">
      <c r="B53" s="110" t="s">
        <v>9</v>
      </c>
      <c r="C53" s="17" t="s">
        <v>41</v>
      </c>
      <c r="D53" s="235">
        <v>45.585372928575197</v>
      </c>
      <c r="E53" s="313">
        <v>46.363900000000001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SUM(D59:D70)</f>
        <v>68354614.939999998</v>
      </c>
      <c r="E58" s="32">
        <f>D58/E21</f>
        <v>0.99964916394340997</v>
      </c>
    </row>
    <row r="59" spans="2:7" ht="25.5">
      <c r="B59" s="21" t="s">
        <v>4</v>
      </c>
      <c r="C59" s="22" t="s">
        <v>44</v>
      </c>
      <c r="D59" s="86">
        <v>0</v>
      </c>
      <c r="E59" s="87">
        <v>0</v>
      </c>
    </row>
    <row r="60" spans="2:7" ht="25.5">
      <c r="B60" s="14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4" t="s">
        <v>8</v>
      </c>
      <c r="C61" s="15" t="s">
        <v>46</v>
      </c>
      <c r="D61" s="84">
        <v>0</v>
      </c>
      <c r="E61" s="85">
        <v>0</v>
      </c>
    </row>
    <row r="62" spans="2:7">
      <c r="B62" s="14" t="s">
        <v>9</v>
      </c>
      <c r="C62" s="15" t="s">
        <v>47</v>
      </c>
      <c r="D62" s="84">
        <v>0</v>
      </c>
      <c r="E62" s="85">
        <v>0</v>
      </c>
    </row>
    <row r="63" spans="2:7">
      <c r="B63" s="14" t="s">
        <v>29</v>
      </c>
      <c r="C63" s="15" t="s">
        <v>48</v>
      </c>
      <c r="D63" s="84">
        <v>0</v>
      </c>
      <c r="E63" s="85">
        <v>0</v>
      </c>
    </row>
    <row r="64" spans="2:7">
      <c r="B64" s="21" t="s">
        <v>31</v>
      </c>
      <c r="C64" s="22" t="s">
        <v>49</v>
      </c>
      <c r="D64" s="314">
        <f>69901403.8-1812293.55</f>
        <v>68089110.25</v>
      </c>
      <c r="E64" s="87">
        <f>D64/E21</f>
        <v>0.99576630187748327</v>
      </c>
    </row>
    <row r="65" spans="2:5">
      <c r="B65" s="21" t="s">
        <v>33</v>
      </c>
      <c r="C65" s="22" t="s">
        <v>118</v>
      </c>
      <c r="D65" s="86">
        <v>0</v>
      </c>
      <c r="E65" s="87">
        <v>0</v>
      </c>
    </row>
    <row r="66" spans="2:5">
      <c r="B66" s="21" t="s">
        <v>50</v>
      </c>
      <c r="C66" s="22" t="s">
        <v>51</v>
      </c>
      <c r="D66" s="86">
        <v>0</v>
      </c>
      <c r="E66" s="87">
        <v>0</v>
      </c>
    </row>
    <row r="67" spans="2:5">
      <c r="B67" s="14" t="s">
        <v>52</v>
      </c>
      <c r="C67" s="15" t="s">
        <v>53</v>
      </c>
      <c r="D67" s="84">
        <v>0</v>
      </c>
      <c r="E67" s="85">
        <v>0</v>
      </c>
    </row>
    <row r="68" spans="2:5">
      <c r="B68" s="14" t="s">
        <v>54</v>
      </c>
      <c r="C68" s="15" t="s">
        <v>55</v>
      </c>
      <c r="D68" s="84">
        <v>0</v>
      </c>
      <c r="E68" s="85">
        <v>0</v>
      </c>
    </row>
    <row r="69" spans="2:5">
      <c r="B69" s="14" t="s">
        <v>56</v>
      </c>
      <c r="C69" s="15" t="s">
        <v>57</v>
      </c>
      <c r="D69" s="334">
        <v>265504.69</v>
      </c>
      <c r="E69" s="85">
        <f>D69/E21</f>
        <v>3.8828620659267263E-3</v>
      </c>
    </row>
    <row r="70" spans="2:5">
      <c r="B70" s="119" t="s">
        <v>58</v>
      </c>
      <c r="C70" s="120" t="s">
        <v>59</v>
      </c>
      <c r="D70" s="121">
        <v>0</v>
      </c>
      <c r="E70" s="122">
        <v>0</v>
      </c>
    </row>
    <row r="71" spans="2:5">
      <c r="B71" s="127" t="s">
        <v>23</v>
      </c>
      <c r="C71" s="128" t="s">
        <v>61</v>
      </c>
      <c r="D71" s="129">
        <f>E13</f>
        <v>0</v>
      </c>
      <c r="E71" s="69">
        <v>0</v>
      </c>
    </row>
    <row r="72" spans="2:5">
      <c r="B72" s="123" t="s">
        <v>60</v>
      </c>
      <c r="C72" s="124" t="s">
        <v>63</v>
      </c>
      <c r="D72" s="125">
        <f>E14</f>
        <v>110893.51</v>
      </c>
      <c r="E72" s="126">
        <f>D72/E21</f>
        <v>1.6217574286031108E-3</v>
      </c>
    </row>
    <row r="73" spans="2:5">
      <c r="B73" s="23" t="s">
        <v>62</v>
      </c>
      <c r="C73" s="24" t="s">
        <v>65</v>
      </c>
      <c r="D73" s="25">
        <f>E17</f>
        <v>86903.83</v>
      </c>
      <c r="E73" s="26">
        <f>D73/E21</f>
        <v>1.2709213720132214E-3</v>
      </c>
    </row>
    <row r="74" spans="2:5">
      <c r="B74" s="127" t="s">
        <v>64</v>
      </c>
      <c r="C74" s="128" t="s">
        <v>66</v>
      </c>
      <c r="D74" s="129">
        <f>D58++D71+D72-D73</f>
        <v>68378604.620000005</v>
      </c>
      <c r="E74" s="69">
        <f>E58+E72-E73</f>
        <v>0.99999999999999978</v>
      </c>
    </row>
    <row r="75" spans="2:5">
      <c r="B75" s="14" t="s">
        <v>4</v>
      </c>
      <c r="C75" s="15" t="s">
        <v>67</v>
      </c>
      <c r="D75" s="84">
        <f>D74</f>
        <v>68378604.620000005</v>
      </c>
      <c r="E75" s="85">
        <f>E74</f>
        <v>0.99999999999999978</v>
      </c>
    </row>
    <row r="76" spans="2:5">
      <c r="B76" s="14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6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52"/>
      <c r="E78" s="25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51" bottom="0.33" header="0.5" footer="0.5"/>
  <pageSetup paperSize="9" scale="70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1"/>
  <dimension ref="A1:L81"/>
  <sheetViews>
    <sheetView zoomScale="80" zoomScaleNormal="80" workbookViewId="0">
      <selection activeCell="J21" sqref="J21:K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161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48325.51</v>
      </c>
      <c r="E11" s="284">
        <f>SUM(E12:E14)</f>
        <v>54189.599999999999</v>
      </c>
    </row>
    <row r="12" spans="2:12">
      <c r="B12" s="113" t="s">
        <v>4</v>
      </c>
      <c r="C12" s="6" t="s">
        <v>5</v>
      </c>
      <c r="D12" s="329">
        <v>48325.51</v>
      </c>
      <c r="E12" s="353">
        <v>54189.599999999999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48325.51</v>
      </c>
      <c r="E21" s="155">
        <f>E11-E17</f>
        <v>54189.599999999999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95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57279.55</v>
      </c>
      <c r="E26" s="270">
        <f>D21</f>
        <v>48325.51</v>
      </c>
      <c r="G26" s="80"/>
    </row>
    <row r="27" spans="2:11">
      <c r="B27" s="9" t="s">
        <v>17</v>
      </c>
      <c r="C27" s="10" t="s">
        <v>111</v>
      </c>
      <c r="D27" s="226">
        <v>-534.48</v>
      </c>
      <c r="E27" s="263">
        <f>E28-E32</f>
        <v>-491.69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227"/>
      <c r="E29" s="265"/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227"/>
      <c r="E31" s="265"/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534.48</v>
      </c>
      <c r="E32" s="264">
        <f>SUM(E33:E39)</f>
        <v>491.69</v>
      </c>
      <c r="F32" s="76"/>
      <c r="G32" s="368"/>
      <c r="H32" s="76"/>
      <c r="I32" s="76"/>
      <c r="J32" s="76"/>
    </row>
    <row r="33" spans="2:10">
      <c r="B33" s="111" t="s">
        <v>4</v>
      </c>
      <c r="C33" s="6" t="s">
        <v>25</v>
      </c>
      <c r="D33" s="227"/>
      <c r="E33" s="265"/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41.42</v>
      </c>
      <c r="E35" s="265">
        <v>44.71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493.06</v>
      </c>
      <c r="E37" s="265">
        <v>446.98</v>
      </c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/>
      <c r="E39" s="266"/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282.93</v>
      </c>
      <c r="E40" s="271">
        <v>6355.78</v>
      </c>
      <c r="G40" s="80"/>
    </row>
    <row r="41" spans="2:10" ht="13.5" thickBot="1">
      <c r="B41" s="106" t="s">
        <v>37</v>
      </c>
      <c r="C41" s="107" t="s">
        <v>38</v>
      </c>
      <c r="D41" s="230">
        <v>57028</v>
      </c>
      <c r="E41" s="155">
        <f>E26+E27+E40</f>
        <v>54189.599999999999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449.78050000000002</v>
      </c>
      <c r="E47" s="156">
        <v>441.53050000000002</v>
      </c>
      <c r="G47" s="76"/>
    </row>
    <row r="48" spans="2:10">
      <c r="B48" s="130" t="s">
        <v>6</v>
      </c>
      <c r="C48" s="22" t="s">
        <v>41</v>
      </c>
      <c r="D48" s="232">
        <v>445.6705</v>
      </c>
      <c r="E48" s="339">
        <v>437.43619999999999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109" t="s">
        <v>4</v>
      </c>
      <c r="C50" s="15" t="s">
        <v>40</v>
      </c>
      <c r="D50" s="231">
        <v>127.35</v>
      </c>
      <c r="E50" s="156">
        <v>109.45</v>
      </c>
      <c r="G50" s="190"/>
    </row>
    <row r="51" spans="2:7">
      <c r="B51" s="109" t="s">
        <v>6</v>
      </c>
      <c r="C51" s="15" t="s">
        <v>114</v>
      </c>
      <c r="D51" s="234">
        <v>122.88</v>
      </c>
      <c r="E51" s="81">
        <v>108.74</v>
      </c>
      <c r="G51" s="190"/>
    </row>
    <row r="52" spans="2:7">
      <c r="B52" s="109" t="s">
        <v>8</v>
      </c>
      <c r="C52" s="15" t="s">
        <v>115</v>
      </c>
      <c r="D52" s="234">
        <v>133.47</v>
      </c>
      <c r="E52" s="81">
        <v>127.62</v>
      </c>
    </row>
    <row r="53" spans="2:7" ht="12.75" customHeight="1" thickBot="1">
      <c r="B53" s="110" t="s">
        <v>9</v>
      </c>
      <c r="C53" s="17" t="s">
        <v>41</v>
      </c>
      <c r="D53" s="235">
        <v>127.96</v>
      </c>
      <c r="E53" s="340">
        <v>123.88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54189.599999999999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54189.599999999999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54189.599999999999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54189.599999999999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61" bottom="0.52" header="0.5" footer="0.5"/>
  <pageSetup paperSize="9" scale="70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2"/>
  <dimension ref="A1:L81"/>
  <sheetViews>
    <sheetView zoomScale="80" zoomScaleNormal="80" workbookViewId="0">
      <selection activeCell="G26" sqref="G26:G5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162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121378.68</v>
      </c>
      <c r="E11" s="284">
        <f>SUM(E12:E14)</f>
        <v>129624.81</v>
      </c>
    </row>
    <row r="12" spans="2:12">
      <c r="B12" s="113" t="s">
        <v>4</v>
      </c>
      <c r="C12" s="6" t="s">
        <v>5</v>
      </c>
      <c r="D12" s="329">
        <v>121378.68</v>
      </c>
      <c r="E12" s="353">
        <v>129624.81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121378.68</v>
      </c>
      <c r="E21" s="155">
        <f>E11-E17</f>
        <v>129624.81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95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219107</v>
      </c>
      <c r="E26" s="270">
        <f>D21</f>
        <v>121378.68</v>
      </c>
      <c r="G26" s="80"/>
    </row>
    <row r="27" spans="2:11">
      <c r="B27" s="9" t="s">
        <v>17</v>
      </c>
      <c r="C27" s="10" t="s">
        <v>111</v>
      </c>
      <c r="D27" s="226">
        <v>-221644.41999999998</v>
      </c>
      <c r="E27" s="263">
        <f>E28-E32</f>
        <v>-1021.67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227"/>
      <c r="E29" s="265"/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227"/>
      <c r="E31" s="265"/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221644.41999999998</v>
      </c>
      <c r="E32" s="264">
        <f>SUM(E33:E39)</f>
        <v>1021.67</v>
      </c>
      <c r="F32" s="76"/>
      <c r="G32" s="368"/>
      <c r="H32" s="76"/>
      <c r="I32" s="76"/>
      <c r="J32" s="76"/>
    </row>
    <row r="33" spans="2:10">
      <c r="B33" s="111" t="s">
        <v>4</v>
      </c>
      <c r="C33" s="6" t="s">
        <v>25</v>
      </c>
      <c r="D33" s="227"/>
      <c r="E33" s="265"/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/>
      <c r="E35" s="265"/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338.84</v>
      </c>
      <c r="E37" s="265">
        <v>1021.67</v>
      </c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221305.58</v>
      </c>
      <c r="E39" s="266"/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2537.42</v>
      </c>
      <c r="E40" s="271">
        <v>9267.7999999999993</v>
      </c>
      <c r="G40" s="368"/>
    </row>
    <row r="41" spans="2:10" ht="13.5" thickBot="1">
      <c r="B41" s="106" t="s">
        <v>37</v>
      </c>
      <c r="C41" s="107" t="s">
        <v>38</v>
      </c>
      <c r="D41" s="230" t="s">
        <v>123</v>
      </c>
      <c r="E41" s="155">
        <f>E26+E27+E40</f>
        <v>129624.81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2168.7321000000002</v>
      </c>
      <c r="E47" s="79">
        <v>1400.4694</v>
      </c>
      <c r="G47" s="76"/>
    </row>
    <row r="48" spans="2:10">
      <c r="B48" s="130" t="s">
        <v>6</v>
      </c>
      <c r="C48" s="22" t="s">
        <v>41</v>
      </c>
      <c r="D48" s="232"/>
      <c r="E48" s="352">
        <v>1389.3334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101.03</v>
      </c>
      <c r="E50" s="81">
        <v>86.67</v>
      </c>
      <c r="G50" s="190"/>
    </row>
    <row r="51" spans="2:7">
      <c r="B51" s="109" t="s">
        <v>6</v>
      </c>
      <c r="C51" s="15" t="s">
        <v>114</v>
      </c>
      <c r="D51" s="234">
        <v>95.34</v>
      </c>
      <c r="E51" s="81">
        <v>86.58</v>
      </c>
      <c r="G51" s="190"/>
    </row>
    <row r="52" spans="2:7">
      <c r="B52" s="109" t="s">
        <v>8</v>
      </c>
      <c r="C52" s="15" t="s">
        <v>115</v>
      </c>
      <c r="D52" s="234">
        <v>103.7</v>
      </c>
      <c r="E52" s="81">
        <v>95.76</v>
      </c>
    </row>
    <row r="53" spans="2:7" ht="12.75" customHeight="1" thickBot="1">
      <c r="B53" s="110" t="s">
        <v>9</v>
      </c>
      <c r="C53" s="17" t="s">
        <v>41</v>
      </c>
      <c r="D53" s="235"/>
      <c r="E53" s="340">
        <v>93.3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8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129624.81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129624.81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129624.81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129624.81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3"/>
  <dimension ref="A1:L81"/>
  <sheetViews>
    <sheetView zoomScale="80" zoomScaleNormal="80" workbookViewId="0">
      <selection activeCell="J21" sqref="J21:K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163</v>
      </c>
      <c r="C6" s="497"/>
      <c r="D6" s="497"/>
      <c r="E6" s="497"/>
    </row>
    <row r="7" spans="2:12" ht="14.25">
      <c r="B7" s="157"/>
      <c r="C7" s="157"/>
      <c r="D7" s="157"/>
      <c r="E7" s="157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8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35242.28</v>
      </c>
      <c r="E11" s="284">
        <f>SUM(E12:E14)</f>
        <v>37955.17</v>
      </c>
    </row>
    <row r="12" spans="2:12">
      <c r="B12" s="113" t="s">
        <v>4</v>
      </c>
      <c r="C12" s="6" t="s">
        <v>5</v>
      </c>
      <c r="D12" s="329">
        <v>35242.28</v>
      </c>
      <c r="E12" s="353">
        <v>37955.17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35242.28</v>
      </c>
      <c r="E21" s="155">
        <f>E11-E17</f>
        <v>37955.17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158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46995.21</v>
      </c>
      <c r="E26" s="270">
        <f>D21</f>
        <v>35242.28</v>
      </c>
      <c r="G26" s="80"/>
    </row>
    <row r="27" spans="2:11">
      <c r="B27" s="9" t="s">
        <v>17</v>
      </c>
      <c r="C27" s="10" t="s">
        <v>111</v>
      </c>
      <c r="D27" s="226">
        <v>-433.82000000000005</v>
      </c>
      <c r="E27" s="263">
        <f>E28-E32</f>
        <v>-346.78000000000003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227"/>
      <c r="E29" s="265"/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227"/>
      <c r="E31" s="265"/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433.82000000000005</v>
      </c>
      <c r="E32" s="264">
        <f>SUM(E33:E39)</f>
        <v>346.78000000000003</v>
      </c>
      <c r="F32" s="76"/>
      <c r="G32" s="368"/>
      <c r="H32" s="76"/>
      <c r="I32" s="76"/>
      <c r="J32" s="76"/>
    </row>
    <row r="33" spans="2:10">
      <c r="B33" s="111" t="s">
        <v>4</v>
      </c>
      <c r="C33" s="6" t="s">
        <v>25</v>
      </c>
      <c r="D33" s="227"/>
      <c r="E33" s="265"/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32.1</v>
      </c>
      <c r="E35" s="265">
        <v>30.43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401.72</v>
      </c>
      <c r="E37" s="265">
        <v>316.35000000000002</v>
      </c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/>
      <c r="E39" s="266"/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-4172.6899999999996</v>
      </c>
      <c r="E40" s="271">
        <v>3059.67</v>
      </c>
      <c r="G40" s="80"/>
    </row>
    <row r="41" spans="2:10" ht="13.5" thickBot="1">
      <c r="B41" s="106" t="s">
        <v>37</v>
      </c>
      <c r="C41" s="107" t="s">
        <v>38</v>
      </c>
      <c r="D41" s="230">
        <v>42388.7</v>
      </c>
      <c r="E41" s="155">
        <f>E26+E27+E40</f>
        <v>37955.17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58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407.37869999999998</v>
      </c>
      <c r="E47" s="79">
        <v>399.93509999999998</v>
      </c>
      <c r="G47" s="76"/>
    </row>
    <row r="48" spans="2:10">
      <c r="B48" s="130" t="s">
        <v>6</v>
      </c>
      <c r="C48" s="22" t="s">
        <v>41</v>
      </c>
      <c r="D48" s="232">
        <v>403.6635</v>
      </c>
      <c r="E48" s="352">
        <v>396.23309999999998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115.36</v>
      </c>
      <c r="E50" s="81">
        <v>88.12</v>
      </c>
      <c r="G50" s="190"/>
    </row>
    <row r="51" spans="2:7">
      <c r="B51" s="109" t="s">
        <v>6</v>
      </c>
      <c r="C51" s="15" t="s">
        <v>114</v>
      </c>
      <c r="D51" s="234">
        <v>102.77</v>
      </c>
      <c r="E51" s="81">
        <v>87.78</v>
      </c>
      <c r="G51" s="190"/>
    </row>
    <row r="52" spans="2:7">
      <c r="B52" s="109" t="s">
        <v>8</v>
      </c>
      <c r="C52" s="15" t="s">
        <v>115</v>
      </c>
      <c r="D52" s="234">
        <v>125.68</v>
      </c>
      <c r="E52" s="81">
        <v>99.11</v>
      </c>
    </row>
    <row r="53" spans="2:7" ht="13.5" thickBot="1">
      <c r="B53" s="110" t="s">
        <v>9</v>
      </c>
      <c r="C53" s="17" t="s">
        <v>41</v>
      </c>
      <c r="D53" s="235">
        <v>105.01</v>
      </c>
      <c r="E53" s="340">
        <v>95.79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37955.17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37955.17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37955.17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37955.17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4"/>
  <dimension ref="A1:L81"/>
  <sheetViews>
    <sheetView zoomScale="80" zoomScaleNormal="80" workbookViewId="0">
      <selection activeCell="J21" sqref="J21:K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J2" s="76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164</v>
      </c>
      <c r="C6" s="497"/>
      <c r="D6" s="497"/>
      <c r="E6" s="497"/>
      <c r="J6" s="76"/>
    </row>
    <row r="7" spans="2:12" ht="14.25">
      <c r="B7" s="157"/>
      <c r="C7" s="157"/>
      <c r="D7" s="157"/>
      <c r="E7" s="157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8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268396.09000000003</v>
      </c>
      <c r="E11" s="284">
        <f>SUM(E12:E14)</f>
        <v>315076.61</v>
      </c>
      <c r="F11" s="190"/>
    </row>
    <row r="12" spans="2:12">
      <c r="B12" s="191" t="s">
        <v>4</v>
      </c>
      <c r="C12" s="192" t="s">
        <v>5</v>
      </c>
      <c r="D12" s="329">
        <v>268396.09000000003</v>
      </c>
      <c r="E12" s="353">
        <f>316490.47-1413.86</f>
        <v>315076.61</v>
      </c>
      <c r="F12" s="190"/>
    </row>
    <row r="13" spans="2:12">
      <c r="B13" s="191" t="s">
        <v>6</v>
      </c>
      <c r="C13" s="193" t="s">
        <v>7</v>
      </c>
      <c r="D13" s="322"/>
      <c r="E13" s="354"/>
      <c r="F13" s="190"/>
    </row>
    <row r="14" spans="2:12">
      <c r="B14" s="191" t="s">
        <v>8</v>
      </c>
      <c r="C14" s="193" t="s">
        <v>10</v>
      </c>
      <c r="D14" s="322"/>
      <c r="E14" s="354"/>
      <c r="F14" s="190"/>
      <c r="G14" s="70"/>
    </row>
    <row r="15" spans="2:12">
      <c r="B15" s="191" t="s">
        <v>106</v>
      </c>
      <c r="C15" s="193" t="s">
        <v>11</v>
      </c>
      <c r="D15" s="322"/>
      <c r="E15" s="354"/>
      <c r="F15" s="190"/>
    </row>
    <row r="16" spans="2:12">
      <c r="B16" s="194" t="s">
        <v>107</v>
      </c>
      <c r="C16" s="195" t="s">
        <v>12</v>
      </c>
      <c r="D16" s="324"/>
      <c r="E16" s="355"/>
      <c r="F16" s="190"/>
    </row>
    <row r="17" spans="2:11">
      <c r="B17" s="9" t="s">
        <v>13</v>
      </c>
      <c r="C17" s="11" t="s">
        <v>65</v>
      </c>
      <c r="D17" s="325"/>
      <c r="E17" s="356"/>
      <c r="F17" s="190"/>
    </row>
    <row r="18" spans="2:11">
      <c r="B18" s="191" t="s">
        <v>4</v>
      </c>
      <c r="C18" s="192" t="s">
        <v>11</v>
      </c>
      <c r="D18" s="324"/>
      <c r="E18" s="355"/>
      <c r="F18" s="190"/>
    </row>
    <row r="19" spans="2:11" ht="15" customHeight="1">
      <c r="B19" s="191" t="s">
        <v>6</v>
      </c>
      <c r="C19" s="193" t="s">
        <v>108</v>
      </c>
      <c r="D19" s="322"/>
      <c r="E19" s="354"/>
      <c r="F19" s="190"/>
    </row>
    <row r="20" spans="2:11" ht="13.5" thickBot="1">
      <c r="B20" s="196" t="s">
        <v>8</v>
      </c>
      <c r="C20" s="197" t="s">
        <v>14</v>
      </c>
      <c r="D20" s="285"/>
      <c r="E20" s="286"/>
      <c r="F20" s="190"/>
    </row>
    <row r="21" spans="2:11" ht="13.5" thickBot="1">
      <c r="B21" s="505" t="s">
        <v>110</v>
      </c>
      <c r="C21" s="506"/>
      <c r="D21" s="287">
        <v>268396.09000000003</v>
      </c>
      <c r="E21" s="155">
        <f>E11-E17</f>
        <v>315076.61</v>
      </c>
      <c r="F21" s="160"/>
      <c r="G21" s="83"/>
      <c r="H21" s="176"/>
      <c r="J21" s="254"/>
      <c r="K21" s="70"/>
    </row>
    <row r="22" spans="2:11">
      <c r="B22" s="3"/>
      <c r="C22" s="7"/>
      <c r="D22" s="8"/>
      <c r="E22" s="8"/>
      <c r="F22" s="190"/>
      <c r="G22" s="169"/>
    </row>
    <row r="23" spans="2:11" ht="13.5">
      <c r="B23" s="499" t="s">
        <v>104</v>
      </c>
      <c r="C23" s="509"/>
      <c r="D23" s="509"/>
      <c r="E23" s="509"/>
      <c r="F23" s="190"/>
      <c r="G23" s="76"/>
    </row>
    <row r="24" spans="2:11" ht="15.75" customHeight="1" thickBot="1">
      <c r="B24" s="498" t="s">
        <v>105</v>
      </c>
      <c r="C24" s="510"/>
      <c r="D24" s="510"/>
      <c r="E24" s="510"/>
      <c r="F24" s="190"/>
    </row>
    <row r="25" spans="2:11" ht="13.5" thickBot="1">
      <c r="B25" s="188"/>
      <c r="C25" s="198" t="s">
        <v>2</v>
      </c>
      <c r="D25" s="73" t="s">
        <v>125</v>
      </c>
      <c r="E25" s="29" t="s">
        <v>145</v>
      </c>
      <c r="F25" s="190"/>
    </row>
    <row r="26" spans="2:11">
      <c r="B26" s="102" t="s">
        <v>15</v>
      </c>
      <c r="C26" s="103" t="s">
        <v>16</v>
      </c>
      <c r="D26" s="225">
        <v>124639.38</v>
      </c>
      <c r="E26" s="270">
        <f>D21</f>
        <v>268396.09000000003</v>
      </c>
      <c r="F26" s="190"/>
      <c r="G26" s="160"/>
    </row>
    <row r="27" spans="2:11">
      <c r="B27" s="9" t="s">
        <v>17</v>
      </c>
      <c r="C27" s="10" t="s">
        <v>111</v>
      </c>
      <c r="D27" s="226">
        <v>67656.049999999988</v>
      </c>
      <c r="E27" s="263">
        <f>E28-E32</f>
        <v>17376.86</v>
      </c>
      <c r="F27" s="160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95298.409999999989</v>
      </c>
      <c r="E28" s="264">
        <f>SUM(E29:E31)</f>
        <v>105185.01</v>
      </c>
      <c r="F28" s="160"/>
      <c r="G28" s="359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95197.04</v>
      </c>
      <c r="E29" s="265">
        <v>72625.679999999993</v>
      </c>
      <c r="F29" s="160"/>
      <c r="G29" s="359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160"/>
      <c r="G30" s="359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101.37</v>
      </c>
      <c r="E31" s="265">
        <v>32559.33</v>
      </c>
      <c r="F31" s="160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27642.36</v>
      </c>
      <c r="E32" s="264">
        <f>SUM(E33:E39)</f>
        <v>87808.15</v>
      </c>
      <c r="F32" s="160"/>
      <c r="G32" s="368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22032.469999999998</v>
      </c>
      <c r="E33" s="265">
        <f>20527.12+1247.74</f>
        <v>21774.86</v>
      </c>
      <c r="F33" s="160"/>
      <c r="G33" s="359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160"/>
      <c r="G34" s="359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5032.8100000000004</v>
      </c>
      <c r="E35" s="265">
        <v>6063.18</v>
      </c>
      <c r="F35" s="160"/>
      <c r="G35" s="359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160"/>
      <c r="G36" s="359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577.08000000000004</v>
      </c>
      <c r="E37" s="265">
        <v>1056.76</v>
      </c>
      <c r="F37" s="160"/>
      <c r="G37" s="359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160"/>
      <c r="G38" s="359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>
        <v>58913.35</v>
      </c>
      <c r="F39" s="160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1219.68</v>
      </c>
      <c r="E40" s="271">
        <v>29303.66</v>
      </c>
      <c r="F40" s="190"/>
      <c r="G40" s="80"/>
    </row>
    <row r="41" spans="2:10" ht="13.5" thickBot="1">
      <c r="B41" s="106" t="s">
        <v>37</v>
      </c>
      <c r="C41" s="107" t="s">
        <v>38</v>
      </c>
      <c r="D41" s="230">
        <v>193515.11</v>
      </c>
      <c r="E41" s="155">
        <f>E26+E27+E40</f>
        <v>315076.61</v>
      </c>
      <c r="F41" s="160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58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1039.2677000000001</v>
      </c>
      <c r="E47" s="79">
        <v>2482.39077</v>
      </c>
      <c r="G47" s="76"/>
    </row>
    <row r="48" spans="2:10">
      <c r="B48" s="130" t="s">
        <v>6</v>
      </c>
      <c r="C48" s="22" t="s">
        <v>41</v>
      </c>
      <c r="D48" s="232">
        <v>1617.61356</v>
      </c>
      <c r="E48" s="352">
        <v>2631.1199164926929</v>
      </c>
      <c r="G48" s="210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119.93</v>
      </c>
      <c r="E50" s="81">
        <v>108.12</v>
      </c>
      <c r="G50" s="190"/>
    </row>
    <row r="51" spans="2:7">
      <c r="B51" s="109" t="s">
        <v>6</v>
      </c>
      <c r="C51" s="15" t="s">
        <v>114</v>
      </c>
      <c r="D51" s="234">
        <v>112.47</v>
      </c>
      <c r="E51" s="81">
        <v>108.05</v>
      </c>
      <c r="G51" s="190"/>
    </row>
    <row r="52" spans="2:7">
      <c r="B52" s="109" t="s">
        <v>8</v>
      </c>
      <c r="C52" s="15" t="s">
        <v>115</v>
      </c>
      <c r="D52" s="234">
        <v>124.78</v>
      </c>
      <c r="E52" s="81">
        <v>122.54</v>
      </c>
    </row>
    <row r="53" spans="2:7" ht="13.5" thickBot="1">
      <c r="B53" s="110" t="s">
        <v>9</v>
      </c>
      <c r="C53" s="17" t="s">
        <v>41</v>
      </c>
      <c r="D53" s="235">
        <v>119.63</v>
      </c>
      <c r="E53" s="340">
        <v>119.75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315076.61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E12</f>
        <v>315076.61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7" t="s">
        <v>64</v>
      </c>
      <c r="C74" s="128" t="s">
        <v>66</v>
      </c>
      <c r="D74" s="129">
        <f>D58-D73</f>
        <v>315076.61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315076.61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5"/>
  <dimension ref="A1:L81"/>
  <sheetViews>
    <sheetView zoomScale="80" zoomScaleNormal="80" workbookViewId="0">
      <selection activeCell="H29" sqref="H2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165</v>
      </c>
      <c r="C6" s="497"/>
      <c r="D6" s="497"/>
      <c r="E6" s="497"/>
    </row>
    <row r="7" spans="2:12" ht="14.25">
      <c r="B7" s="179"/>
      <c r="C7" s="179"/>
      <c r="D7" s="179"/>
      <c r="E7" s="179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80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116465.2</v>
      </c>
      <c r="E11" s="284">
        <f>SUM(E12:E14)</f>
        <v>140871.89000000001</v>
      </c>
    </row>
    <row r="12" spans="2:12">
      <c r="B12" s="113" t="s">
        <v>4</v>
      </c>
      <c r="C12" s="6" t="s">
        <v>5</v>
      </c>
      <c r="D12" s="329">
        <v>116465.2</v>
      </c>
      <c r="E12" s="353">
        <v>140871.89000000001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116465.2</v>
      </c>
      <c r="E21" s="155">
        <f>E11-E17</f>
        <v>140871.89000000001</v>
      </c>
      <c r="F21" s="83"/>
      <c r="G21" s="83"/>
      <c r="H21" s="176"/>
      <c r="J21" s="254"/>
      <c r="K21" s="70"/>
    </row>
    <row r="22" spans="2:11">
      <c r="B22" s="3"/>
      <c r="C22" s="7"/>
      <c r="D22" s="257"/>
      <c r="E22" s="257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180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86900.800000000003</v>
      </c>
      <c r="E26" s="270">
        <f>D21</f>
        <v>116465.2</v>
      </c>
      <c r="G26" s="160"/>
    </row>
    <row r="27" spans="2:11">
      <c r="B27" s="9" t="s">
        <v>17</v>
      </c>
      <c r="C27" s="10" t="s">
        <v>111</v>
      </c>
      <c r="D27" s="226">
        <v>10029.959999999999</v>
      </c>
      <c r="E27" s="263">
        <f>E28-E32</f>
        <v>16764.039999999997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13272.88</v>
      </c>
      <c r="E28" s="264">
        <f>SUM(E29:E31)</f>
        <v>25123.309999999998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227">
        <v>13126.5</v>
      </c>
      <c r="E29" s="265">
        <v>20115.64</v>
      </c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227">
        <v>146.38</v>
      </c>
      <c r="E31" s="265">
        <v>5007.67</v>
      </c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3242.9199999999996</v>
      </c>
      <c r="E32" s="264">
        <f>SUM(E33:E39)</f>
        <v>8359.27</v>
      </c>
      <c r="F32" s="76"/>
      <c r="G32" s="368"/>
      <c r="H32" s="76"/>
      <c r="I32" s="76"/>
      <c r="J32" s="76"/>
    </row>
    <row r="33" spans="2:10">
      <c r="B33" s="111" t="s">
        <v>4</v>
      </c>
      <c r="C33" s="6" t="s">
        <v>25</v>
      </c>
      <c r="D33" s="227">
        <v>1292.6500000000001</v>
      </c>
      <c r="E33" s="265">
        <v>3164.94</v>
      </c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1656.09</v>
      </c>
      <c r="E35" s="265">
        <v>2281.92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294.18</v>
      </c>
      <c r="E37" s="265">
        <v>436.87</v>
      </c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/>
      <c r="E39" s="266">
        <v>2475.54</v>
      </c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-378.73</v>
      </c>
      <c r="E40" s="271">
        <v>7642.65</v>
      </c>
      <c r="G40" s="80"/>
    </row>
    <row r="41" spans="2:10" ht="13.5" thickBot="1">
      <c r="B41" s="106" t="s">
        <v>37</v>
      </c>
      <c r="C41" s="107" t="s">
        <v>38</v>
      </c>
      <c r="D41" s="230">
        <v>96552.030000000013</v>
      </c>
      <c r="E41" s="155">
        <f>E26+E27+E40</f>
        <v>140871.88999999998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80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817.81290000000001</v>
      </c>
      <c r="E47" s="79">
        <v>1128.1015</v>
      </c>
      <c r="G47" s="76"/>
    </row>
    <row r="48" spans="2:10">
      <c r="B48" s="130" t="s">
        <v>6</v>
      </c>
      <c r="C48" s="22" t="s">
        <v>41</v>
      </c>
      <c r="D48" s="232">
        <v>912.67629999999997</v>
      </c>
      <c r="E48" s="352">
        <v>1284.7414000000001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106.26</v>
      </c>
      <c r="E50" s="81">
        <v>103.24</v>
      </c>
      <c r="G50" s="190"/>
    </row>
    <row r="51" spans="2:7">
      <c r="B51" s="109" t="s">
        <v>6</v>
      </c>
      <c r="C51" s="15" t="s">
        <v>114</v>
      </c>
      <c r="D51" s="234">
        <v>103.97</v>
      </c>
      <c r="E51" s="81">
        <v>103.17</v>
      </c>
      <c r="G51" s="190"/>
    </row>
    <row r="52" spans="2:7">
      <c r="B52" s="109" t="s">
        <v>8</v>
      </c>
      <c r="C52" s="15" t="s">
        <v>115</v>
      </c>
      <c r="D52" s="234">
        <v>107.7</v>
      </c>
      <c r="E52" s="81">
        <v>110</v>
      </c>
    </row>
    <row r="53" spans="2:7" ht="13.5" thickBot="1">
      <c r="B53" s="110" t="s">
        <v>9</v>
      </c>
      <c r="C53" s="17" t="s">
        <v>41</v>
      </c>
      <c r="D53" s="235">
        <v>105.79</v>
      </c>
      <c r="E53" s="340">
        <v>109.65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140871.89000000001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140871.89000000001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140871.89000000001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140871.89000000001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6"/>
  <dimension ref="A1:L81"/>
  <sheetViews>
    <sheetView zoomScale="80" zoomScaleNormal="80" workbookViewId="0">
      <selection activeCell="J21" sqref="J21:K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166</v>
      </c>
      <c r="C6" s="497"/>
      <c r="D6" s="497"/>
      <c r="E6" s="497"/>
    </row>
    <row r="7" spans="2:12" ht="14.25">
      <c r="B7" s="179"/>
      <c r="C7" s="179"/>
      <c r="D7" s="179"/>
      <c r="E7" s="179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80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321448.88</v>
      </c>
      <c r="E11" s="284">
        <f>SUM(E12:E14)</f>
        <v>386569.76</v>
      </c>
    </row>
    <row r="12" spans="2:12">
      <c r="B12" s="113" t="s">
        <v>4</v>
      </c>
      <c r="C12" s="6" t="s">
        <v>5</v>
      </c>
      <c r="D12" s="329">
        <v>321448.88</v>
      </c>
      <c r="E12" s="353">
        <f>387196.31-626.55</f>
        <v>386569.76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321448.88</v>
      </c>
      <c r="E21" s="155">
        <f>E11-E17</f>
        <v>386569.76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180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293618.39</v>
      </c>
      <c r="E26" s="270">
        <f>D21</f>
        <v>321448.88</v>
      </c>
      <c r="G26" s="160"/>
    </row>
    <row r="27" spans="2:11">
      <c r="B27" s="9" t="s">
        <v>17</v>
      </c>
      <c r="C27" s="10" t="s">
        <v>111</v>
      </c>
      <c r="D27" s="226">
        <v>-2879.7399999999907</v>
      </c>
      <c r="E27" s="263">
        <f>E28-E32</f>
        <v>36875.760000000009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108092.32</v>
      </c>
      <c r="E28" s="264">
        <f>SUM(E29:E31)</f>
        <v>76326.700000000012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227">
        <v>52557.26</v>
      </c>
      <c r="E29" s="265">
        <v>43262.400000000001</v>
      </c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227">
        <v>55535.06</v>
      </c>
      <c r="E31" s="265">
        <v>33064.300000000003</v>
      </c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110972.06</v>
      </c>
      <c r="E32" s="264">
        <f>SUM(E33:E39)</f>
        <v>39450.94</v>
      </c>
      <c r="F32" s="76"/>
      <c r="G32" s="368"/>
      <c r="H32" s="76"/>
      <c r="I32" s="76"/>
      <c r="J32" s="76"/>
    </row>
    <row r="33" spans="2:10">
      <c r="B33" s="111" t="s">
        <v>4</v>
      </c>
      <c r="C33" s="6" t="s">
        <v>25</v>
      </c>
      <c r="D33" s="227">
        <v>66112.09</v>
      </c>
      <c r="E33" s="265">
        <f>-2.58+626.55</f>
        <v>623.96999999999991</v>
      </c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2964.06</v>
      </c>
      <c r="E35" s="265">
        <v>3979.18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979.14</v>
      </c>
      <c r="E37" s="265">
        <v>1284.25</v>
      </c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40916.769999999997</v>
      </c>
      <c r="E39" s="266">
        <v>33563.54</v>
      </c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-4965.71</v>
      </c>
      <c r="E40" s="271">
        <v>28245.119999999999</v>
      </c>
      <c r="G40" s="80"/>
    </row>
    <row r="41" spans="2:10" ht="13.5" thickBot="1">
      <c r="B41" s="106" t="s">
        <v>37</v>
      </c>
      <c r="C41" s="107" t="s">
        <v>38</v>
      </c>
      <c r="D41" s="230">
        <v>285772.94</v>
      </c>
      <c r="E41" s="155">
        <f>E26+E27+E40</f>
        <v>386569.76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80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2594.4895999999999</v>
      </c>
      <c r="E47" s="79">
        <v>3067.2602999999999</v>
      </c>
      <c r="G47" s="76"/>
    </row>
    <row r="48" spans="2:10">
      <c r="B48" s="130" t="s">
        <v>6</v>
      </c>
      <c r="C48" s="22" t="s">
        <v>41</v>
      </c>
      <c r="D48" s="232">
        <v>2542.2377000000001</v>
      </c>
      <c r="E48" s="352">
        <v>3405.6009162188352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113.17</v>
      </c>
      <c r="E50" s="310">
        <v>104.8</v>
      </c>
      <c r="G50" s="190"/>
    </row>
    <row r="51" spans="2:7">
      <c r="B51" s="109" t="s">
        <v>6</v>
      </c>
      <c r="C51" s="15" t="s">
        <v>114</v>
      </c>
      <c r="D51" s="234">
        <v>107.83</v>
      </c>
      <c r="E51" s="312">
        <v>104.8</v>
      </c>
      <c r="G51" s="190"/>
    </row>
    <row r="52" spans="2:7">
      <c r="B52" s="109" t="s">
        <v>8</v>
      </c>
      <c r="C52" s="15" t="s">
        <v>115</v>
      </c>
      <c r="D52" s="234">
        <v>116.63</v>
      </c>
      <c r="E52" s="312">
        <v>114.93</v>
      </c>
    </row>
    <row r="53" spans="2:7" ht="13.5" thickBot="1">
      <c r="B53" s="110" t="s">
        <v>9</v>
      </c>
      <c r="C53" s="17" t="s">
        <v>41</v>
      </c>
      <c r="D53" s="235">
        <v>112.41</v>
      </c>
      <c r="E53" s="340">
        <v>113.51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386569.76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386569.76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386569.76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386569.76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7"/>
  <dimension ref="A1:L81"/>
  <sheetViews>
    <sheetView zoomScale="80" zoomScaleNormal="80" workbookViewId="0">
      <selection activeCell="C53" sqref="C5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167</v>
      </c>
      <c r="C6" s="497"/>
      <c r="D6" s="497"/>
      <c r="E6" s="497"/>
    </row>
    <row r="7" spans="2:12" ht="14.25">
      <c r="B7" s="157"/>
      <c r="C7" s="157"/>
      <c r="D7" s="157"/>
      <c r="E7" s="157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58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18463.740000000002</v>
      </c>
      <c r="E11" s="284">
        <f>SUM(E12:E14)</f>
        <v>19409.63</v>
      </c>
    </row>
    <row r="12" spans="2:12">
      <c r="B12" s="113" t="s">
        <v>4</v>
      </c>
      <c r="C12" s="6" t="s">
        <v>5</v>
      </c>
      <c r="D12" s="329">
        <v>18463.740000000002</v>
      </c>
      <c r="E12" s="353">
        <v>19409.63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18463.740000000002</v>
      </c>
      <c r="E21" s="155">
        <f>E11-E17</f>
        <v>19409.63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158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45466.21</v>
      </c>
      <c r="E26" s="270">
        <f>D21</f>
        <v>18463.740000000002</v>
      </c>
      <c r="G26" s="160"/>
    </row>
    <row r="27" spans="2:11">
      <c r="B27" s="9" t="s">
        <v>17</v>
      </c>
      <c r="C27" s="10" t="s">
        <v>111</v>
      </c>
      <c r="D27" s="226">
        <v>-497.08000000000004</v>
      </c>
      <c r="E27" s="263">
        <f>E28-E32</f>
        <v>-223.8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227"/>
      <c r="E29" s="265"/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227"/>
      <c r="E31" s="265"/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497.08000000000004</v>
      </c>
      <c r="E32" s="264">
        <f>SUM(E33:E39)</f>
        <v>223.8</v>
      </c>
      <c r="F32" s="76"/>
      <c r="G32" s="368"/>
      <c r="H32" s="76"/>
      <c r="I32" s="76"/>
      <c r="J32" s="76"/>
    </row>
    <row r="33" spans="2:10">
      <c r="B33" s="111" t="s">
        <v>4</v>
      </c>
      <c r="C33" s="6" t="s">
        <v>25</v>
      </c>
      <c r="D33" s="227"/>
      <c r="E33" s="265"/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119.03</v>
      </c>
      <c r="E35" s="265">
        <v>61.68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378.05</v>
      </c>
      <c r="E37" s="265">
        <v>162.12</v>
      </c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/>
      <c r="E39" s="266"/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-837.84</v>
      </c>
      <c r="E40" s="271">
        <v>1169.69</v>
      </c>
      <c r="G40" s="80"/>
    </row>
    <row r="41" spans="2:10" ht="13.5" thickBot="1">
      <c r="B41" s="106" t="s">
        <v>37</v>
      </c>
      <c r="C41" s="107" t="s">
        <v>38</v>
      </c>
      <c r="D41" s="230">
        <v>44131.29</v>
      </c>
      <c r="E41" s="155">
        <f>E26+E27+E40</f>
        <v>19409.63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58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399.91390000000001</v>
      </c>
      <c r="E47" s="79">
        <v>172.73589999999999</v>
      </c>
      <c r="G47" s="76"/>
    </row>
    <row r="48" spans="2:10">
      <c r="B48" s="130" t="s">
        <v>6</v>
      </c>
      <c r="C48" s="22" t="s">
        <v>41</v>
      </c>
      <c r="D48" s="232">
        <v>395.47710000000001</v>
      </c>
      <c r="E48" s="352">
        <v>170.7242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113.69</v>
      </c>
      <c r="E50" s="81">
        <v>106.89</v>
      </c>
      <c r="G50" s="190"/>
    </row>
    <row r="51" spans="2:7">
      <c r="B51" s="109" t="s">
        <v>6</v>
      </c>
      <c r="C51" s="15" t="s">
        <v>114</v>
      </c>
      <c r="D51" s="234">
        <v>107.83</v>
      </c>
      <c r="E51" s="81">
        <v>106.89</v>
      </c>
      <c r="G51" s="190"/>
    </row>
    <row r="52" spans="2:7">
      <c r="B52" s="109" t="s">
        <v>8</v>
      </c>
      <c r="C52" s="15" t="s">
        <v>115</v>
      </c>
      <c r="D52" s="234">
        <v>116.63</v>
      </c>
      <c r="E52" s="81">
        <v>114.04</v>
      </c>
    </row>
    <row r="53" spans="2:7" ht="13.5" thickBot="1">
      <c r="B53" s="110" t="s">
        <v>9</v>
      </c>
      <c r="C53" s="17" t="s">
        <v>41</v>
      </c>
      <c r="D53" s="235">
        <v>111.59</v>
      </c>
      <c r="E53" s="340">
        <v>113.69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19409.63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19409.63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19409.63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19409.63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="80" zoomScaleNormal="80" workbookViewId="0">
      <selection activeCell="H47" sqref="H4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168</v>
      </c>
      <c r="C6" s="497"/>
      <c r="D6" s="497"/>
      <c r="E6" s="497"/>
    </row>
    <row r="7" spans="2:12" ht="14.25">
      <c r="B7" s="370"/>
      <c r="C7" s="370"/>
      <c r="D7" s="370"/>
      <c r="E7" s="37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371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3734.46</v>
      </c>
      <c r="E11" s="284">
        <v>3901.3</v>
      </c>
    </row>
    <row r="12" spans="2:12">
      <c r="B12" s="113" t="s">
        <v>4</v>
      </c>
      <c r="C12" s="6" t="s">
        <v>5</v>
      </c>
      <c r="D12" s="329">
        <v>3734.46</v>
      </c>
      <c r="E12" s="353">
        <v>3901.3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f>D12</f>
        <v>3734.46</v>
      </c>
      <c r="E21" s="155">
        <f>E12</f>
        <v>3901.3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371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70078.289999999994</v>
      </c>
      <c r="E26" s="270">
        <v>3734.46</v>
      </c>
      <c r="G26" s="160"/>
    </row>
    <row r="27" spans="2:11">
      <c r="B27" s="9" t="s">
        <v>17</v>
      </c>
      <c r="C27" s="10" t="s">
        <v>111</v>
      </c>
      <c r="D27" s="226">
        <v>-54759.91</v>
      </c>
      <c r="E27" s="263">
        <f>E28-E32</f>
        <v>0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227"/>
      <c r="E29" s="265"/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227"/>
      <c r="E31" s="265"/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54759.91</v>
      </c>
      <c r="E32" s="264">
        <f>SUM(E33:E39)</f>
        <v>0</v>
      </c>
      <c r="F32" s="76"/>
      <c r="G32" s="368"/>
      <c r="H32" s="76"/>
      <c r="I32" s="76"/>
      <c r="J32" s="76"/>
    </row>
    <row r="33" spans="2:10">
      <c r="B33" s="111" t="s">
        <v>4</v>
      </c>
      <c r="C33" s="6" t="s">
        <v>25</v>
      </c>
      <c r="D33" s="227">
        <v>40021.68</v>
      </c>
      <c r="E33" s="265"/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74.680000000000007</v>
      </c>
      <c r="E35" s="265"/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385.08</v>
      </c>
      <c r="E37" s="265"/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14278.47</v>
      </c>
      <c r="E39" s="266"/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-1189.25</v>
      </c>
      <c r="E40" s="271">
        <v>166.84</v>
      </c>
      <c r="G40" s="80"/>
    </row>
    <row r="41" spans="2:10" ht="13.5" thickBot="1">
      <c r="B41" s="106" t="s">
        <v>37</v>
      </c>
      <c r="C41" s="107" t="s">
        <v>38</v>
      </c>
      <c r="D41" s="230">
        <v>14129.12999999999</v>
      </c>
      <c r="E41" s="155">
        <v>3901.3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371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641.39020000000005</v>
      </c>
      <c r="E47" s="79">
        <v>35.647799999999997</v>
      </c>
      <c r="G47" s="76"/>
    </row>
    <row r="48" spans="2:10">
      <c r="B48" s="130" t="s">
        <v>6</v>
      </c>
      <c r="C48" s="22" t="s">
        <v>41</v>
      </c>
      <c r="D48" s="232">
        <v>132.91749999999999</v>
      </c>
      <c r="E48" s="352">
        <v>35.647799999999997</v>
      </c>
      <c r="G48" s="76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109.26</v>
      </c>
      <c r="E50" s="81">
        <v>104.76</v>
      </c>
      <c r="G50" s="190"/>
    </row>
    <row r="51" spans="2:7">
      <c r="B51" s="109" t="s">
        <v>6</v>
      </c>
      <c r="C51" s="15" t="s">
        <v>114</v>
      </c>
      <c r="D51" s="234">
        <v>106.3</v>
      </c>
      <c r="E51" s="81">
        <v>104.76</v>
      </c>
      <c r="G51" s="190"/>
    </row>
    <row r="52" spans="2:7">
      <c r="B52" s="109" t="s">
        <v>8</v>
      </c>
      <c r="C52" s="15" t="s">
        <v>115</v>
      </c>
      <c r="D52" s="234">
        <v>109.66</v>
      </c>
      <c r="E52" s="81">
        <v>114.04</v>
      </c>
    </row>
    <row r="53" spans="2:7" ht="13.5" thickBot="1">
      <c r="B53" s="110" t="s">
        <v>9</v>
      </c>
      <c r="C53" s="17" t="s">
        <v>41</v>
      </c>
      <c r="D53" s="235">
        <v>106.3</v>
      </c>
      <c r="E53" s="340">
        <v>109.44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3901.3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3901.3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3901.3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3901.3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9"/>
  <dimension ref="A1:L81"/>
  <sheetViews>
    <sheetView zoomScale="80" zoomScaleNormal="80" workbookViewId="0">
      <selection activeCell="G18" sqref="G18:K4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169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13171.68</v>
      </c>
      <c r="E11" s="284"/>
    </row>
    <row r="12" spans="2:12">
      <c r="B12" s="113" t="s">
        <v>4</v>
      </c>
      <c r="C12" s="6" t="s">
        <v>5</v>
      </c>
      <c r="D12" s="329">
        <v>13171.68</v>
      </c>
      <c r="E12" s="353"/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13171.68</v>
      </c>
      <c r="E21" s="155"/>
      <c r="F21" s="83"/>
      <c r="G21" s="83"/>
      <c r="H21" s="177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95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18753.18</v>
      </c>
      <c r="E26" s="270">
        <f>D21</f>
        <v>13171.68</v>
      </c>
      <c r="G26" s="80"/>
    </row>
    <row r="27" spans="2:11">
      <c r="B27" s="9" t="s">
        <v>17</v>
      </c>
      <c r="C27" s="10" t="s">
        <v>111</v>
      </c>
      <c r="D27" s="226">
        <v>-5300.9000000000005</v>
      </c>
      <c r="E27" s="263">
        <f>E28-E32</f>
        <v>-13024.19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11" t="s">
        <v>4</v>
      </c>
      <c r="C29" s="6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11" t="s">
        <v>8</v>
      </c>
      <c r="C31" s="6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5300.9000000000005</v>
      </c>
      <c r="E32" s="264">
        <f>SUM(E33:E39)</f>
        <v>13024.19</v>
      </c>
      <c r="F32" s="76"/>
      <c r="G32" s="80"/>
      <c r="H32" s="76"/>
      <c r="I32" s="76"/>
      <c r="J32" s="76"/>
    </row>
    <row r="33" spans="2:10">
      <c r="B33" s="111" t="s">
        <v>4</v>
      </c>
      <c r="C33" s="6" t="s">
        <v>25</v>
      </c>
      <c r="D33" s="227">
        <v>5141.63</v>
      </c>
      <c r="E33" s="265">
        <v>12885.67</v>
      </c>
      <c r="F33" s="76"/>
      <c r="G33" s="76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11" t="s">
        <v>8</v>
      </c>
      <c r="C35" s="6" t="s">
        <v>27</v>
      </c>
      <c r="D35" s="227">
        <v>12.55</v>
      </c>
      <c r="E35" s="265">
        <v>11.59</v>
      </c>
      <c r="F35" s="76"/>
      <c r="G35" s="76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146.72</v>
      </c>
      <c r="E37" s="265">
        <v>126.93</v>
      </c>
      <c r="F37" s="76"/>
      <c r="G37" s="76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112" t="s">
        <v>33</v>
      </c>
      <c r="C39" s="12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-41.76</v>
      </c>
      <c r="E40" s="271">
        <v>-147.49</v>
      </c>
      <c r="G40" s="80"/>
    </row>
    <row r="41" spans="2:10" ht="13.5" thickBot="1">
      <c r="B41" s="106" t="s">
        <v>37</v>
      </c>
      <c r="C41" s="107" t="s">
        <v>38</v>
      </c>
      <c r="D41" s="230">
        <v>13410.519999999999</v>
      </c>
      <c r="E41" s="155">
        <f>E26+E27+E40</f>
        <v>-2.2737367544323206E-13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5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153.12469999999999</v>
      </c>
      <c r="E47" s="156">
        <v>108.992</v>
      </c>
      <c r="G47" s="76"/>
    </row>
    <row r="48" spans="2:10">
      <c r="B48" s="130" t="s">
        <v>6</v>
      </c>
      <c r="C48" s="22" t="s">
        <v>41</v>
      </c>
      <c r="D48" s="232">
        <v>109.93129999999999</v>
      </c>
      <c r="E48" s="339"/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109" t="s">
        <v>4</v>
      </c>
      <c r="C50" s="15" t="s">
        <v>40</v>
      </c>
      <c r="D50" s="231">
        <v>122.47</v>
      </c>
      <c r="E50" s="156">
        <v>120.85</v>
      </c>
      <c r="G50" s="190"/>
    </row>
    <row r="51" spans="2:7">
      <c r="B51" s="109" t="s">
        <v>6</v>
      </c>
      <c r="C51" s="15" t="s">
        <v>114</v>
      </c>
      <c r="D51" s="234">
        <v>121.73</v>
      </c>
      <c r="E51" s="81">
        <v>118.11</v>
      </c>
      <c r="G51" s="190"/>
    </row>
    <row r="52" spans="2:7">
      <c r="B52" s="109" t="s">
        <v>8</v>
      </c>
      <c r="C52" s="15" t="s">
        <v>115</v>
      </c>
      <c r="D52" s="234">
        <v>122.78</v>
      </c>
      <c r="E52" s="81">
        <v>120.84</v>
      </c>
    </row>
    <row r="53" spans="2:7" ht="12.75" customHeight="1" thickBot="1">
      <c r="B53" s="110" t="s">
        <v>9</v>
      </c>
      <c r="C53" s="17" t="s">
        <v>41</v>
      </c>
      <c r="D53" s="235">
        <v>121.99</v>
      </c>
      <c r="E53" s="340"/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0</v>
      </c>
      <c r="E58" s="32">
        <v>0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0</v>
      </c>
      <c r="E64" s="87">
        <v>0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0</v>
      </c>
      <c r="E74" s="69">
        <f>E58+E72-E73</f>
        <v>0</v>
      </c>
    </row>
    <row r="75" spans="2:5">
      <c r="B75" s="109" t="s">
        <v>4</v>
      </c>
      <c r="C75" s="15" t="s">
        <v>67</v>
      </c>
      <c r="D75" s="84">
        <f>D74</f>
        <v>0</v>
      </c>
      <c r="E75" s="85">
        <f>E74</f>
        <v>0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="80" zoomScaleNormal="80" workbookViewId="0">
      <selection activeCell="E27" sqref="E27:E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28515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265</v>
      </c>
      <c r="C6" s="497"/>
      <c r="D6" s="497"/>
      <c r="E6" s="497"/>
    </row>
    <row r="7" spans="2:12" ht="14.25">
      <c r="B7" s="370"/>
      <c r="C7" s="370"/>
      <c r="D7" s="370"/>
      <c r="E7" s="37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371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13171.68</v>
      </c>
      <c r="E11" s="284"/>
    </row>
    <row r="12" spans="2:12">
      <c r="B12" s="113" t="s">
        <v>4</v>
      </c>
      <c r="C12" s="6" t="s">
        <v>5</v>
      </c>
      <c r="D12" s="329">
        <v>13171.68</v>
      </c>
      <c r="E12" s="353"/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13171.68</v>
      </c>
      <c r="E21" s="155"/>
      <c r="F21" s="83"/>
      <c r="G21" s="83"/>
      <c r="H21" s="177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371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19643.47</v>
      </c>
      <c r="E26" s="270"/>
      <c r="G26" s="80"/>
    </row>
    <row r="27" spans="2:11">
      <c r="B27" s="9" t="s">
        <v>17</v>
      </c>
      <c r="C27" s="10" t="s">
        <v>111</v>
      </c>
      <c r="D27" s="226">
        <v>-261.39</v>
      </c>
      <c r="E27" s="263"/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/>
      <c r="F28" s="76"/>
      <c r="G28" s="76"/>
      <c r="H28" s="76"/>
      <c r="I28" s="76"/>
      <c r="J28" s="76"/>
    </row>
    <row r="29" spans="2:11">
      <c r="B29" s="111" t="s">
        <v>4</v>
      </c>
      <c r="C29" s="6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11" t="s">
        <v>8</v>
      </c>
      <c r="C31" s="6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261.39</v>
      </c>
      <c r="E32" s="264"/>
      <c r="F32" s="76"/>
      <c r="G32" s="80"/>
      <c r="H32" s="76"/>
      <c r="I32" s="76"/>
      <c r="J32" s="76"/>
    </row>
    <row r="33" spans="2:10">
      <c r="B33" s="111" t="s">
        <v>4</v>
      </c>
      <c r="C33" s="6" t="s">
        <v>25</v>
      </c>
      <c r="D33" s="227"/>
      <c r="E33" s="265"/>
      <c r="F33" s="76"/>
      <c r="G33" s="76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11" t="s">
        <v>8</v>
      </c>
      <c r="C35" s="6" t="s">
        <v>27</v>
      </c>
      <c r="D35" s="227">
        <v>18.8</v>
      </c>
      <c r="E35" s="265"/>
      <c r="F35" s="76"/>
      <c r="G35" s="76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242.59</v>
      </c>
      <c r="E37" s="265"/>
      <c r="F37" s="76"/>
      <c r="G37" s="76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112" t="s">
        <v>33</v>
      </c>
      <c r="C39" s="12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-2178.27</v>
      </c>
      <c r="E40" s="271"/>
      <c r="G40" s="80"/>
    </row>
    <row r="41" spans="2:10" ht="13.5" thickBot="1">
      <c r="B41" s="106" t="s">
        <v>37</v>
      </c>
      <c r="C41" s="107" t="s">
        <v>38</v>
      </c>
      <c r="D41" s="230">
        <v>17203.810000000001</v>
      </c>
      <c r="E41" s="155"/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371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136.57419999999999</v>
      </c>
      <c r="E47" s="156"/>
      <c r="G47" s="76"/>
    </row>
    <row r="48" spans="2:10">
      <c r="B48" s="130" t="s">
        <v>6</v>
      </c>
      <c r="C48" s="22" t="s">
        <v>41</v>
      </c>
      <c r="D48" s="232">
        <v>134.7311</v>
      </c>
      <c r="E48" s="339"/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109" t="s">
        <v>4</v>
      </c>
      <c r="C50" s="15" t="s">
        <v>40</v>
      </c>
      <c r="D50" s="231">
        <v>143.83000000000001</v>
      </c>
      <c r="E50" s="156"/>
      <c r="G50" s="190"/>
    </row>
    <row r="51" spans="2:7">
      <c r="B51" s="109" t="s">
        <v>6</v>
      </c>
      <c r="C51" s="15" t="s">
        <v>114</v>
      </c>
      <c r="D51" s="234">
        <v>127.69</v>
      </c>
      <c r="E51" s="81"/>
      <c r="G51" s="190"/>
    </row>
    <row r="52" spans="2:7">
      <c r="B52" s="109" t="s">
        <v>8</v>
      </c>
      <c r="C52" s="15" t="s">
        <v>115</v>
      </c>
      <c r="D52" s="234">
        <v>144.09</v>
      </c>
      <c r="E52" s="81"/>
    </row>
    <row r="53" spans="2:7" ht="12.75" customHeight="1" thickBot="1">
      <c r="B53" s="110" t="s">
        <v>9</v>
      </c>
      <c r="C53" s="17" t="s">
        <v>41</v>
      </c>
      <c r="D53" s="235">
        <v>127.69</v>
      </c>
      <c r="E53" s="340"/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0</v>
      </c>
      <c r="E58" s="32">
        <v>0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0</v>
      </c>
      <c r="E64" s="87">
        <v>0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0</v>
      </c>
      <c r="E74" s="69">
        <f>E58+E72-E73</f>
        <v>0</v>
      </c>
    </row>
    <row r="75" spans="2:5">
      <c r="B75" s="109" t="s">
        <v>4</v>
      </c>
      <c r="C75" s="15" t="s">
        <v>67</v>
      </c>
      <c r="D75" s="84">
        <f>D74</f>
        <v>0</v>
      </c>
      <c r="E75" s="85">
        <f>E74</f>
        <v>0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L81"/>
  <sheetViews>
    <sheetView zoomScale="80" zoomScaleNormal="80" workbookViewId="0">
      <selection activeCell="J35" sqref="J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4.7109375" customWidth="1"/>
    <col min="11" max="11" width="15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2"/>
      <c r="C4" s="92"/>
      <c r="D4" s="92"/>
      <c r="E4" s="92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87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  <c r="G9" s="218"/>
    </row>
    <row r="10" spans="2:12" ht="13.5" thickBot="1">
      <c r="B10" s="93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106161061.16</v>
      </c>
      <c r="E11" s="284">
        <f>SUM(E12:E14)</f>
        <v>110318714.91</v>
      </c>
    </row>
    <row r="12" spans="2:12">
      <c r="B12" s="113" t="s">
        <v>4</v>
      </c>
      <c r="C12" s="6" t="s">
        <v>5</v>
      </c>
      <c r="D12" s="329">
        <v>105734886.06</v>
      </c>
      <c r="E12" s="353">
        <f>111878669.25+90313.02+2.47-1979473.71</f>
        <v>109989511.03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>
        <v>426175.10000000003</v>
      </c>
      <c r="E14" s="354">
        <f>E15</f>
        <v>329203.88</v>
      </c>
    </row>
    <row r="15" spans="2:12">
      <c r="B15" s="113" t="s">
        <v>106</v>
      </c>
      <c r="C15" s="71" t="s">
        <v>11</v>
      </c>
      <c r="D15" s="322">
        <v>426175.10000000003</v>
      </c>
      <c r="E15" s="354">
        <v>329203.88</v>
      </c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>
        <v>148226.53</v>
      </c>
      <c r="E17" s="356">
        <f>E18</f>
        <v>187699.6</v>
      </c>
    </row>
    <row r="18" spans="2:11">
      <c r="B18" s="113" t="s">
        <v>4</v>
      </c>
      <c r="C18" s="6" t="s">
        <v>11</v>
      </c>
      <c r="D18" s="324">
        <v>148226.53</v>
      </c>
      <c r="E18" s="355">
        <v>187699.6</v>
      </c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106012834.63</v>
      </c>
      <c r="E21" s="155">
        <f>E11-E17</f>
        <v>110131015.31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5.75">
      <c r="B23" s="499"/>
      <c r="C23" s="507"/>
      <c r="D23" s="507"/>
      <c r="E23" s="507"/>
      <c r="G23" s="76"/>
    </row>
    <row r="24" spans="2:11" ht="16.5" customHeight="1" thickBot="1">
      <c r="B24" s="498" t="s">
        <v>105</v>
      </c>
      <c r="C24" s="508"/>
      <c r="D24" s="508"/>
      <c r="E24" s="508"/>
    </row>
    <row r="25" spans="2:11" ht="13.5" thickBot="1">
      <c r="B25" s="93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115371627.76000001</v>
      </c>
      <c r="E26" s="270">
        <f>D21</f>
        <v>106012834.63</v>
      </c>
      <c r="G26" s="80"/>
    </row>
    <row r="27" spans="2:11">
      <c r="B27" s="9" t="s">
        <v>17</v>
      </c>
      <c r="C27" s="10" t="s">
        <v>111</v>
      </c>
      <c r="D27" s="226">
        <v>647787.53999999911</v>
      </c>
      <c r="E27" s="263">
        <f>E28-E32</f>
        <v>-415646.21000000089</v>
      </c>
      <c r="F27" s="76"/>
      <c r="G27" s="160"/>
      <c r="H27" s="359"/>
      <c r="I27" s="359"/>
      <c r="J27" s="359"/>
    </row>
    <row r="28" spans="2:11">
      <c r="B28" s="9" t="s">
        <v>18</v>
      </c>
      <c r="C28" s="10" t="s">
        <v>19</v>
      </c>
      <c r="D28" s="226">
        <v>8421772.5399999991</v>
      </c>
      <c r="E28" s="264">
        <f>SUM(E29:E31)</f>
        <v>7791229.2299999995</v>
      </c>
      <c r="F28" s="76"/>
      <c r="G28" s="160"/>
      <c r="H28" s="359"/>
      <c r="I28" s="359"/>
      <c r="J28" s="359"/>
    </row>
    <row r="29" spans="2:11">
      <c r="B29" s="111" t="s">
        <v>4</v>
      </c>
      <c r="C29" s="6" t="s">
        <v>20</v>
      </c>
      <c r="D29" s="227">
        <v>8129568.8899999997</v>
      </c>
      <c r="E29" s="265">
        <v>7532555.9499999993</v>
      </c>
      <c r="F29" s="76"/>
      <c r="G29" s="160"/>
      <c r="H29" s="359"/>
      <c r="I29" s="359"/>
      <c r="J29" s="359"/>
    </row>
    <row r="30" spans="2:11">
      <c r="B30" s="111" t="s">
        <v>6</v>
      </c>
      <c r="C30" s="6" t="s">
        <v>21</v>
      </c>
      <c r="D30" s="227"/>
      <c r="E30" s="265"/>
      <c r="F30" s="76"/>
      <c r="G30" s="160"/>
      <c r="H30" s="359"/>
      <c r="I30" s="359"/>
      <c r="J30" s="359"/>
    </row>
    <row r="31" spans="2:11">
      <c r="B31" s="111" t="s">
        <v>8</v>
      </c>
      <c r="C31" s="6" t="s">
        <v>22</v>
      </c>
      <c r="D31" s="227">
        <v>292203.65000000002</v>
      </c>
      <c r="E31" s="265">
        <v>258673.28000000003</v>
      </c>
      <c r="F31" s="76"/>
      <c r="G31" s="160"/>
      <c r="H31" s="359"/>
      <c r="I31" s="359"/>
      <c r="J31" s="359"/>
    </row>
    <row r="32" spans="2:11">
      <c r="B32" s="99" t="s">
        <v>23</v>
      </c>
      <c r="C32" s="11" t="s">
        <v>24</v>
      </c>
      <c r="D32" s="226">
        <v>7773985</v>
      </c>
      <c r="E32" s="264">
        <f>SUM(E33:E39)</f>
        <v>8206875.4400000004</v>
      </c>
      <c r="F32" s="76"/>
      <c r="G32" s="160"/>
      <c r="H32" s="359"/>
      <c r="I32" s="359"/>
      <c r="J32" s="359"/>
    </row>
    <row r="33" spans="2:10">
      <c r="B33" s="111" t="s">
        <v>4</v>
      </c>
      <c r="C33" s="6" t="s">
        <v>25</v>
      </c>
      <c r="D33" s="227">
        <v>5406755.29</v>
      </c>
      <c r="E33" s="265">
        <f>5926588.04+95104.88</f>
        <v>6021692.9199999999</v>
      </c>
      <c r="F33" s="76"/>
      <c r="G33" s="160"/>
      <c r="H33" s="359"/>
      <c r="I33" s="359"/>
      <c r="J33" s="359"/>
    </row>
    <row r="34" spans="2:10">
      <c r="B34" s="111" t="s">
        <v>6</v>
      </c>
      <c r="C34" s="6" t="s">
        <v>26</v>
      </c>
      <c r="D34" s="227"/>
      <c r="E34" s="265"/>
      <c r="F34" s="76"/>
      <c r="G34" s="160"/>
      <c r="H34" s="359"/>
      <c r="I34" s="359"/>
      <c r="J34" s="359"/>
    </row>
    <row r="35" spans="2:10">
      <c r="B35" s="111" t="s">
        <v>8</v>
      </c>
      <c r="C35" s="6" t="s">
        <v>27</v>
      </c>
      <c r="D35" s="227">
        <v>1523566.74</v>
      </c>
      <c r="E35" s="265">
        <v>1421888.4</v>
      </c>
      <c r="F35" s="76"/>
      <c r="G35" s="160"/>
      <c r="H35" s="359"/>
      <c r="I35" s="359"/>
      <c r="J35" s="359"/>
    </row>
    <row r="36" spans="2:10">
      <c r="B36" s="111" t="s">
        <v>9</v>
      </c>
      <c r="C36" s="6" t="s">
        <v>28</v>
      </c>
      <c r="D36" s="227"/>
      <c r="E36" s="265"/>
      <c r="F36" s="76"/>
      <c r="G36" s="160"/>
      <c r="H36" s="359"/>
      <c r="I36" s="359"/>
      <c r="J36" s="359"/>
    </row>
    <row r="37" spans="2:10" ht="25.5">
      <c r="B37" s="111" t="s">
        <v>29</v>
      </c>
      <c r="C37" s="6" t="s">
        <v>30</v>
      </c>
      <c r="D37" s="227"/>
      <c r="E37" s="265"/>
      <c r="F37" s="76"/>
      <c r="G37" s="160"/>
      <c r="H37" s="359"/>
      <c r="I37" s="359"/>
      <c r="J37" s="359"/>
    </row>
    <row r="38" spans="2:10">
      <c r="B38" s="111" t="s">
        <v>31</v>
      </c>
      <c r="C38" s="6" t="s">
        <v>32</v>
      </c>
      <c r="D38" s="227"/>
      <c r="E38" s="265"/>
      <c r="F38" s="76"/>
      <c r="G38" s="160"/>
      <c r="H38" s="359"/>
      <c r="I38" s="359"/>
      <c r="J38" s="359"/>
    </row>
    <row r="39" spans="2:10">
      <c r="B39" s="112" t="s">
        <v>33</v>
      </c>
      <c r="C39" s="12" t="s">
        <v>34</v>
      </c>
      <c r="D39" s="228">
        <v>843662.97</v>
      </c>
      <c r="E39" s="266">
        <v>763294.12</v>
      </c>
      <c r="F39" s="76"/>
      <c r="G39" s="160"/>
      <c r="H39" s="359"/>
      <c r="I39" s="359"/>
      <c r="J39" s="359"/>
    </row>
    <row r="40" spans="2:10" ht="13.5" thickBot="1">
      <c r="B40" s="104" t="s">
        <v>35</v>
      </c>
      <c r="C40" s="105" t="s">
        <v>36</v>
      </c>
      <c r="D40" s="229">
        <v>-3437884.3</v>
      </c>
      <c r="E40" s="271">
        <v>4533826.8899999997</v>
      </c>
      <c r="G40" s="80"/>
    </row>
    <row r="41" spans="2:10" ht="13.5" thickBot="1">
      <c r="B41" s="106" t="s">
        <v>37</v>
      </c>
      <c r="C41" s="107" t="s">
        <v>38</v>
      </c>
      <c r="D41" s="230">
        <v>112581531.00000001</v>
      </c>
      <c r="E41" s="155">
        <f>E26+E27+E40</f>
        <v>110131015.30999999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5.75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3"/>
      <c r="C45" s="30" t="s">
        <v>39</v>
      </c>
      <c r="D45" s="73" t="s">
        <v>125</v>
      </c>
      <c r="E45" s="29" t="s">
        <v>145</v>
      </c>
      <c r="G45" s="250" t="s">
        <v>126</v>
      </c>
    </row>
    <row r="46" spans="2:10">
      <c r="B46" s="13" t="s">
        <v>18</v>
      </c>
      <c r="C46" s="31" t="s">
        <v>112</v>
      </c>
      <c r="D46" s="249"/>
      <c r="E46" s="28"/>
      <c r="G46" s="76"/>
    </row>
    <row r="47" spans="2:10">
      <c r="B47" s="109" t="s">
        <v>4</v>
      </c>
      <c r="C47" s="15" t="s">
        <v>40</v>
      </c>
      <c r="D47" s="231">
        <v>9686391.1517999992</v>
      </c>
      <c r="E47" s="79">
        <v>9785822.5662600007</v>
      </c>
      <c r="G47" s="251"/>
    </row>
    <row r="48" spans="2:10">
      <c r="B48" s="130" t="s">
        <v>6</v>
      </c>
      <c r="C48" s="22" t="s">
        <v>41</v>
      </c>
      <c r="D48" s="232">
        <v>9734660.9393399991</v>
      </c>
      <c r="E48" s="365">
        <v>9756987.0218119323</v>
      </c>
      <c r="G48" s="213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11.910692635819199</v>
      </c>
      <c r="E50" s="156">
        <v>10.8333084840013</v>
      </c>
      <c r="G50" s="239"/>
    </row>
    <row r="51" spans="2:7">
      <c r="B51" s="109" t="s">
        <v>6</v>
      </c>
      <c r="C51" s="15" t="s">
        <v>114</v>
      </c>
      <c r="D51" s="311">
        <v>11.4587</v>
      </c>
      <c r="E51" s="315">
        <v>10.7829</v>
      </c>
      <c r="G51" s="190"/>
    </row>
    <row r="52" spans="2:7" ht="12.75" customHeight="1">
      <c r="B52" s="109" t="s">
        <v>8</v>
      </c>
      <c r="C52" s="15" t="s">
        <v>115</v>
      </c>
      <c r="D52" s="311">
        <v>12.333</v>
      </c>
      <c r="E52" s="315">
        <v>11.731</v>
      </c>
    </row>
    <row r="53" spans="2:7" ht="13.5" thickBot="1">
      <c r="B53" s="110" t="s">
        <v>9</v>
      </c>
      <c r="C53" s="17" t="s">
        <v>41</v>
      </c>
      <c r="D53" s="235">
        <v>11.565018206749301</v>
      </c>
      <c r="E53" s="316">
        <v>11.2874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SUM(D59:D70)</f>
        <v>109989511.03</v>
      </c>
      <c r="E58" s="32">
        <f>D58/E21</f>
        <v>0.99871512779936067</v>
      </c>
    </row>
    <row r="59" spans="2:7" ht="25.5">
      <c r="B59" s="21" t="s">
        <v>4</v>
      </c>
      <c r="C59" s="22" t="s">
        <v>44</v>
      </c>
      <c r="D59" s="86">
        <v>0</v>
      </c>
      <c r="E59" s="87">
        <v>0</v>
      </c>
    </row>
    <row r="60" spans="2:7" ht="24" customHeight="1">
      <c r="B60" s="14" t="s">
        <v>6</v>
      </c>
      <c r="C60" s="15" t="s">
        <v>45</v>
      </c>
      <c r="D60" s="84">
        <v>0</v>
      </c>
      <c r="E60" s="85">
        <v>0</v>
      </c>
    </row>
    <row r="61" spans="2:7">
      <c r="B61" s="14" t="s">
        <v>8</v>
      </c>
      <c r="C61" s="15" t="s">
        <v>46</v>
      </c>
      <c r="D61" s="84">
        <v>0</v>
      </c>
      <c r="E61" s="85">
        <v>0</v>
      </c>
    </row>
    <row r="62" spans="2:7">
      <c r="B62" s="14" t="s">
        <v>9</v>
      </c>
      <c r="C62" s="15" t="s">
        <v>47</v>
      </c>
      <c r="D62" s="84">
        <v>0</v>
      </c>
      <c r="E62" s="85">
        <v>0</v>
      </c>
    </row>
    <row r="63" spans="2:7">
      <c r="B63" s="14" t="s">
        <v>29</v>
      </c>
      <c r="C63" s="15" t="s">
        <v>48</v>
      </c>
      <c r="D63" s="84">
        <v>0</v>
      </c>
      <c r="E63" s="85">
        <v>0</v>
      </c>
    </row>
    <row r="64" spans="2:7">
      <c r="B64" s="21" t="s">
        <v>31</v>
      </c>
      <c r="C64" s="22" t="s">
        <v>49</v>
      </c>
      <c r="D64" s="314">
        <f>111878669.25-1979473.71</f>
        <v>109899195.54000001</v>
      </c>
      <c r="E64" s="87">
        <f>D64/E21</f>
        <v>0.99789505463699335</v>
      </c>
    </row>
    <row r="65" spans="2:5">
      <c r="B65" s="21" t="s">
        <v>33</v>
      </c>
      <c r="C65" s="22" t="s">
        <v>118</v>
      </c>
      <c r="D65" s="86">
        <v>0</v>
      </c>
      <c r="E65" s="87">
        <v>0</v>
      </c>
    </row>
    <row r="66" spans="2:5">
      <c r="B66" s="21" t="s">
        <v>50</v>
      </c>
      <c r="C66" s="22" t="s">
        <v>51</v>
      </c>
      <c r="D66" s="86">
        <v>0</v>
      </c>
      <c r="E66" s="87">
        <v>0</v>
      </c>
    </row>
    <row r="67" spans="2:5">
      <c r="B67" s="14" t="s">
        <v>52</v>
      </c>
      <c r="C67" s="15" t="s">
        <v>53</v>
      </c>
      <c r="D67" s="84">
        <v>0</v>
      </c>
      <c r="E67" s="85">
        <v>0</v>
      </c>
    </row>
    <row r="68" spans="2:5">
      <c r="B68" s="14" t="s">
        <v>54</v>
      </c>
      <c r="C68" s="15" t="s">
        <v>55</v>
      </c>
      <c r="D68" s="84">
        <v>0</v>
      </c>
      <c r="E68" s="85">
        <v>0</v>
      </c>
    </row>
    <row r="69" spans="2:5">
      <c r="B69" s="14" t="s">
        <v>56</v>
      </c>
      <c r="C69" s="15" t="s">
        <v>57</v>
      </c>
      <c r="D69" s="334">
        <v>90315.49</v>
      </c>
      <c r="E69" s="85">
        <f>D69/E21</f>
        <v>8.2007316236736147E-4</v>
      </c>
    </row>
    <row r="70" spans="2:5">
      <c r="B70" s="119" t="s">
        <v>58</v>
      </c>
      <c r="C70" s="120" t="s">
        <v>59</v>
      </c>
      <c r="D70" s="121">
        <v>0</v>
      </c>
      <c r="E70" s="122">
        <v>0</v>
      </c>
    </row>
    <row r="71" spans="2:5">
      <c r="B71" s="127" t="s">
        <v>23</v>
      </c>
      <c r="C71" s="128" t="s">
        <v>61</v>
      </c>
      <c r="D71" s="129">
        <f>E13</f>
        <v>0</v>
      </c>
      <c r="E71" s="69">
        <v>0</v>
      </c>
    </row>
    <row r="72" spans="2:5">
      <c r="B72" s="123" t="s">
        <v>60</v>
      </c>
      <c r="C72" s="124" t="s">
        <v>63</v>
      </c>
      <c r="D72" s="125">
        <f>E14</f>
        <v>329203.88</v>
      </c>
      <c r="E72" s="126">
        <f>D72/E21</f>
        <v>2.989202261264434E-3</v>
      </c>
    </row>
    <row r="73" spans="2:5">
      <c r="B73" s="23" t="s">
        <v>62</v>
      </c>
      <c r="C73" s="24" t="s">
        <v>65</v>
      </c>
      <c r="D73" s="25">
        <f>E17</f>
        <v>187699.6</v>
      </c>
      <c r="E73" s="26">
        <f>D73/E21</f>
        <v>1.7043300606251353E-3</v>
      </c>
    </row>
    <row r="74" spans="2:5">
      <c r="B74" s="127" t="s">
        <v>64</v>
      </c>
      <c r="C74" s="128" t="s">
        <v>66</v>
      </c>
      <c r="D74" s="129">
        <f>D58+D71+D72-D73</f>
        <v>110131015.31</v>
      </c>
      <c r="E74" s="69">
        <f>E58+E72-E73</f>
        <v>1</v>
      </c>
    </row>
    <row r="75" spans="2:5">
      <c r="B75" s="14" t="s">
        <v>4</v>
      </c>
      <c r="C75" s="15" t="s">
        <v>67</v>
      </c>
      <c r="D75" s="84">
        <f>D74</f>
        <v>110131015.31</v>
      </c>
      <c r="E75" s="85">
        <f>E74</f>
        <v>1</v>
      </c>
    </row>
    <row r="76" spans="2:5">
      <c r="B76" s="14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6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59" bottom="0.4" header="0.5" footer="0.5"/>
  <pageSetup paperSize="9" scale="70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1">
    <pageSetUpPr fitToPage="1"/>
  </sheetPr>
  <dimension ref="A1:L81"/>
  <sheetViews>
    <sheetView zoomScale="80" zoomScaleNormal="80" workbookViewId="0">
      <selection activeCell="G21" sqref="G21:L5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4"/>
      <c r="C4" s="94"/>
      <c r="D4" s="94"/>
      <c r="E4" s="9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170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5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49934.87</v>
      </c>
      <c r="E11" s="284">
        <f>SUM(E12:E14)</f>
        <v>38324.82</v>
      </c>
    </row>
    <row r="12" spans="2:12">
      <c r="B12" s="191" t="s">
        <v>4</v>
      </c>
      <c r="C12" s="192" t="s">
        <v>5</v>
      </c>
      <c r="D12" s="329">
        <v>49934.87</v>
      </c>
      <c r="E12" s="353">
        <v>38324.82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49934.87</v>
      </c>
      <c r="E21" s="155">
        <f>E11-E17</f>
        <v>38324.82</v>
      </c>
      <c r="F21" s="83"/>
      <c r="G21" s="83"/>
      <c r="H21" s="177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53370.67</v>
      </c>
      <c r="E26" s="270">
        <f>D21</f>
        <v>49934.87</v>
      </c>
      <c r="G26" s="80"/>
    </row>
    <row r="27" spans="2:11">
      <c r="B27" s="9" t="s">
        <v>17</v>
      </c>
      <c r="C27" s="10" t="s">
        <v>111</v>
      </c>
      <c r="D27" s="226">
        <v>-3055.1699999999996</v>
      </c>
      <c r="E27" s="263">
        <f>E28-E32</f>
        <v>-12869.31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3055.1699999999996</v>
      </c>
      <c r="E32" s="264">
        <f>SUM(E33:E39)</f>
        <v>12869.31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2566.89</v>
      </c>
      <c r="E33" s="265">
        <v>12349.03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20.58</v>
      </c>
      <c r="E35" s="265">
        <v>23.23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467.7</v>
      </c>
      <c r="E37" s="265">
        <v>497.05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110.85</v>
      </c>
      <c r="E40" s="271">
        <v>1259.26</v>
      </c>
      <c r="G40" s="80"/>
    </row>
    <row r="41" spans="2:10" ht="13.5" thickBot="1">
      <c r="B41" s="106" t="s">
        <v>37</v>
      </c>
      <c r="C41" s="107" t="s">
        <v>38</v>
      </c>
      <c r="D41" s="230">
        <v>50426.35</v>
      </c>
      <c r="E41" s="155">
        <f>E26+E27+E40</f>
        <v>38324.820000000007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406.60270000000003</v>
      </c>
      <c r="E47" s="156">
        <v>379.58850000000001</v>
      </c>
      <c r="G47" s="76"/>
    </row>
    <row r="48" spans="2:10">
      <c r="B48" s="204" t="s">
        <v>6</v>
      </c>
      <c r="C48" s="205" t="s">
        <v>41</v>
      </c>
      <c r="D48" s="232">
        <v>383.41199999999998</v>
      </c>
      <c r="E48" s="341">
        <v>283.13249999999999</v>
      </c>
      <c r="G48" s="76"/>
    </row>
    <row r="49" spans="2:7">
      <c r="B49" s="127" t="s">
        <v>23</v>
      </c>
      <c r="C49" s="131" t="s">
        <v>113</v>
      </c>
      <c r="D49" s="233"/>
      <c r="E49" s="274"/>
    </row>
    <row r="50" spans="2:7">
      <c r="B50" s="202" t="s">
        <v>4</v>
      </c>
      <c r="C50" s="203" t="s">
        <v>40</v>
      </c>
      <c r="D50" s="231">
        <v>131.26</v>
      </c>
      <c r="E50" s="274">
        <v>131.55000000000001</v>
      </c>
      <c r="G50" s="190"/>
    </row>
    <row r="51" spans="2:7">
      <c r="B51" s="202" t="s">
        <v>6</v>
      </c>
      <c r="C51" s="203" t="s">
        <v>114</v>
      </c>
      <c r="D51" s="234">
        <v>131.26</v>
      </c>
      <c r="E51" s="275">
        <v>131.44</v>
      </c>
      <c r="G51" s="190"/>
    </row>
    <row r="52" spans="2:7">
      <c r="B52" s="202" t="s">
        <v>8</v>
      </c>
      <c r="C52" s="203" t="s">
        <v>115</v>
      </c>
      <c r="D52" s="234">
        <v>132.05000000000001</v>
      </c>
      <c r="E52" s="275">
        <v>135.36000000000001</v>
      </c>
    </row>
    <row r="53" spans="2:7" ht="13.5" customHeight="1" thickBot="1">
      <c r="B53" s="206" t="s">
        <v>9</v>
      </c>
      <c r="C53" s="207" t="s">
        <v>41</v>
      </c>
      <c r="D53" s="235">
        <v>131.52000000000001</v>
      </c>
      <c r="E53" s="347">
        <v>135.36000000000001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38324.82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38324.82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38324.82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38324.82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3"/>
  <dimension ref="A1:L81"/>
  <sheetViews>
    <sheetView zoomScale="80" zoomScaleNormal="80" workbookViewId="0">
      <selection activeCell="G27" sqref="G27:G4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1"/>
      <c r="C4" s="141"/>
      <c r="D4" s="141"/>
      <c r="E4" s="14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171</v>
      </c>
      <c r="C6" s="497"/>
      <c r="D6" s="497"/>
      <c r="E6" s="497"/>
    </row>
    <row r="7" spans="2:12" ht="14.25">
      <c r="B7" s="140"/>
      <c r="C7" s="140"/>
      <c r="D7" s="140"/>
      <c r="E7" s="14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464283.27</v>
      </c>
      <c r="E11" s="284">
        <f>SUM(E12:E14)</f>
        <v>448456.3</v>
      </c>
    </row>
    <row r="12" spans="2:12">
      <c r="B12" s="191" t="s">
        <v>4</v>
      </c>
      <c r="C12" s="192" t="s">
        <v>5</v>
      </c>
      <c r="D12" s="329">
        <v>464283.27</v>
      </c>
      <c r="E12" s="353">
        <v>448456.3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464283.27</v>
      </c>
      <c r="E21" s="155">
        <f>E11-E17</f>
        <v>448456.3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1173362.48</v>
      </c>
      <c r="E26" s="270">
        <f>D21</f>
        <v>464283.27</v>
      </c>
      <c r="G26" s="80"/>
    </row>
    <row r="27" spans="2:11">
      <c r="B27" s="9" t="s">
        <v>17</v>
      </c>
      <c r="C27" s="10" t="s">
        <v>111</v>
      </c>
      <c r="D27" s="226">
        <v>-580263.03</v>
      </c>
      <c r="E27" s="263">
        <f>E28-E32</f>
        <v>-70413.97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580263.03</v>
      </c>
      <c r="E32" s="264">
        <f>SUM(E33:E39)</f>
        <v>70413.97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72338.880000000005</v>
      </c>
      <c r="E33" s="265"/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1178.8599999999999</v>
      </c>
      <c r="E35" s="367">
        <v>2941.51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8997.2099999999991</v>
      </c>
      <c r="E37" s="265">
        <v>3708.45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497748.08</v>
      </c>
      <c r="E39" s="266">
        <v>63764.01</v>
      </c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-16912.97</v>
      </c>
      <c r="E40" s="271">
        <v>54587</v>
      </c>
      <c r="G40" s="80"/>
    </row>
    <row r="41" spans="2:10" ht="13.5" thickBot="1">
      <c r="B41" s="106" t="s">
        <v>37</v>
      </c>
      <c r="C41" s="107" t="s">
        <v>38</v>
      </c>
      <c r="D41" s="230">
        <v>576186.48</v>
      </c>
      <c r="E41" s="155">
        <f>E26+E27+E40</f>
        <v>448456.30000000005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96493.625</v>
      </c>
      <c r="E47" s="156">
        <v>42949.423999999999</v>
      </c>
      <c r="G47" s="76"/>
    </row>
    <row r="48" spans="2:10">
      <c r="B48" s="204" t="s">
        <v>6</v>
      </c>
      <c r="C48" s="205" t="s">
        <v>41</v>
      </c>
      <c r="D48" s="232">
        <v>47975.56</v>
      </c>
      <c r="E48" s="341">
        <v>36879.629999999997</v>
      </c>
      <c r="G48" s="76"/>
    </row>
    <row r="49" spans="2:7">
      <c r="B49" s="127" t="s">
        <v>23</v>
      </c>
      <c r="C49" s="131" t="s">
        <v>113</v>
      </c>
      <c r="D49" s="233"/>
      <c r="E49" s="274"/>
    </row>
    <row r="50" spans="2:7">
      <c r="B50" s="202" t="s">
        <v>4</v>
      </c>
      <c r="C50" s="203" t="s">
        <v>40</v>
      </c>
      <c r="D50" s="231">
        <v>12.16</v>
      </c>
      <c r="E50" s="274">
        <v>10.81</v>
      </c>
      <c r="G50" s="190"/>
    </row>
    <row r="51" spans="2:7">
      <c r="B51" s="202" t="s">
        <v>6</v>
      </c>
      <c r="C51" s="203" t="s">
        <v>114</v>
      </c>
      <c r="D51" s="234">
        <v>11.47</v>
      </c>
      <c r="E51" s="275">
        <v>10.81</v>
      </c>
      <c r="G51" s="190"/>
    </row>
    <row r="52" spans="2:7">
      <c r="B52" s="202" t="s">
        <v>8</v>
      </c>
      <c r="C52" s="203" t="s">
        <v>115</v>
      </c>
      <c r="D52" s="234">
        <v>12.58</v>
      </c>
      <c r="E52" s="275">
        <v>12.540000000000001</v>
      </c>
    </row>
    <row r="53" spans="2:7" ht="13.5" customHeight="1" thickBot="1">
      <c r="B53" s="206" t="s">
        <v>9</v>
      </c>
      <c r="C53" s="207" t="s">
        <v>41</v>
      </c>
      <c r="D53" s="235">
        <v>12.01</v>
      </c>
      <c r="E53" s="347">
        <v>12.16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448456.3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448456.3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448456.3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448456.3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4"/>
  <dimension ref="A1:L81"/>
  <sheetViews>
    <sheetView zoomScale="80" zoomScaleNormal="80" workbookViewId="0">
      <selection activeCell="G19" sqref="G19:K4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1"/>
      <c r="C4" s="141"/>
      <c r="D4" s="141"/>
      <c r="E4" s="14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172</v>
      </c>
      <c r="C6" s="497"/>
      <c r="D6" s="497"/>
      <c r="E6" s="497"/>
    </row>
    <row r="7" spans="2:12" ht="14.25">
      <c r="B7" s="140"/>
      <c r="C7" s="140"/>
      <c r="D7" s="140"/>
      <c r="E7" s="14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1587442.79</v>
      </c>
      <c r="E11" s="284">
        <f>SUM(E12:E14)</f>
        <v>1675506.52</v>
      </c>
    </row>
    <row r="12" spans="2:12">
      <c r="B12" s="191" t="s">
        <v>4</v>
      </c>
      <c r="C12" s="192" t="s">
        <v>5</v>
      </c>
      <c r="D12" s="329">
        <v>1587442.79</v>
      </c>
      <c r="E12" s="353">
        <v>1675506.52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1587442.79</v>
      </c>
      <c r="E21" s="155">
        <f>E11-E17</f>
        <v>1675506.52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2334416.84</v>
      </c>
      <c r="E26" s="270">
        <f>D21</f>
        <v>1587442.79</v>
      </c>
      <c r="G26" s="80"/>
    </row>
    <row r="27" spans="2:11">
      <c r="B27" s="9" t="s">
        <v>17</v>
      </c>
      <c r="C27" s="10" t="s">
        <v>111</v>
      </c>
      <c r="D27" s="226">
        <v>-146482.16</v>
      </c>
      <c r="E27" s="263">
        <f>E28-E32</f>
        <v>-14977.62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146482.16</v>
      </c>
      <c r="E32" s="264">
        <f>SUM(E33:E39)</f>
        <v>14977.62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127532.3</v>
      </c>
      <c r="E33" s="265"/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1179.96</v>
      </c>
      <c r="E35" s="265">
        <v>1769.45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17769.900000000001</v>
      </c>
      <c r="E37" s="265">
        <v>13208.17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-76944.87</v>
      </c>
      <c r="E40" s="271">
        <v>103041.35</v>
      </c>
      <c r="G40" s="80"/>
    </row>
    <row r="41" spans="2:10" ht="13.5" thickBot="1">
      <c r="B41" s="106" t="s">
        <v>37</v>
      </c>
      <c r="C41" s="107" t="s">
        <v>38</v>
      </c>
      <c r="D41" s="230">
        <v>2110989.8099999996</v>
      </c>
      <c r="E41" s="155">
        <f>E26+E27+E40</f>
        <v>1675506.52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141737.51300000001</v>
      </c>
      <c r="E47" s="156">
        <v>108580.21799999999</v>
      </c>
      <c r="G47" s="76"/>
    </row>
    <row r="48" spans="2:10">
      <c r="B48" s="204" t="s">
        <v>6</v>
      </c>
      <c r="C48" s="205" t="s">
        <v>41</v>
      </c>
      <c r="D48" s="232">
        <v>132850.20800000001</v>
      </c>
      <c r="E48" s="341">
        <v>107611.209</v>
      </c>
      <c r="G48" s="76"/>
    </row>
    <row r="49" spans="2:7">
      <c r="B49" s="127" t="s">
        <v>23</v>
      </c>
      <c r="C49" s="131" t="s">
        <v>113</v>
      </c>
      <c r="D49" s="233"/>
      <c r="E49" s="274"/>
    </row>
    <row r="50" spans="2:7">
      <c r="B50" s="202" t="s">
        <v>4</v>
      </c>
      <c r="C50" s="203" t="s">
        <v>40</v>
      </c>
      <c r="D50" s="231">
        <v>16.47</v>
      </c>
      <c r="E50" s="274">
        <v>14.62</v>
      </c>
      <c r="G50" s="190"/>
    </row>
    <row r="51" spans="2:7">
      <c r="B51" s="202" t="s">
        <v>6</v>
      </c>
      <c r="C51" s="203" t="s">
        <v>114</v>
      </c>
      <c r="D51" s="234">
        <v>15.85</v>
      </c>
      <c r="E51" s="274">
        <v>14.55</v>
      </c>
      <c r="G51" s="190"/>
    </row>
    <row r="52" spans="2:7">
      <c r="B52" s="202" t="s">
        <v>8</v>
      </c>
      <c r="C52" s="203" t="s">
        <v>115</v>
      </c>
      <c r="D52" s="234">
        <v>17.21</v>
      </c>
      <c r="E52" s="275">
        <v>15.870000000000001</v>
      </c>
    </row>
    <row r="53" spans="2:7" ht="12.75" customHeight="1" thickBot="1">
      <c r="B53" s="206" t="s">
        <v>9</v>
      </c>
      <c r="C53" s="207" t="s">
        <v>41</v>
      </c>
      <c r="D53" s="235">
        <v>15.89</v>
      </c>
      <c r="E53" s="347">
        <v>15.57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1675506.52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1675506.52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1675506.52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1675506.52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5"/>
  <dimension ref="A1:L81"/>
  <sheetViews>
    <sheetView zoomScale="80" zoomScaleNormal="80" workbookViewId="0">
      <selection activeCell="G19" sqref="G19:L5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1"/>
      <c r="C4" s="141"/>
      <c r="D4" s="141"/>
      <c r="E4" s="14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266</v>
      </c>
      <c r="C6" s="497"/>
      <c r="D6" s="497"/>
      <c r="E6" s="497"/>
    </row>
    <row r="7" spans="2:12" ht="14.25">
      <c r="B7" s="140"/>
      <c r="C7" s="140"/>
      <c r="D7" s="140"/>
      <c r="E7" s="14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/>
      <c r="E11" s="284"/>
    </row>
    <row r="12" spans="2:12">
      <c r="B12" s="191" t="s">
        <v>4</v>
      </c>
      <c r="C12" s="192" t="s">
        <v>5</v>
      </c>
      <c r="D12" s="329"/>
      <c r="E12" s="353"/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/>
      <c r="E21" s="155"/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245235.27</v>
      </c>
      <c r="E26" s="270"/>
      <c r="G26" s="80"/>
    </row>
    <row r="27" spans="2:11">
      <c r="B27" s="9" t="s">
        <v>17</v>
      </c>
      <c r="C27" s="10" t="s">
        <v>111</v>
      </c>
      <c r="D27" s="226">
        <v>-55276.47</v>
      </c>
      <c r="E27" s="263"/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/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55276.47</v>
      </c>
      <c r="E32" s="264"/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53753.08</v>
      </c>
      <c r="E33" s="265"/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21.04</v>
      </c>
      <c r="E35" s="265"/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1502.35</v>
      </c>
      <c r="E37" s="265"/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5131.66</v>
      </c>
      <c r="E40" s="271"/>
      <c r="G40" s="80"/>
    </row>
    <row r="41" spans="2:10" ht="13.5" thickBot="1">
      <c r="B41" s="106" t="s">
        <v>37</v>
      </c>
      <c r="C41" s="107" t="s">
        <v>38</v>
      </c>
      <c r="D41" s="230">
        <v>195090.46</v>
      </c>
      <c r="E41" s="155"/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156"/>
      <c r="G46" s="76"/>
    </row>
    <row r="47" spans="2:10">
      <c r="B47" s="202" t="s">
        <v>4</v>
      </c>
      <c r="C47" s="203" t="s">
        <v>40</v>
      </c>
      <c r="D47" s="231">
        <v>31725.132000000001</v>
      </c>
      <c r="E47" s="156"/>
      <c r="G47" s="76"/>
    </row>
    <row r="48" spans="2:10">
      <c r="B48" s="204" t="s">
        <v>6</v>
      </c>
      <c r="C48" s="205" t="s">
        <v>41</v>
      </c>
      <c r="D48" s="232">
        <v>24295.201000000001</v>
      </c>
      <c r="E48" s="156"/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7.73</v>
      </c>
      <c r="E50" s="156"/>
      <c r="G50" s="190"/>
    </row>
    <row r="51" spans="2:7">
      <c r="B51" s="202" t="s">
        <v>6</v>
      </c>
      <c r="C51" s="203" t="s">
        <v>114</v>
      </c>
      <c r="D51" s="234">
        <v>7.12</v>
      </c>
      <c r="E51" s="81"/>
      <c r="G51" s="190"/>
    </row>
    <row r="52" spans="2:7">
      <c r="B52" s="202" t="s">
        <v>8</v>
      </c>
      <c r="C52" s="203" t="s">
        <v>115</v>
      </c>
      <c r="D52" s="234">
        <v>8.5</v>
      </c>
      <c r="E52" s="81"/>
    </row>
    <row r="53" spans="2:7" ht="12.75" customHeight="1" thickBot="1">
      <c r="B53" s="206" t="s">
        <v>9</v>
      </c>
      <c r="C53" s="207" t="s">
        <v>41</v>
      </c>
      <c r="D53" s="235">
        <v>8.0299999999999994</v>
      </c>
      <c r="E53" s="272"/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0</v>
      </c>
      <c r="E58" s="32">
        <v>0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0</v>
      </c>
      <c r="E64" s="87">
        <v>0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0</v>
      </c>
      <c r="E74" s="69">
        <v>0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6"/>
  <dimension ref="A1:L81"/>
  <sheetViews>
    <sheetView zoomScale="80" zoomScaleNormal="80" workbookViewId="0">
      <selection activeCell="G16" sqref="G16:L7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1"/>
      <c r="C4" s="141"/>
      <c r="D4" s="141"/>
      <c r="E4" s="14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173</v>
      </c>
      <c r="C6" s="497"/>
      <c r="D6" s="497"/>
      <c r="E6" s="497"/>
    </row>
    <row r="7" spans="2:12" ht="14.25">
      <c r="B7" s="140"/>
      <c r="C7" s="140"/>
      <c r="D7" s="140"/>
      <c r="E7" s="14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5708222.1600000001</v>
      </c>
      <c r="E11" s="284">
        <f>SUM(E12:E14)</f>
        <v>3178847</v>
      </c>
    </row>
    <row r="12" spans="2:12">
      <c r="B12" s="191" t="s">
        <v>4</v>
      </c>
      <c r="C12" s="488" t="s">
        <v>5</v>
      </c>
      <c r="D12" s="329">
        <v>5708222.1600000001</v>
      </c>
      <c r="E12" s="353">
        <f>3180092.67-1245.67</f>
        <v>3178847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5708222.1600000001</v>
      </c>
      <c r="E21" s="155">
        <f>E11-E17</f>
        <v>3178847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5264394.12</v>
      </c>
      <c r="E26" s="270">
        <f>D21</f>
        <v>5708222.1600000001</v>
      </c>
      <c r="G26" s="80"/>
    </row>
    <row r="27" spans="2:11">
      <c r="B27" s="9" t="s">
        <v>17</v>
      </c>
      <c r="C27" s="10" t="s">
        <v>111</v>
      </c>
      <c r="D27" s="226">
        <v>1270921.1800000002</v>
      </c>
      <c r="E27" s="263">
        <f>E28-E32</f>
        <v>-3603845.2299999995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1637638.11</v>
      </c>
      <c r="E28" s="264">
        <f>SUM(E29:E31)</f>
        <v>50353.93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1637638.11</v>
      </c>
      <c r="E31" s="265">
        <v>50353.93</v>
      </c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366716.93000000005</v>
      </c>
      <c r="E32" s="264">
        <f>SUM(E33:E39)</f>
        <v>3654199.1599999997</v>
      </c>
      <c r="F32" s="76"/>
      <c r="G32" s="80"/>
      <c r="H32" s="76"/>
      <c r="I32" s="76"/>
      <c r="J32" s="76"/>
    </row>
    <row r="33" spans="2:12">
      <c r="B33" s="199" t="s">
        <v>4</v>
      </c>
      <c r="C33" s="488" t="s">
        <v>25</v>
      </c>
      <c r="D33" s="299">
        <v>271780.71000000002</v>
      </c>
      <c r="E33" s="265">
        <v>22332.27</v>
      </c>
      <c r="F33" s="76"/>
      <c r="G33" s="76"/>
      <c r="H33" s="76"/>
      <c r="I33" s="76"/>
      <c r="J33" s="76"/>
    </row>
    <row r="34" spans="2:12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2">
      <c r="B35" s="199" t="s">
        <v>8</v>
      </c>
      <c r="C35" s="192" t="s">
        <v>27</v>
      </c>
      <c r="D35" s="227">
        <v>10182.81</v>
      </c>
      <c r="E35" s="265">
        <v>11534.04</v>
      </c>
      <c r="F35" s="76"/>
      <c r="G35" s="76"/>
      <c r="H35" s="76"/>
      <c r="I35" s="76"/>
      <c r="J35" s="76"/>
    </row>
    <row r="36" spans="2:12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2" ht="25.5">
      <c r="B37" s="199" t="s">
        <v>29</v>
      </c>
      <c r="C37" s="192" t="s">
        <v>30</v>
      </c>
      <c r="D37" s="227">
        <v>46910.45</v>
      </c>
      <c r="E37" s="265">
        <v>33138.839999999997</v>
      </c>
      <c r="F37" s="76"/>
      <c r="G37" s="76"/>
      <c r="H37" s="76"/>
      <c r="I37" s="76"/>
      <c r="J37" s="76"/>
    </row>
    <row r="38" spans="2:12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2">
      <c r="B39" s="200" t="s">
        <v>33</v>
      </c>
      <c r="C39" s="201" t="s">
        <v>34</v>
      </c>
      <c r="D39" s="228">
        <v>37842.959999999999</v>
      </c>
      <c r="E39" s="266">
        <v>3587194.01</v>
      </c>
      <c r="F39" s="76"/>
      <c r="G39" s="76"/>
      <c r="H39" s="76"/>
      <c r="I39" s="76"/>
      <c r="J39" s="76"/>
    </row>
    <row r="40" spans="2:12" ht="13.5" thickBot="1">
      <c r="B40" s="104" t="s">
        <v>35</v>
      </c>
      <c r="C40" s="105" t="s">
        <v>36</v>
      </c>
      <c r="D40" s="229">
        <v>575552.46</v>
      </c>
      <c r="E40" s="271">
        <v>1074470.07</v>
      </c>
      <c r="G40" s="80"/>
    </row>
    <row r="41" spans="2:12" ht="13.5" thickBot="1">
      <c r="B41" s="106" t="s">
        <v>37</v>
      </c>
      <c r="C41" s="107" t="s">
        <v>38</v>
      </c>
      <c r="D41" s="230">
        <v>7110867.7600000007</v>
      </c>
      <c r="E41" s="155">
        <f>E26+E27+E40</f>
        <v>3178847.0000000009</v>
      </c>
      <c r="F41" s="83"/>
      <c r="G41" s="80"/>
    </row>
    <row r="42" spans="2:12">
      <c r="B42" s="100"/>
      <c r="C42" s="100"/>
      <c r="D42" s="101"/>
      <c r="E42" s="101"/>
      <c r="F42" s="83"/>
      <c r="G42" s="70"/>
    </row>
    <row r="43" spans="2:12" ht="13.5">
      <c r="B43" s="500" t="s">
        <v>60</v>
      </c>
      <c r="C43" s="512"/>
      <c r="D43" s="512"/>
      <c r="E43" s="512"/>
      <c r="G43" s="76"/>
    </row>
    <row r="44" spans="2:12" ht="18" customHeight="1" thickBot="1">
      <c r="B44" s="498" t="s">
        <v>121</v>
      </c>
      <c r="C44" s="511"/>
      <c r="D44" s="511"/>
      <c r="E44" s="511"/>
      <c r="G44" s="76"/>
    </row>
    <row r="45" spans="2:12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2">
      <c r="B46" s="13" t="s">
        <v>18</v>
      </c>
      <c r="C46" s="31" t="s">
        <v>112</v>
      </c>
      <c r="D46" s="108"/>
      <c r="E46" s="28"/>
      <c r="G46" s="76"/>
    </row>
    <row r="47" spans="2:12">
      <c r="B47" s="202" t="s">
        <v>4</v>
      </c>
      <c r="C47" s="203" t="s">
        <v>40</v>
      </c>
      <c r="D47" s="231">
        <v>194905.37299999999</v>
      </c>
      <c r="E47" s="156">
        <v>218957.505</v>
      </c>
      <c r="G47" s="76"/>
    </row>
    <row r="48" spans="2:12">
      <c r="B48" s="204" t="s">
        <v>6</v>
      </c>
      <c r="C48" s="205" t="s">
        <v>41</v>
      </c>
      <c r="D48" s="232">
        <v>236949.94200000001</v>
      </c>
      <c r="E48" s="489">
        <f>E21/E53</f>
        <v>98324.992267244044</v>
      </c>
      <c r="G48" s="76"/>
      <c r="H48" s="238"/>
      <c r="I48" s="167"/>
      <c r="J48" s="167"/>
      <c r="K48" s="167"/>
      <c r="L48" s="167"/>
    </row>
    <row r="49" spans="2:7">
      <c r="B49" s="127" t="s">
        <v>23</v>
      </c>
      <c r="C49" s="131" t="s">
        <v>113</v>
      </c>
      <c r="D49" s="233"/>
      <c r="E49" s="490"/>
    </row>
    <row r="50" spans="2:7">
      <c r="B50" s="202" t="s">
        <v>4</v>
      </c>
      <c r="C50" s="203" t="s">
        <v>40</v>
      </c>
      <c r="D50" s="231">
        <v>27.01</v>
      </c>
      <c r="E50" s="490">
        <v>26.07</v>
      </c>
      <c r="G50" s="190"/>
    </row>
    <row r="51" spans="2:7">
      <c r="B51" s="202" t="s">
        <v>6</v>
      </c>
      <c r="C51" s="203" t="s">
        <v>114</v>
      </c>
      <c r="D51" s="234">
        <v>26.76</v>
      </c>
      <c r="E51" s="491">
        <v>25.310000000000002</v>
      </c>
      <c r="G51" s="190"/>
    </row>
    <row r="52" spans="2:7">
      <c r="B52" s="202" t="s">
        <v>8</v>
      </c>
      <c r="C52" s="203" t="s">
        <v>115</v>
      </c>
      <c r="D52" s="234">
        <v>30.93</v>
      </c>
      <c r="E52" s="491">
        <v>32.71</v>
      </c>
    </row>
    <row r="53" spans="2:7" ht="13.5" customHeight="1" thickBot="1">
      <c r="B53" s="206" t="s">
        <v>9</v>
      </c>
      <c r="C53" s="207" t="s">
        <v>41</v>
      </c>
      <c r="D53" s="235">
        <v>30.01</v>
      </c>
      <c r="E53" s="347">
        <v>32.33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3178847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3178847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3178847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3178847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7"/>
  <dimension ref="A1:L81"/>
  <sheetViews>
    <sheetView zoomScale="80" zoomScaleNormal="80" workbookViewId="0">
      <selection activeCell="G16" sqref="G16:L4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174</v>
      </c>
      <c r="C6" s="497"/>
      <c r="D6" s="497"/>
      <c r="E6" s="497"/>
    </row>
    <row r="7" spans="2:12" ht="14.25">
      <c r="B7" s="179"/>
      <c r="C7" s="179"/>
      <c r="D7" s="179"/>
      <c r="E7" s="179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80"/>
      <c r="C10" s="82" t="s">
        <v>2</v>
      </c>
      <c r="D10" s="73" t="s">
        <v>142</v>
      </c>
      <c r="E10" s="29" t="s">
        <v>145</v>
      </c>
    </row>
    <row r="11" spans="2:12">
      <c r="B11" s="97" t="s">
        <v>3</v>
      </c>
      <c r="C11" s="135" t="s">
        <v>109</v>
      </c>
      <c r="D11" s="283">
        <v>237494.78</v>
      </c>
      <c r="E11" s="284">
        <f>SUM(E12:E14)</f>
        <v>375046.29</v>
      </c>
    </row>
    <row r="12" spans="2:12">
      <c r="B12" s="191" t="s">
        <v>4</v>
      </c>
      <c r="C12" s="192" t="s">
        <v>5</v>
      </c>
      <c r="D12" s="329">
        <v>237494.78</v>
      </c>
      <c r="E12" s="353">
        <v>375046.29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237494.78</v>
      </c>
      <c r="E21" s="155">
        <f>E11-E17</f>
        <v>375046.29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561298.48</v>
      </c>
      <c r="E26" s="270">
        <f>D21</f>
        <v>237494.78</v>
      </c>
      <c r="G26" s="80"/>
    </row>
    <row r="27" spans="2:11">
      <c r="B27" s="9" t="s">
        <v>17</v>
      </c>
      <c r="C27" s="10" t="s">
        <v>111</v>
      </c>
      <c r="D27" s="226">
        <v>-102554.52</v>
      </c>
      <c r="E27" s="263">
        <f>E28-E32</f>
        <v>105219.15000000001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109010.55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>
        <v>109010.55</v>
      </c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102554.52</v>
      </c>
      <c r="E32" s="264">
        <f>SUM(E33:E39)</f>
        <v>3791.4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97590.36</v>
      </c>
      <c r="E33" s="265"/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787.47</v>
      </c>
      <c r="E35" s="265">
        <v>1353.4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4176.6899999999996</v>
      </c>
      <c r="E37" s="265">
        <v>2438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-35163.56</v>
      </c>
      <c r="E40" s="271">
        <v>32332.36</v>
      </c>
      <c r="G40" s="80"/>
    </row>
    <row r="41" spans="2:10" ht="13.5" thickBot="1">
      <c r="B41" s="106" t="s">
        <v>37</v>
      </c>
      <c r="C41" s="107" t="s">
        <v>38</v>
      </c>
      <c r="D41" s="230">
        <v>423580.39999999997</v>
      </c>
      <c r="E41" s="155">
        <f>E26+E27+E40</f>
        <v>375046.29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50071.228999999999</v>
      </c>
      <c r="E47" s="156">
        <v>23125.1</v>
      </c>
      <c r="G47" s="76"/>
    </row>
    <row r="48" spans="2:10">
      <c r="B48" s="204" t="s">
        <v>6</v>
      </c>
      <c r="C48" s="205" t="s">
        <v>41</v>
      </c>
      <c r="D48" s="232">
        <v>40689.760000000002</v>
      </c>
      <c r="E48" s="341">
        <v>32898.796999999999</v>
      </c>
      <c r="G48" s="76"/>
    </row>
    <row r="49" spans="2:7">
      <c r="B49" s="127" t="s">
        <v>23</v>
      </c>
      <c r="C49" s="131" t="s">
        <v>113</v>
      </c>
      <c r="D49" s="233"/>
      <c r="E49" s="274"/>
    </row>
    <row r="50" spans="2:7">
      <c r="B50" s="202" t="s">
        <v>4</v>
      </c>
      <c r="C50" s="203" t="s">
        <v>40</v>
      </c>
      <c r="D50" s="231">
        <v>11.21</v>
      </c>
      <c r="E50" s="274">
        <v>10.27</v>
      </c>
      <c r="G50" s="190"/>
    </row>
    <row r="51" spans="2:7">
      <c r="B51" s="202" t="s">
        <v>6</v>
      </c>
      <c r="C51" s="203" t="s">
        <v>114</v>
      </c>
      <c r="D51" s="234">
        <v>10.37</v>
      </c>
      <c r="E51" s="275">
        <v>10.27</v>
      </c>
      <c r="G51" s="190"/>
    </row>
    <row r="52" spans="2:7">
      <c r="B52" s="202" t="s">
        <v>8</v>
      </c>
      <c r="C52" s="203" t="s">
        <v>115</v>
      </c>
      <c r="D52" s="234">
        <v>11.29</v>
      </c>
      <c r="E52" s="350">
        <v>11.46</v>
      </c>
    </row>
    <row r="53" spans="2:7" ht="13.5" thickBot="1">
      <c r="B53" s="206" t="s">
        <v>9</v>
      </c>
      <c r="C53" s="207" t="s">
        <v>41</v>
      </c>
      <c r="D53" s="235">
        <v>10.41</v>
      </c>
      <c r="E53" s="351">
        <v>11.4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375046.29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375046.29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375046.29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375046.29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8"/>
  <dimension ref="A1:L81"/>
  <sheetViews>
    <sheetView zoomScale="80" zoomScaleNormal="80" workbookViewId="0">
      <selection activeCell="G19" sqref="G19:L4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175</v>
      </c>
      <c r="C6" s="497"/>
      <c r="D6" s="497"/>
      <c r="E6" s="497"/>
    </row>
    <row r="7" spans="2:12" ht="14.25">
      <c r="B7" s="220"/>
      <c r="C7" s="220"/>
      <c r="D7" s="220"/>
      <c r="E7" s="22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221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237202.49</v>
      </c>
      <c r="E11" s="284">
        <f>SUM(E12:E14)</f>
        <v>243292.1</v>
      </c>
    </row>
    <row r="12" spans="2:12">
      <c r="B12" s="191" t="s">
        <v>4</v>
      </c>
      <c r="C12" s="192" t="s">
        <v>5</v>
      </c>
      <c r="D12" s="329">
        <v>237202.49</v>
      </c>
      <c r="E12" s="353">
        <v>243292.1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237202.49</v>
      </c>
      <c r="E21" s="155">
        <f>E11-E17</f>
        <v>243292.1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248882.82</v>
      </c>
      <c r="E26" s="270">
        <f>D21</f>
        <v>237202.49</v>
      </c>
      <c r="G26" s="80"/>
    </row>
    <row r="27" spans="2:11">
      <c r="B27" s="9" t="s">
        <v>17</v>
      </c>
      <c r="C27" s="10" t="s">
        <v>111</v>
      </c>
      <c r="D27" s="226">
        <v>-1889.78</v>
      </c>
      <c r="E27" s="263">
        <f>E28-E32</f>
        <v>-1910.61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1889.78</v>
      </c>
      <c r="E32" s="264">
        <f>SUM(E33:E39)</f>
        <v>1910.61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/>
      <c r="E35" s="265"/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1889.78</v>
      </c>
      <c r="E37" s="367">
        <v>1910.61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-6297.87</v>
      </c>
      <c r="E40" s="271">
        <v>8000.22</v>
      </c>
      <c r="G40" s="80"/>
    </row>
    <row r="41" spans="2:10" ht="13.5" thickBot="1">
      <c r="B41" s="106" t="s">
        <v>37</v>
      </c>
      <c r="C41" s="107" t="s">
        <v>38</v>
      </c>
      <c r="D41" s="230">
        <v>240695.17</v>
      </c>
      <c r="E41" s="155">
        <f>E26+E27+E40</f>
        <v>243292.1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2434.538</v>
      </c>
      <c r="E47" s="156">
        <v>2396.7109999999998</v>
      </c>
      <c r="G47" s="76"/>
    </row>
    <row r="48" spans="2:10">
      <c r="B48" s="204" t="s">
        <v>6</v>
      </c>
      <c r="C48" s="205" t="s">
        <v>41</v>
      </c>
      <c r="D48" s="232">
        <v>2416.1329999999998</v>
      </c>
      <c r="E48" s="339">
        <v>2377.7570000000001</v>
      </c>
      <c r="G48" s="76"/>
    </row>
    <row r="49" spans="2:7">
      <c r="B49" s="127" t="s">
        <v>23</v>
      </c>
      <c r="C49" s="131" t="s">
        <v>113</v>
      </c>
      <c r="D49" s="233"/>
      <c r="E49" s="280"/>
    </row>
    <row r="50" spans="2:7">
      <c r="B50" s="202" t="s">
        <v>4</v>
      </c>
      <c r="C50" s="203" t="s">
        <v>40</v>
      </c>
      <c r="D50" s="231">
        <v>102.23</v>
      </c>
      <c r="E50" s="156">
        <v>98.97</v>
      </c>
      <c r="G50" s="190"/>
    </row>
    <row r="51" spans="2:7">
      <c r="B51" s="202" t="s">
        <v>6</v>
      </c>
      <c r="C51" s="203" t="s">
        <v>114</v>
      </c>
      <c r="D51" s="234">
        <v>99.62</v>
      </c>
      <c r="E51" s="81">
        <v>98.94</v>
      </c>
      <c r="G51" s="190"/>
    </row>
    <row r="52" spans="2:7">
      <c r="B52" s="202" t="s">
        <v>8</v>
      </c>
      <c r="C52" s="203" t="s">
        <v>115</v>
      </c>
      <c r="D52" s="234">
        <v>104.63</v>
      </c>
      <c r="E52" s="81">
        <v>102.47</v>
      </c>
    </row>
    <row r="53" spans="2:7" ht="13.5" thickBot="1">
      <c r="B53" s="206" t="s">
        <v>9</v>
      </c>
      <c r="C53" s="207" t="s">
        <v>41</v>
      </c>
      <c r="D53" s="235">
        <v>99.62</v>
      </c>
      <c r="E53" s="347">
        <v>102.32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243292.1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243292.1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243292.1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243292.1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9"/>
  <dimension ref="A1:L81"/>
  <sheetViews>
    <sheetView zoomScale="80" zoomScaleNormal="80" workbookViewId="0">
      <selection activeCell="I42" sqref="I4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1"/>
      <c r="C4" s="141"/>
      <c r="D4" s="141"/>
      <c r="E4" s="14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176</v>
      </c>
      <c r="C6" s="497"/>
      <c r="D6" s="497"/>
      <c r="E6" s="497"/>
    </row>
    <row r="7" spans="2:12" ht="14.25">
      <c r="B7" s="140"/>
      <c r="C7" s="140"/>
      <c r="D7" s="140"/>
      <c r="E7" s="14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495016.01</v>
      </c>
      <c r="E11" s="284">
        <f>SUM(E12:E14)</f>
        <v>565378.31000000006</v>
      </c>
    </row>
    <row r="12" spans="2:12">
      <c r="B12" s="191" t="s">
        <v>4</v>
      </c>
      <c r="C12" s="192" t="s">
        <v>5</v>
      </c>
      <c r="D12" s="329">
        <v>495016.01</v>
      </c>
      <c r="E12" s="353">
        <v>565378.31000000006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495016.01</v>
      </c>
      <c r="E21" s="155">
        <f>E11-E17</f>
        <v>565378.31000000006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327">
        <v>431685.91</v>
      </c>
      <c r="E26" s="270">
        <f>D21</f>
        <v>495016.01</v>
      </c>
      <c r="G26" s="80"/>
    </row>
    <row r="27" spans="2:11">
      <c r="B27" s="9" t="s">
        <v>17</v>
      </c>
      <c r="C27" s="10" t="s">
        <v>111</v>
      </c>
      <c r="D27" s="328">
        <v>198350.40000000005</v>
      </c>
      <c r="E27" s="263">
        <f>E28-E32</f>
        <v>-9154.4399999999987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328">
        <v>439788.64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329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329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329">
        <v>439788.64</v>
      </c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328">
        <v>241438.23999999996</v>
      </c>
      <c r="E32" s="264">
        <f>SUM(E33:E39)</f>
        <v>9154.4399999999987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329">
        <v>201672.83</v>
      </c>
      <c r="E33" s="265">
        <v>2873.86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329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329">
        <v>475.3</v>
      </c>
      <c r="E35" s="265">
        <v>1141.76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329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329">
        <v>6972.18</v>
      </c>
      <c r="E37" s="265">
        <v>5138.82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329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330">
        <v>32317.93</v>
      </c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331">
        <v>24572.69</v>
      </c>
      <c r="E40" s="271">
        <v>79516.740000000005</v>
      </c>
      <c r="G40" s="80"/>
    </row>
    <row r="41" spans="2:10" ht="13.5" thickBot="1">
      <c r="B41" s="106" t="s">
        <v>37</v>
      </c>
      <c r="C41" s="107" t="s">
        <v>38</v>
      </c>
      <c r="D41" s="287">
        <v>654609</v>
      </c>
      <c r="E41" s="155">
        <f>E26+E27+E40</f>
        <v>565378.31000000006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304">
        <v>1416.5712000000001</v>
      </c>
      <c r="E47" s="156">
        <v>1968.6459</v>
      </c>
      <c r="G47" s="76"/>
    </row>
    <row r="48" spans="2:10">
      <c r="B48" s="204" t="s">
        <v>6</v>
      </c>
      <c r="C48" s="205" t="s">
        <v>41</v>
      </c>
      <c r="D48" s="307">
        <v>2028.6002000000001</v>
      </c>
      <c r="E48" s="341">
        <v>1935.8293000000001</v>
      </c>
      <c r="G48" s="76"/>
    </row>
    <row r="49" spans="2:7">
      <c r="B49" s="127" t="s">
        <v>23</v>
      </c>
      <c r="C49" s="131" t="s">
        <v>113</v>
      </c>
      <c r="D49" s="306"/>
      <c r="E49" s="274"/>
    </row>
    <row r="50" spans="2:7">
      <c r="B50" s="202" t="s">
        <v>4</v>
      </c>
      <c r="C50" s="203" t="s">
        <v>40</v>
      </c>
      <c r="D50" s="332">
        <v>304.74</v>
      </c>
      <c r="E50" s="274">
        <v>251.45</v>
      </c>
      <c r="G50" s="190"/>
    </row>
    <row r="51" spans="2:7">
      <c r="B51" s="202" t="s">
        <v>6</v>
      </c>
      <c r="C51" s="203" t="s">
        <v>114</v>
      </c>
      <c r="D51" s="333">
        <v>289.95999999999998</v>
      </c>
      <c r="E51" s="274">
        <v>246.9</v>
      </c>
      <c r="G51" s="190"/>
    </row>
    <row r="52" spans="2:7">
      <c r="B52" s="202" t="s">
        <v>8</v>
      </c>
      <c r="C52" s="203" t="s">
        <v>115</v>
      </c>
      <c r="D52" s="333">
        <v>337.32</v>
      </c>
      <c r="E52" s="275">
        <v>295.66000000000003</v>
      </c>
    </row>
    <row r="53" spans="2:7" ht="14.25" customHeight="1" thickBot="1">
      <c r="B53" s="206" t="s">
        <v>9</v>
      </c>
      <c r="C53" s="207" t="s">
        <v>41</v>
      </c>
      <c r="D53" s="235">
        <v>322.69</v>
      </c>
      <c r="E53" s="340">
        <v>292.06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565378.31000000006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565378.31000000006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565378.31000000006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565378.31000000006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0">
    <pageSetUpPr fitToPage="1"/>
  </sheetPr>
  <dimension ref="A1:L81"/>
  <sheetViews>
    <sheetView zoomScale="80" zoomScaleNormal="80" workbookViewId="0">
      <selection activeCell="G16" sqref="G16:M4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1"/>
      <c r="C4" s="141"/>
      <c r="D4" s="141"/>
      <c r="E4" s="14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177</v>
      </c>
      <c r="C6" s="497"/>
      <c r="D6" s="497"/>
      <c r="E6" s="497"/>
    </row>
    <row r="7" spans="2:12" ht="14.25">
      <c r="B7" s="140"/>
      <c r="C7" s="140"/>
      <c r="D7" s="140"/>
      <c r="E7" s="14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133581.01999999999</v>
      </c>
      <c r="E11" s="284">
        <f>SUM(E12:E14)</f>
        <v>151660.85</v>
      </c>
    </row>
    <row r="12" spans="2:12">
      <c r="B12" s="191" t="s">
        <v>4</v>
      </c>
      <c r="C12" s="192" t="s">
        <v>5</v>
      </c>
      <c r="D12" s="329">
        <v>133581.01999999999</v>
      </c>
      <c r="E12" s="353">
        <v>151660.85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133581.01999999999</v>
      </c>
      <c r="E21" s="155">
        <f>E11-E17</f>
        <v>151660.85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151435.88</v>
      </c>
      <c r="E26" s="270">
        <f>D21</f>
        <v>133581.01999999999</v>
      </c>
      <c r="G26" s="80"/>
    </row>
    <row r="27" spans="2:11">
      <c r="B27" s="9" t="s">
        <v>17</v>
      </c>
      <c r="C27" s="10" t="s">
        <v>111</v>
      </c>
      <c r="D27" s="226">
        <v>6780.6699999999983</v>
      </c>
      <c r="E27" s="263">
        <f>E28-E32</f>
        <v>4381.5599999999977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21520.07</v>
      </c>
      <c r="E28" s="264">
        <f>SUM(E29:E31)</f>
        <v>65048.479999999996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4928.08</v>
      </c>
      <c r="E29" s="265">
        <v>10432.299999999999</v>
      </c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16591.990000000002</v>
      </c>
      <c r="E31" s="265">
        <v>54616.18</v>
      </c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14739.400000000001</v>
      </c>
      <c r="E32" s="264">
        <f>SUM(E33:E39)</f>
        <v>60666.92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8115.2</v>
      </c>
      <c r="E33" s="265">
        <v>7078.68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247.39</v>
      </c>
      <c r="E35" s="265">
        <v>238.29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760.27</v>
      </c>
      <c r="E37" s="265">
        <v>401.12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5616.54</v>
      </c>
      <c r="E39" s="266">
        <v>52948.83</v>
      </c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10406.93</v>
      </c>
      <c r="E40" s="271">
        <v>13698.27</v>
      </c>
      <c r="G40" s="80"/>
    </row>
    <row r="41" spans="2:10" ht="13.5" thickBot="1">
      <c r="B41" s="106" t="s">
        <v>37</v>
      </c>
      <c r="C41" s="107" t="s">
        <v>38</v>
      </c>
      <c r="D41" s="230">
        <v>168623.47999999998</v>
      </c>
      <c r="E41" s="155">
        <f>E26+E27+E40</f>
        <v>151660.84999999998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345.00360000000001</v>
      </c>
      <c r="E47" s="156">
        <v>322.20030000000003</v>
      </c>
      <c r="G47" s="76"/>
    </row>
    <row r="48" spans="2:10">
      <c r="B48" s="204" t="s">
        <v>6</v>
      </c>
      <c r="C48" s="205" t="s">
        <v>41</v>
      </c>
      <c r="D48" s="232">
        <v>358.34640000000002</v>
      </c>
      <c r="E48" s="341">
        <v>324.58179999999999</v>
      </c>
      <c r="G48" s="76"/>
    </row>
    <row r="49" spans="2:7">
      <c r="B49" s="127" t="s">
        <v>23</v>
      </c>
      <c r="C49" s="131" t="s">
        <v>113</v>
      </c>
      <c r="D49" s="233"/>
      <c r="E49" s="274"/>
    </row>
    <row r="50" spans="2:7">
      <c r="B50" s="202" t="s">
        <v>4</v>
      </c>
      <c r="C50" s="203" t="s">
        <v>40</v>
      </c>
      <c r="D50" s="231">
        <v>438.94</v>
      </c>
      <c r="E50" s="274">
        <v>414.59</v>
      </c>
      <c r="G50" s="190"/>
    </row>
    <row r="51" spans="2:7">
      <c r="B51" s="202" t="s">
        <v>6</v>
      </c>
      <c r="C51" s="203" t="s">
        <v>114</v>
      </c>
      <c r="D51" s="234">
        <v>436.97</v>
      </c>
      <c r="E51" s="274">
        <v>410.28000000000003</v>
      </c>
      <c r="G51" s="190"/>
    </row>
    <row r="52" spans="2:7">
      <c r="B52" s="202" t="s">
        <v>8</v>
      </c>
      <c r="C52" s="203" t="s">
        <v>115</v>
      </c>
      <c r="D52" s="234">
        <v>492.44</v>
      </c>
      <c r="E52" s="275">
        <v>470.26</v>
      </c>
    </row>
    <row r="53" spans="2:7" ht="13.5" customHeight="1" thickBot="1">
      <c r="B53" s="206" t="s">
        <v>9</v>
      </c>
      <c r="C53" s="207" t="s">
        <v>41</v>
      </c>
      <c r="D53" s="235">
        <v>470.56</v>
      </c>
      <c r="E53" s="347">
        <v>467.25</v>
      </c>
    </row>
    <row r="54" spans="2:7">
      <c r="B54" s="116"/>
      <c r="C54" s="117"/>
      <c r="D54" s="118"/>
      <c r="E54" s="222"/>
    </row>
    <row r="55" spans="2:7" ht="13.5">
      <c r="B55" s="500" t="s">
        <v>62</v>
      </c>
      <c r="C55" s="501"/>
      <c r="D55" s="501"/>
      <c r="E55" s="501"/>
    </row>
    <row r="56" spans="2:7" ht="20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151660.85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151660.85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151660.85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151660.85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1"/>
  <dimension ref="A1:L81"/>
  <sheetViews>
    <sheetView zoomScale="80" zoomScaleNormal="80" workbookViewId="0">
      <selection activeCell="Q26" sqref="Q2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1"/>
      <c r="C4" s="141"/>
      <c r="D4" s="141"/>
      <c r="E4" s="14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178</v>
      </c>
      <c r="C6" s="497"/>
      <c r="D6" s="497"/>
      <c r="E6" s="497"/>
    </row>
    <row r="7" spans="2:12" ht="14.25">
      <c r="B7" s="140"/>
      <c r="C7" s="140"/>
      <c r="D7" s="140"/>
      <c r="E7" s="14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184427.76</v>
      </c>
      <c r="E11" s="284">
        <f>SUM(E12:E14)</f>
        <v>222219.36</v>
      </c>
    </row>
    <row r="12" spans="2:12">
      <c r="B12" s="113" t="s">
        <v>4</v>
      </c>
      <c r="C12" s="6" t="s">
        <v>5</v>
      </c>
      <c r="D12" s="329">
        <v>184427.76</v>
      </c>
      <c r="E12" s="353">
        <f>222227.49-8.13</f>
        <v>222219.36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184427.76</v>
      </c>
      <c r="E21" s="155">
        <f>E11-E17</f>
        <v>222219.36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142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323622.02</v>
      </c>
      <c r="E26" s="270">
        <f>D21</f>
        <v>184427.76</v>
      </c>
      <c r="G26" s="80"/>
    </row>
    <row r="27" spans="2:11">
      <c r="B27" s="9" t="s">
        <v>17</v>
      </c>
      <c r="C27" s="10" t="s">
        <v>111</v>
      </c>
      <c r="D27" s="226">
        <v>-67814.260000000009</v>
      </c>
      <c r="E27" s="263">
        <f>E28-E32</f>
        <v>10971.02</v>
      </c>
      <c r="F27" s="76"/>
      <c r="G27" s="368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14738.46</v>
      </c>
      <c r="E28" s="264">
        <f>SUM(E29:E31)</f>
        <v>26827.309999999998</v>
      </c>
      <c r="F28" s="76"/>
      <c r="G28" s="359"/>
      <c r="H28" s="76"/>
      <c r="I28" s="76"/>
      <c r="J28" s="76"/>
    </row>
    <row r="29" spans="2:11">
      <c r="B29" s="111" t="s">
        <v>4</v>
      </c>
      <c r="C29" s="6" t="s">
        <v>20</v>
      </c>
      <c r="D29" s="227">
        <v>8104.33</v>
      </c>
      <c r="E29" s="265">
        <v>9087.2999999999993</v>
      </c>
      <c r="F29" s="76"/>
      <c r="G29" s="359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359"/>
      <c r="H30" s="76"/>
      <c r="I30" s="76"/>
      <c r="J30" s="76"/>
    </row>
    <row r="31" spans="2:11">
      <c r="B31" s="111" t="s">
        <v>8</v>
      </c>
      <c r="C31" s="6" t="s">
        <v>22</v>
      </c>
      <c r="D31" s="227">
        <v>6634.13</v>
      </c>
      <c r="E31" s="265">
        <v>17740.009999999998</v>
      </c>
      <c r="F31" s="76"/>
      <c r="G31" s="359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82552.72</v>
      </c>
      <c r="E32" s="264">
        <f>SUM(E33:E39)</f>
        <v>15856.289999999997</v>
      </c>
      <c r="F32" s="76"/>
      <c r="G32" s="368"/>
      <c r="H32" s="76"/>
      <c r="I32" s="76"/>
      <c r="J32" s="76"/>
    </row>
    <row r="33" spans="2:10">
      <c r="B33" s="111" t="s">
        <v>4</v>
      </c>
      <c r="C33" s="6" t="s">
        <v>25</v>
      </c>
      <c r="D33" s="227">
        <v>46912.38</v>
      </c>
      <c r="E33" s="265">
        <v>9152.14</v>
      </c>
      <c r="F33" s="76"/>
      <c r="G33" s="359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359"/>
      <c r="H34" s="76"/>
      <c r="I34" s="76"/>
      <c r="J34" s="76"/>
    </row>
    <row r="35" spans="2:10">
      <c r="B35" s="111" t="s">
        <v>8</v>
      </c>
      <c r="C35" s="6" t="s">
        <v>27</v>
      </c>
      <c r="D35" s="227">
        <v>538.52</v>
      </c>
      <c r="E35" s="265">
        <v>522.48</v>
      </c>
      <c r="F35" s="76"/>
      <c r="G35" s="359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359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2035.07</v>
      </c>
      <c r="E37" s="265">
        <v>1296.1199999999999</v>
      </c>
      <c r="F37" s="76"/>
      <c r="G37" s="359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359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33066.75</v>
      </c>
      <c r="E39" s="266">
        <v>4885.55</v>
      </c>
      <c r="F39" s="76"/>
      <c r="G39" s="359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-12922.39</v>
      </c>
      <c r="E40" s="271">
        <v>26820.58</v>
      </c>
      <c r="G40" s="80"/>
    </row>
    <row r="41" spans="2:10" ht="13.5" thickBot="1">
      <c r="B41" s="106" t="s">
        <v>37</v>
      </c>
      <c r="C41" s="107" t="s">
        <v>38</v>
      </c>
      <c r="D41" s="230">
        <v>242885.37</v>
      </c>
      <c r="E41" s="155">
        <f>E26+E27+E40</f>
        <v>222219.36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42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1100.6803</v>
      </c>
      <c r="E47" s="156">
        <v>739.42650000000003</v>
      </c>
      <c r="G47" s="76"/>
    </row>
    <row r="48" spans="2:10">
      <c r="B48" s="130" t="s">
        <v>6</v>
      </c>
      <c r="C48" s="22" t="s">
        <v>41</v>
      </c>
      <c r="D48" s="232">
        <v>852.05</v>
      </c>
      <c r="E48" s="341">
        <v>776.17659797415286</v>
      </c>
      <c r="G48" s="166"/>
    </row>
    <row r="49" spans="2:7">
      <c r="B49" s="127" t="s">
        <v>23</v>
      </c>
      <c r="C49" s="131" t="s">
        <v>113</v>
      </c>
      <c r="D49" s="233"/>
      <c r="E49" s="274"/>
    </row>
    <row r="50" spans="2:7">
      <c r="B50" s="109" t="s">
        <v>4</v>
      </c>
      <c r="C50" s="15" t="s">
        <v>40</v>
      </c>
      <c r="D50" s="231">
        <v>294.02</v>
      </c>
      <c r="E50" s="274">
        <v>249.42</v>
      </c>
      <c r="G50" s="190"/>
    </row>
    <row r="51" spans="2:7">
      <c r="B51" s="109" t="s">
        <v>6</v>
      </c>
      <c r="C51" s="15" t="s">
        <v>114</v>
      </c>
      <c r="D51" s="234">
        <v>268.69</v>
      </c>
      <c r="E51" s="275">
        <v>248.48000000000002</v>
      </c>
      <c r="G51" s="190"/>
    </row>
    <row r="52" spans="2:7">
      <c r="B52" s="109" t="s">
        <v>8</v>
      </c>
      <c r="C52" s="15" t="s">
        <v>115</v>
      </c>
      <c r="D52" s="234">
        <v>307.20999999999998</v>
      </c>
      <c r="E52" s="275">
        <v>288.40000000000003</v>
      </c>
    </row>
    <row r="53" spans="2:7" ht="12.75" customHeight="1" thickBot="1">
      <c r="B53" s="110" t="s">
        <v>9</v>
      </c>
      <c r="C53" s="17" t="s">
        <v>41</v>
      </c>
      <c r="D53" s="235">
        <v>285.06</v>
      </c>
      <c r="E53" s="347">
        <v>286.3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222219.36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222219.36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222219.36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222219.36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48" right="0.75" top="0.52" bottom="0.43" header="0.5" footer="0.5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L81"/>
  <sheetViews>
    <sheetView zoomScale="80" zoomScaleNormal="80" workbookViewId="0">
      <selection activeCell="G21" sqref="G21:K4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2"/>
      <c r="C4" s="92"/>
      <c r="D4" s="92"/>
      <c r="E4" s="92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88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  <c r="G9" s="218"/>
    </row>
    <row r="10" spans="2:12" ht="13.5" thickBot="1">
      <c r="B10" s="93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41286140.060000002</v>
      </c>
      <c r="E11" s="284">
        <f>SUM(E12:E14)</f>
        <v>42758854.240000002</v>
      </c>
    </row>
    <row r="12" spans="2:12">
      <c r="B12" s="113" t="s">
        <v>4</v>
      </c>
      <c r="C12" s="6" t="s">
        <v>5</v>
      </c>
      <c r="D12" s="329">
        <v>41140318.57</v>
      </c>
      <c r="E12" s="353">
        <f>42718637.91+256205.13+7.02-340968.59</f>
        <v>42633881.469999999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>
        <v>145821.49</v>
      </c>
      <c r="E14" s="354">
        <f>E15</f>
        <v>124972.77</v>
      </c>
    </row>
    <row r="15" spans="2:12">
      <c r="B15" s="113" t="s">
        <v>106</v>
      </c>
      <c r="C15" s="71" t="s">
        <v>11</v>
      </c>
      <c r="D15" s="322">
        <v>145821.49</v>
      </c>
      <c r="E15" s="354">
        <v>124972.77</v>
      </c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>
        <v>82065.37</v>
      </c>
      <c r="E17" s="356">
        <f>E18</f>
        <v>78550.289999999994</v>
      </c>
    </row>
    <row r="18" spans="2:11">
      <c r="B18" s="113" t="s">
        <v>4</v>
      </c>
      <c r="C18" s="6" t="s">
        <v>11</v>
      </c>
      <c r="D18" s="324">
        <v>82065.37</v>
      </c>
      <c r="E18" s="355">
        <v>78550.289999999994</v>
      </c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41204074.690000005</v>
      </c>
      <c r="E21" s="155">
        <f>E11-E17</f>
        <v>42680303.950000003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6.5" customHeight="1" thickBot="1">
      <c r="B24" s="498" t="s">
        <v>105</v>
      </c>
      <c r="C24" s="508"/>
      <c r="D24" s="508"/>
      <c r="E24" s="508"/>
    </row>
    <row r="25" spans="2:11" ht="13.5" thickBot="1">
      <c r="B25" s="93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46788938.36999999</v>
      </c>
      <c r="E26" s="270">
        <f>D21</f>
        <v>41204074.690000005</v>
      </c>
      <c r="G26" s="80"/>
    </row>
    <row r="27" spans="2:11">
      <c r="B27" s="9" t="s">
        <v>17</v>
      </c>
      <c r="C27" s="10" t="s">
        <v>111</v>
      </c>
      <c r="D27" s="226">
        <v>-986245.12000000011</v>
      </c>
      <c r="E27" s="263">
        <f>E28-E32</f>
        <v>8659.4899999997579</v>
      </c>
      <c r="F27" s="76"/>
      <c r="G27" s="160"/>
      <c r="H27" s="359"/>
      <c r="I27" s="359"/>
      <c r="J27" s="359"/>
    </row>
    <row r="28" spans="2:11">
      <c r="B28" s="9" t="s">
        <v>18</v>
      </c>
      <c r="C28" s="10" t="s">
        <v>19</v>
      </c>
      <c r="D28" s="226">
        <v>4125406.83</v>
      </c>
      <c r="E28" s="264">
        <f>SUM(E29:E31)</f>
        <v>3432234.5799999996</v>
      </c>
      <c r="F28" s="76"/>
      <c r="G28" s="160"/>
      <c r="H28" s="359"/>
      <c r="I28" s="359"/>
      <c r="J28" s="359"/>
    </row>
    <row r="29" spans="2:11">
      <c r="B29" s="111" t="s">
        <v>4</v>
      </c>
      <c r="C29" s="6" t="s">
        <v>20</v>
      </c>
      <c r="D29" s="227">
        <v>3721394.6300000004</v>
      </c>
      <c r="E29" s="265">
        <v>3312381.4099999997</v>
      </c>
      <c r="F29" s="76"/>
      <c r="G29" s="160"/>
      <c r="H29" s="359"/>
      <c r="I29" s="359"/>
      <c r="J29" s="359"/>
    </row>
    <row r="30" spans="2:11">
      <c r="B30" s="111" t="s">
        <v>6</v>
      </c>
      <c r="C30" s="6" t="s">
        <v>21</v>
      </c>
      <c r="D30" s="227"/>
      <c r="E30" s="265"/>
      <c r="F30" s="76"/>
      <c r="G30" s="160"/>
      <c r="H30" s="359"/>
      <c r="I30" s="359"/>
      <c r="J30" s="359"/>
    </row>
    <row r="31" spans="2:11">
      <c r="B31" s="111" t="s">
        <v>8</v>
      </c>
      <c r="C31" s="6" t="s">
        <v>22</v>
      </c>
      <c r="D31" s="227">
        <v>404012.19999999995</v>
      </c>
      <c r="E31" s="265">
        <v>119853.17</v>
      </c>
      <c r="F31" s="76"/>
      <c r="G31" s="160"/>
      <c r="H31" s="359"/>
      <c r="I31" s="359"/>
      <c r="J31" s="359"/>
    </row>
    <row r="32" spans="2:11">
      <c r="B32" s="99" t="s">
        <v>23</v>
      </c>
      <c r="C32" s="11" t="s">
        <v>24</v>
      </c>
      <c r="D32" s="226">
        <v>5111651.95</v>
      </c>
      <c r="E32" s="264">
        <f>SUM(E33:E39)</f>
        <v>3423575.09</v>
      </c>
      <c r="F32" s="76"/>
      <c r="G32" s="160"/>
      <c r="H32" s="359"/>
      <c r="I32" s="359"/>
      <c r="J32" s="359"/>
    </row>
    <row r="33" spans="2:10">
      <c r="B33" s="111" t="s">
        <v>4</v>
      </c>
      <c r="C33" s="6" t="s">
        <v>25</v>
      </c>
      <c r="D33" s="227">
        <v>3918253.35</v>
      </c>
      <c r="E33" s="265">
        <f>2758661.62-273958.99</f>
        <v>2484702.63</v>
      </c>
      <c r="F33" s="76"/>
      <c r="G33" s="160"/>
      <c r="H33" s="359"/>
      <c r="I33" s="359"/>
      <c r="J33" s="359"/>
    </row>
    <row r="34" spans="2:10">
      <c r="B34" s="111" t="s">
        <v>6</v>
      </c>
      <c r="C34" s="6" t="s">
        <v>26</v>
      </c>
      <c r="D34" s="227"/>
      <c r="E34" s="265"/>
      <c r="F34" s="76"/>
      <c r="G34" s="160"/>
      <c r="H34" s="359"/>
      <c r="I34" s="359"/>
      <c r="J34" s="359"/>
    </row>
    <row r="35" spans="2:10">
      <c r="B35" s="111" t="s">
        <v>8</v>
      </c>
      <c r="C35" s="6" t="s">
        <v>27</v>
      </c>
      <c r="D35" s="227">
        <v>744882.29999999993</v>
      </c>
      <c r="E35" s="265">
        <v>704490.42</v>
      </c>
      <c r="F35" s="76"/>
      <c r="G35" s="160"/>
      <c r="H35" s="359"/>
      <c r="I35" s="359"/>
      <c r="J35" s="359"/>
    </row>
    <row r="36" spans="2:10">
      <c r="B36" s="111" t="s">
        <v>9</v>
      </c>
      <c r="C36" s="6" t="s">
        <v>28</v>
      </c>
      <c r="D36" s="227"/>
      <c r="E36" s="265"/>
      <c r="F36" s="76"/>
      <c r="G36" s="160"/>
      <c r="H36" s="359"/>
      <c r="I36" s="359"/>
      <c r="J36" s="359"/>
    </row>
    <row r="37" spans="2:10" ht="25.5">
      <c r="B37" s="111" t="s">
        <v>29</v>
      </c>
      <c r="C37" s="6" t="s">
        <v>30</v>
      </c>
      <c r="D37" s="227"/>
      <c r="E37" s="265"/>
      <c r="F37" s="76"/>
      <c r="G37" s="160"/>
      <c r="H37" s="359"/>
      <c r="I37" s="359"/>
      <c r="J37" s="359"/>
    </row>
    <row r="38" spans="2:10">
      <c r="B38" s="111" t="s">
        <v>31</v>
      </c>
      <c r="C38" s="6" t="s">
        <v>32</v>
      </c>
      <c r="D38" s="227"/>
      <c r="E38" s="265"/>
      <c r="F38" s="76"/>
      <c r="G38" s="160"/>
      <c r="H38" s="359"/>
      <c r="I38" s="359"/>
      <c r="J38" s="359"/>
    </row>
    <row r="39" spans="2:10">
      <c r="B39" s="112" t="s">
        <v>33</v>
      </c>
      <c r="C39" s="12" t="s">
        <v>34</v>
      </c>
      <c r="D39" s="228">
        <v>448516.3</v>
      </c>
      <c r="E39" s="266">
        <v>234382.04</v>
      </c>
      <c r="F39" s="76"/>
      <c r="G39" s="160"/>
      <c r="H39" s="359"/>
      <c r="I39" s="359"/>
      <c r="J39" s="359"/>
    </row>
    <row r="40" spans="2:10" ht="13.5" thickBot="1">
      <c r="B40" s="104" t="s">
        <v>35</v>
      </c>
      <c r="C40" s="105" t="s">
        <v>36</v>
      </c>
      <c r="D40" s="229">
        <v>-4201652.79</v>
      </c>
      <c r="E40" s="271">
        <v>1467569.77</v>
      </c>
      <c r="G40" s="80"/>
    </row>
    <row r="41" spans="2:10" ht="13.5" thickBot="1">
      <c r="B41" s="106" t="s">
        <v>37</v>
      </c>
      <c r="C41" s="107" t="s">
        <v>38</v>
      </c>
      <c r="D41" s="230">
        <v>41601040.459999993</v>
      </c>
      <c r="E41" s="155">
        <f>E26+E27+E40</f>
        <v>42680303.95000001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5.75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3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4346746.3946000002</v>
      </c>
      <c r="E47" s="79">
        <v>4267730.58715</v>
      </c>
      <c r="G47" s="76"/>
    </row>
    <row r="48" spans="2:10">
      <c r="B48" s="130" t="s">
        <v>6</v>
      </c>
      <c r="C48" s="22" t="s">
        <v>41</v>
      </c>
      <c r="D48" s="232">
        <v>4247911.3639599998</v>
      </c>
      <c r="E48" s="317">
        <v>4272944.280923062</v>
      </c>
      <c r="G48" s="213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10.7641288729998</v>
      </c>
      <c r="E50" s="79">
        <v>9.6547975202813507</v>
      </c>
      <c r="G50" s="239"/>
    </row>
    <row r="51" spans="2:7">
      <c r="B51" s="109" t="s">
        <v>6</v>
      </c>
      <c r="C51" s="15" t="s">
        <v>114</v>
      </c>
      <c r="D51" s="311">
        <v>9.6508000000000003</v>
      </c>
      <c r="E51" s="81">
        <v>9.4557000000000002</v>
      </c>
      <c r="G51" s="190"/>
    </row>
    <row r="52" spans="2:7" ht="12.75" customHeight="1">
      <c r="B52" s="109" t="s">
        <v>8</v>
      </c>
      <c r="C52" s="15" t="s">
        <v>115</v>
      </c>
      <c r="D52" s="311">
        <v>11.3451</v>
      </c>
      <c r="E52" s="81">
        <v>10.498799999999999</v>
      </c>
    </row>
    <row r="53" spans="2:7" ht="13.5" thickBot="1">
      <c r="B53" s="110" t="s">
        <v>9</v>
      </c>
      <c r="C53" s="17" t="s">
        <v>41</v>
      </c>
      <c r="D53" s="235">
        <v>9.79329296109794</v>
      </c>
      <c r="E53" s="272">
        <v>9.9885000000000002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8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SUM(D59:D70)</f>
        <v>42633881.469999991</v>
      </c>
      <c r="E58" s="32">
        <f>D58/E21</f>
        <v>0.99891232077319791</v>
      </c>
    </row>
    <row r="59" spans="2:7" ht="25.5">
      <c r="B59" s="21" t="s">
        <v>4</v>
      </c>
      <c r="C59" s="22" t="s">
        <v>44</v>
      </c>
      <c r="D59" s="86">
        <v>0</v>
      </c>
      <c r="E59" s="87">
        <v>0</v>
      </c>
    </row>
    <row r="60" spans="2:7" ht="24" customHeight="1">
      <c r="B60" s="14" t="s">
        <v>6</v>
      </c>
      <c r="C60" s="15" t="s">
        <v>45</v>
      </c>
      <c r="D60" s="84">
        <v>0</v>
      </c>
      <c r="E60" s="85">
        <v>0</v>
      </c>
    </row>
    <row r="61" spans="2:7">
      <c r="B61" s="14" t="s">
        <v>8</v>
      </c>
      <c r="C61" s="15" t="s">
        <v>46</v>
      </c>
      <c r="D61" s="84">
        <v>0</v>
      </c>
      <c r="E61" s="85">
        <v>0</v>
      </c>
    </row>
    <row r="62" spans="2:7">
      <c r="B62" s="14" t="s">
        <v>9</v>
      </c>
      <c r="C62" s="15" t="s">
        <v>47</v>
      </c>
      <c r="D62" s="84">
        <v>0</v>
      </c>
      <c r="E62" s="85">
        <v>0</v>
      </c>
    </row>
    <row r="63" spans="2:7">
      <c r="B63" s="14" t="s">
        <v>29</v>
      </c>
      <c r="C63" s="15" t="s">
        <v>48</v>
      </c>
      <c r="D63" s="84">
        <v>0</v>
      </c>
      <c r="E63" s="85">
        <v>0</v>
      </c>
    </row>
    <row r="64" spans="2:7">
      <c r="B64" s="21" t="s">
        <v>31</v>
      </c>
      <c r="C64" s="22" t="s">
        <v>49</v>
      </c>
      <c r="D64" s="314">
        <f>42718637.91-340968.59</f>
        <v>42377669.319999993</v>
      </c>
      <c r="E64" s="87">
        <f>D64/E21</f>
        <v>0.99290926722652806</v>
      </c>
    </row>
    <row r="65" spans="2:5">
      <c r="B65" s="21" t="s">
        <v>33</v>
      </c>
      <c r="C65" s="22" t="s">
        <v>118</v>
      </c>
      <c r="D65" s="86">
        <v>0</v>
      </c>
      <c r="E65" s="87">
        <v>0</v>
      </c>
    </row>
    <row r="66" spans="2:5">
      <c r="B66" s="21" t="s">
        <v>50</v>
      </c>
      <c r="C66" s="22" t="s">
        <v>51</v>
      </c>
      <c r="D66" s="86">
        <v>0</v>
      </c>
      <c r="E66" s="87">
        <v>0</v>
      </c>
    </row>
    <row r="67" spans="2:5">
      <c r="B67" s="14" t="s">
        <v>52</v>
      </c>
      <c r="C67" s="15" t="s">
        <v>53</v>
      </c>
      <c r="D67" s="84">
        <v>0</v>
      </c>
      <c r="E67" s="85">
        <v>0</v>
      </c>
    </row>
    <row r="68" spans="2:5">
      <c r="B68" s="14" t="s">
        <v>54</v>
      </c>
      <c r="C68" s="15" t="s">
        <v>55</v>
      </c>
      <c r="D68" s="84">
        <v>0</v>
      </c>
      <c r="E68" s="85">
        <v>0</v>
      </c>
    </row>
    <row r="69" spans="2:5">
      <c r="B69" s="14" t="s">
        <v>56</v>
      </c>
      <c r="C69" s="15" t="s">
        <v>57</v>
      </c>
      <c r="D69" s="334">
        <v>256212.15</v>
      </c>
      <c r="E69" s="85">
        <f>D69/E21</f>
        <v>6.0030535466699736E-3</v>
      </c>
    </row>
    <row r="70" spans="2:5">
      <c r="B70" s="119" t="s">
        <v>58</v>
      </c>
      <c r="C70" s="120" t="s">
        <v>59</v>
      </c>
      <c r="D70" s="121">
        <v>0</v>
      </c>
      <c r="E70" s="122">
        <v>0</v>
      </c>
    </row>
    <row r="71" spans="2:5">
      <c r="B71" s="127" t="s">
        <v>23</v>
      </c>
      <c r="C71" s="128" t="s">
        <v>61</v>
      </c>
      <c r="D71" s="129">
        <f>E13</f>
        <v>0</v>
      </c>
      <c r="E71" s="69">
        <v>0</v>
      </c>
    </row>
    <row r="72" spans="2:5">
      <c r="B72" s="123" t="s">
        <v>60</v>
      </c>
      <c r="C72" s="124" t="s">
        <v>63</v>
      </c>
      <c r="D72" s="125">
        <f>E14</f>
        <v>124972.77</v>
      </c>
      <c r="E72" s="126">
        <f>D72/E21</f>
        <v>2.9281134020602492E-3</v>
      </c>
    </row>
    <row r="73" spans="2:5">
      <c r="B73" s="23" t="s">
        <v>62</v>
      </c>
      <c r="C73" s="24" t="s">
        <v>65</v>
      </c>
      <c r="D73" s="25">
        <f>E17</f>
        <v>78550.289999999994</v>
      </c>
      <c r="E73" s="26">
        <f>D73/E21</f>
        <v>1.8404341752584915E-3</v>
      </c>
    </row>
    <row r="74" spans="2:5">
      <c r="B74" s="127" t="s">
        <v>64</v>
      </c>
      <c r="C74" s="128" t="s">
        <v>66</v>
      </c>
      <c r="D74" s="129">
        <f>D58+D71+D72-D73</f>
        <v>42680303.949999996</v>
      </c>
      <c r="E74" s="69">
        <f>E58+E72-E73</f>
        <v>0.99999999999999978</v>
      </c>
    </row>
    <row r="75" spans="2:5">
      <c r="B75" s="14" t="s">
        <v>4</v>
      </c>
      <c r="C75" s="15" t="s">
        <v>67</v>
      </c>
      <c r="D75" s="84">
        <f>D74</f>
        <v>42680303.949999996</v>
      </c>
      <c r="E75" s="85">
        <f>E74</f>
        <v>0.99999999999999978</v>
      </c>
    </row>
    <row r="76" spans="2:5">
      <c r="B76" s="14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6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51" bottom="0.36" header="0.5" footer="0.5"/>
  <pageSetup paperSize="9" scale="70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2"/>
  <dimension ref="A1:N81"/>
  <sheetViews>
    <sheetView zoomScale="80" zoomScaleNormal="80" workbookViewId="0">
      <selection activeCell="H23" sqref="H2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1"/>
      <c r="C4" s="141"/>
      <c r="D4" s="141"/>
      <c r="E4" s="14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179</v>
      </c>
      <c r="C6" s="497"/>
      <c r="D6" s="497"/>
      <c r="E6" s="497"/>
    </row>
    <row r="7" spans="2:12" ht="14.25">
      <c r="B7" s="140"/>
      <c r="C7" s="140"/>
      <c r="D7" s="140"/>
      <c r="E7" s="14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1162478.51</v>
      </c>
      <c r="E11" s="284">
        <f>SUM(E12:E14)</f>
        <v>1088178.26</v>
      </c>
    </row>
    <row r="12" spans="2:12">
      <c r="B12" s="191" t="s">
        <v>4</v>
      </c>
      <c r="C12" s="192" t="s">
        <v>5</v>
      </c>
      <c r="D12" s="329">
        <v>1162478.51</v>
      </c>
      <c r="E12" s="353">
        <v>1088178.26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6">
      <c r="B17" s="9" t="s">
        <v>13</v>
      </c>
      <c r="C17" s="11" t="s">
        <v>65</v>
      </c>
      <c r="D17" s="325"/>
      <c r="E17" s="356"/>
    </row>
    <row r="18" spans="2:6">
      <c r="B18" s="191" t="s">
        <v>4</v>
      </c>
      <c r="C18" s="192" t="s">
        <v>11</v>
      </c>
      <c r="D18" s="324"/>
      <c r="E18" s="355"/>
    </row>
    <row r="19" spans="2:6" ht="15" customHeight="1">
      <c r="B19" s="191" t="s">
        <v>6</v>
      </c>
      <c r="C19" s="193" t="s">
        <v>108</v>
      </c>
      <c r="D19" s="322"/>
      <c r="E19" s="354"/>
    </row>
    <row r="20" spans="2:6" ht="13.5" thickBot="1">
      <c r="B20" s="196" t="s">
        <v>8</v>
      </c>
      <c r="C20" s="197" t="s">
        <v>14</v>
      </c>
      <c r="D20" s="285"/>
      <c r="E20" s="286"/>
    </row>
    <row r="21" spans="2:6" ht="13.5" thickBot="1">
      <c r="B21" s="505" t="s">
        <v>110</v>
      </c>
      <c r="C21" s="506"/>
      <c r="D21" s="287">
        <v>1162478.51</v>
      </c>
      <c r="E21" s="155">
        <f>E11-E17</f>
        <v>1088178.26</v>
      </c>
      <c r="F21" s="83"/>
    </row>
    <row r="22" spans="2:6">
      <c r="B22" s="3"/>
      <c r="C22" s="7"/>
      <c r="D22" s="8"/>
      <c r="E22" s="8"/>
    </row>
    <row r="23" spans="2:6" ht="13.5">
      <c r="B23" s="499" t="s">
        <v>104</v>
      </c>
      <c r="C23" s="509"/>
      <c r="D23" s="509"/>
      <c r="E23" s="509"/>
    </row>
    <row r="24" spans="2:6" ht="15.75" customHeight="1" thickBot="1">
      <c r="B24" s="498" t="s">
        <v>105</v>
      </c>
      <c r="C24" s="510"/>
      <c r="D24" s="510"/>
      <c r="E24" s="510"/>
    </row>
    <row r="25" spans="2:6" ht="13.5" thickBot="1">
      <c r="B25" s="244"/>
      <c r="C25" s="198" t="s">
        <v>2</v>
      </c>
      <c r="D25" s="73" t="s">
        <v>125</v>
      </c>
      <c r="E25" s="29" t="s">
        <v>145</v>
      </c>
    </row>
    <row r="26" spans="2:6">
      <c r="B26" s="102" t="s">
        <v>15</v>
      </c>
      <c r="C26" s="103" t="s">
        <v>16</v>
      </c>
      <c r="D26" s="225">
        <v>1722218.72</v>
      </c>
      <c r="E26" s="270">
        <f>D21</f>
        <v>1162478.51</v>
      </c>
    </row>
    <row r="27" spans="2:6">
      <c r="B27" s="9" t="s">
        <v>17</v>
      </c>
      <c r="C27" s="10" t="s">
        <v>111</v>
      </c>
      <c r="D27" s="226">
        <v>-524472.06999999995</v>
      </c>
      <c r="E27" s="263">
        <f>E28-E32</f>
        <v>-211229.1</v>
      </c>
      <c r="F27" s="76"/>
    </row>
    <row r="28" spans="2:6">
      <c r="B28" s="9" t="s">
        <v>18</v>
      </c>
      <c r="C28" s="10" t="s">
        <v>19</v>
      </c>
      <c r="D28" s="226">
        <v>6101.1100000000006</v>
      </c>
      <c r="E28" s="264">
        <f>SUM(E29:E31)</f>
        <v>0</v>
      </c>
      <c r="F28" s="76"/>
    </row>
    <row r="29" spans="2:6">
      <c r="B29" s="199" t="s">
        <v>4</v>
      </c>
      <c r="C29" s="192" t="s">
        <v>20</v>
      </c>
      <c r="D29" s="227">
        <v>449.98</v>
      </c>
      <c r="E29" s="265"/>
      <c r="F29" s="76"/>
    </row>
    <row r="30" spans="2:6">
      <c r="B30" s="199" t="s">
        <v>6</v>
      </c>
      <c r="C30" s="192" t="s">
        <v>21</v>
      </c>
      <c r="D30" s="227"/>
      <c r="E30" s="265"/>
      <c r="F30" s="76"/>
    </row>
    <row r="31" spans="2:6">
      <c r="B31" s="199" t="s">
        <v>8</v>
      </c>
      <c r="C31" s="192" t="s">
        <v>22</v>
      </c>
      <c r="D31" s="227">
        <v>5651.13</v>
      </c>
      <c r="E31" s="265"/>
      <c r="F31" s="76"/>
    </row>
    <row r="32" spans="2:6">
      <c r="B32" s="99" t="s">
        <v>23</v>
      </c>
      <c r="C32" s="11" t="s">
        <v>24</v>
      </c>
      <c r="D32" s="226">
        <v>530573.17999999993</v>
      </c>
      <c r="E32" s="264">
        <f>SUM(E33:E39)</f>
        <v>211229.1</v>
      </c>
      <c r="F32" s="76"/>
    </row>
    <row r="33" spans="2:14">
      <c r="B33" s="199" t="s">
        <v>4</v>
      </c>
      <c r="C33" s="192" t="s">
        <v>25</v>
      </c>
      <c r="D33" s="227">
        <v>479085.94</v>
      </c>
      <c r="E33" s="265">
        <v>199497.69</v>
      </c>
      <c r="F33" s="76"/>
    </row>
    <row r="34" spans="2:14">
      <c r="B34" s="199" t="s">
        <v>6</v>
      </c>
      <c r="C34" s="192" t="s">
        <v>26</v>
      </c>
      <c r="D34" s="227"/>
      <c r="E34" s="265"/>
      <c r="F34" s="76"/>
    </row>
    <row r="35" spans="2:14">
      <c r="B35" s="199" t="s">
        <v>8</v>
      </c>
      <c r="C35" s="192" t="s">
        <v>27</v>
      </c>
      <c r="D35" s="227">
        <v>470.1</v>
      </c>
      <c r="E35" s="265">
        <v>550.49</v>
      </c>
      <c r="F35" s="76"/>
    </row>
    <row r="36" spans="2:14">
      <c r="B36" s="199" t="s">
        <v>9</v>
      </c>
      <c r="C36" s="192" t="s">
        <v>28</v>
      </c>
      <c r="D36" s="227"/>
      <c r="E36" s="265"/>
      <c r="F36" s="76"/>
    </row>
    <row r="37" spans="2:14" ht="25.5">
      <c r="B37" s="199" t="s">
        <v>29</v>
      </c>
      <c r="C37" s="192" t="s">
        <v>30</v>
      </c>
      <c r="D37" s="227">
        <v>15957.18</v>
      </c>
      <c r="E37" s="265">
        <v>11180.92</v>
      </c>
      <c r="F37" s="76"/>
    </row>
    <row r="38" spans="2:14">
      <c r="B38" s="199" t="s">
        <v>31</v>
      </c>
      <c r="C38" s="192" t="s">
        <v>32</v>
      </c>
      <c r="D38" s="227"/>
      <c r="E38" s="265"/>
      <c r="F38" s="76"/>
    </row>
    <row r="39" spans="2:14">
      <c r="B39" s="200" t="s">
        <v>33</v>
      </c>
      <c r="C39" s="201" t="s">
        <v>34</v>
      </c>
      <c r="D39" s="228">
        <v>35059.96</v>
      </c>
      <c r="E39" s="266"/>
      <c r="F39" s="76"/>
    </row>
    <row r="40" spans="2:14" ht="13.5" thickBot="1">
      <c r="B40" s="104" t="s">
        <v>35</v>
      </c>
      <c r="C40" s="105" t="s">
        <v>36</v>
      </c>
      <c r="D40" s="229">
        <v>154029.62</v>
      </c>
      <c r="E40" s="271">
        <v>136928.85</v>
      </c>
    </row>
    <row r="41" spans="2:14" ht="13.5" thickBot="1">
      <c r="B41" s="106" t="s">
        <v>37</v>
      </c>
      <c r="C41" s="107" t="s">
        <v>38</v>
      </c>
      <c r="D41" s="230">
        <v>1351776.27</v>
      </c>
      <c r="E41" s="155">
        <f>E26+E27+E40</f>
        <v>1088178.26</v>
      </c>
      <c r="F41" s="83"/>
      <c r="J41" s="83"/>
      <c r="K41" s="176"/>
      <c r="M41" s="254"/>
      <c r="N41" s="70"/>
    </row>
    <row r="42" spans="2:14">
      <c r="B42" s="100"/>
      <c r="C42" s="100"/>
      <c r="D42" s="101"/>
      <c r="E42" s="101"/>
      <c r="F42" s="83"/>
      <c r="J42" s="169"/>
    </row>
    <row r="43" spans="2:14" ht="13.5">
      <c r="B43" s="500" t="s">
        <v>60</v>
      </c>
      <c r="C43" s="512"/>
      <c r="D43" s="512"/>
      <c r="E43" s="512"/>
      <c r="J43" s="76"/>
    </row>
    <row r="44" spans="2:14" ht="18" customHeight="1" thickBot="1">
      <c r="B44" s="498" t="s">
        <v>121</v>
      </c>
      <c r="C44" s="511"/>
      <c r="D44" s="511"/>
      <c r="E44" s="511"/>
    </row>
    <row r="45" spans="2:14" ht="13.5" thickBot="1">
      <c r="B45" s="244"/>
      <c r="C45" s="30" t="s">
        <v>39</v>
      </c>
      <c r="D45" s="73" t="s">
        <v>125</v>
      </c>
      <c r="E45" s="29" t="s">
        <v>145</v>
      </c>
    </row>
    <row r="46" spans="2:14">
      <c r="B46" s="13" t="s">
        <v>18</v>
      </c>
      <c r="C46" s="31" t="s">
        <v>112</v>
      </c>
      <c r="D46" s="108"/>
      <c r="E46" s="28"/>
      <c r="G46" s="76"/>
      <c r="J46" s="80"/>
    </row>
    <row r="47" spans="2:14">
      <c r="B47" s="202" t="s">
        <v>4</v>
      </c>
      <c r="C47" s="203" t="s">
        <v>40</v>
      </c>
      <c r="D47" s="231">
        <v>3028.3431</v>
      </c>
      <c r="E47" s="156">
        <v>2091.1648</v>
      </c>
      <c r="G47" s="76"/>
      <c r="J47" s="80"/>
      <c r="K47" s="76"/>
      <c r="L47" s="76"/>
      <c r="M47" s="76"/>
    </row>
    <row r="48" spans="2:14">
      <c r="B48" s="204" t="s">
        <v>6</v>
      </c>
      <c r="C48" s="205" t="s">
        <v>41</v>
      </c>
      <c r="D48" s="232">
        <v>2159.4904999999999</v>
      </c>
      <c r="E48" s="341">
        <v>1741.3916999999999</v>
      </c>
      <c r="G48" s="76"/>
      <c r="J48" s="76"/>
      <c r="K48" s="76"/>
      <c r="L48" s="76"/>
      <c r="M48" s="76"/>
    </row>
    <row r="49" spans="2:13">
      <c r="B49" s="127" t="s">
        <v>23</v>
      </c>
      <c r="C49" s="131" t="s">
        <v>113</v>
      </c>
      <c r="D49" s="233"/>
      <c r="E49" s="274"/>
      <c r="J49" s="76"/>
      <c r="K49" s="76"/>
      <c r="L49" s="76"/>
      <c r="M49" s="76"/>
    </row>
    <row r="50" spans="2:13">
      <c r="B50" s="202" t="s">
        <v>4</v>
      </c>
      <c r="C50" s="203" t="s">
        <v>40</v>
      </c>
      <c r="D50" s="231">
        <v>568.70000000000005</v>
      </c>
      <c r="E50" s="274">
        <v>555.9</v>
      </c>
      <c r="G50" s="190"/>
      <c r="J50" s="76"/>
      <c r="K50" s="76"/>
      <c r="L50" s="76"/>
      <c r="M50" s="76"/>
    </row>
    <row r="51" spans="2:13">
      <c r="B51" s="202" t="s">
        <v>6</v>
      </c>
      <c r="C51" s="203" t="s">
        <v>114</v>
      </c>
      <c r="D51" s="234">
        <v>568.30999999999995</v>
      </c>
      <c r="E51" s="274">
        <v>549.43000000000006</v>
      </c>
      <c r="G51" s="190"/>
      <c r="J51" s="76"/>
      <c r="K51" s="76"/>
      <c r="L51" s="76"/>
      <c r="M51" s="76"/>
    </row>
    <row r="52" spans="2:13">
      <c r="B52" s="202" t="s">
        <v>8</v>
      </c>
      <c r="C52" s="203" t="s">
        <v>115</v>
      </c>
      <c r="D52" s="234">
        <v>645.46</v>
      </c>
      <c r="E52" s="315">
        <v>631.34</v>
      </c>
      <c r="J52" s="80"/>
      <c r="K52" s="76"/>
      <c r="L52" s="76"/>
      <c r="M52" s="76"/>
    </row>
    <row r="53" spans="2:13" ht="13.5" customHeight="1" thickBot="1">
      <c r="B53" s="206" t="s">
        <v>9</v>
      </c>
      <c r="C53" s="207" t="s">
        <v>41</v>
      </c>
      <c r="D53" s="235">
        <v>625.97</v>
      </c>
      <c r="E53" s="347">
        <v>624.89</v>
      </c>
      <c r="J53" s="76"/>
      <c r="K53" s="76"/>
      <c r="L53" s="76"/>
      <c r="M53" s="76"/>
    </row>
    <row r="54" spans="2:13">
      <c r="B54" s="116"/>
      <c r="C54" s="117"/>
      <c r="D54" s="118"/>
      <c r="E54" s="118"/>
      <c r="J54" s="76"/>
      <c r="K54" s="76"/>
      <c r="L54" s="76"/>
      <c r="M54" s="76"/>
    </row>
    <row r="55" spans="2:13" ht="13.5">
      <c r="B55" s="500" t="s">
        <v>62</v>
      </c>
      <c r="C55" s="501"/>
      <c r="D55" s="501"/>
      <c r="E55" s="501"/>
      <c r="J55" s="76"/>
      <c r="K55" s="76"/>
      <c r="L55" s="76"/>
      <c r="M55" s="76"/>
    </row>
    <row r="56" spans="2:13" ht="16.5" customHeight="1" thickBot="1">
      <c r="B56" s="498" t="s">
        <v>116</v>
      </c>
      <c r="C56" s="502"/>
      <c r="D56" s="502"/>
      <c r="E56" s="502"/>
      <c r="J56" s="76"/>
      <c r="K56" s="76"/>
      <c r="L56" s="76"/>
      <c r="M56" s="76"/>
    </row>
    <row r="57" spans="2:13" ht="23.25" thickBot="1">
      <c r="B57" s="493" t="s">
        <v>42</v>
      </c>
      <c r="C57" s="494"/>
      <c r="D57" s="18" t="s">
        <v>122</v>
      </c>
      <c r="E57" s="19" t="s">
        <v>117</v>
      </c>
      <c r="J57" s="76"/>
      <c r="K57" s="76"/>
      <c r="L57" s="76"/>
      <c r="M57" s="76"/>
    </row>
    <row r="58" spans="2:13">
      <c r="B58" s="20" t="s">
        <v>18</v>
      </c>
      <c r="C58" s="133" t="s">
        <v>43</v>
      </c>
      <c r="D58" s="134">
        <f>D64</f>
        <v>1088178.26</v>
      </c>
      <c r="E58" s="32">
        <f>D58/E21</f>
        <v>1</v>
      </c>
      <c r="J58" s="76"/>
      <c r="K58" s="76"/>
      <c r="L58" s="76"/>
      <c r="M58" s="76"/>
    </row>
    <row r="59" spans="2:13" ht="25.5">
      <c r="B59" s="130" t="s">
        <v>4</v>
      </c>
      <c r="C59" s="22" t="s">
        <v>44</v>
      </c>
      <c r="D59" s="86">
        <v>0</v>
      </c>
      <c r="E59" s="87">
        <v>0</v>
      </c>
      <c r="J59" s="76"/>
      <c r="K59" s="76"/>
      <c r="L59" s="76"/>
      <c r="M59" s="76"/>
    </row>
    <row r="60" spans="2:13" ht="25.5">
      <c r="B60" s="109" t="s">
        <v>6</v>
      </c>
      <c r="C60" s="15" t="s">
        <v>45</v>
      </c>
      <c r="D60" s="84">
        <v>0</v>
      </c>
      <c r="E60" s="85">
        <v>0</v>
      </c>
      <c r="J60" s="80"/>
    </row>
    <row r="61" spans="2:13" ht="12.75" customHeight="1">
      <c r="B61" s="109" t="s">
        <v>8</v>
      </c>
      <c r="C61" s="15" t="s">
        <v>46</v>
      </c>
      <c r="D61" s="84">
        <v>0</v>
      </c>
      <c r="E61" s="85">
        <v>0</v>
      </c>
      <c r="J61" s="80"/>
    </row>
    <row r="62" spans="2:13">
      <c r="B62" s="109" t="s">
        <v>9</v>
      </c>
      <c r="C62" s="15" t="s">
        <v>47</v>
      </c>
      <c r="D62" s="84">
        <v>0</v>
      </c>
      <c r="E62" s="85">
        <v>0</v>
      </c>
      <c r="J62" s="70"/>
    </row>
    <row r="63" spans="2:13">
      <c r="B63" s="109" t="s">
        <v>29</v>
      </c>
      <c r="C63" s="15" t="s">
        <v>48</v>
      </c>
      <c r="D63" s="84">
        <v>0</v>
      </c>
      <c r="E63" s="85">
        <v>0</v>
      </c>
      <c r="J63" s="76"/>
    </row>
    <row r="64" spans="2:13">
      <c r="B64" s="130" t="s">
        <v>31</v>
      </c>
      <c r="C64" s="22" t="s">
        <v>49</v>
      </c>
      <c r="D64" s="86">
        <f>E21</f>
        <v>1088178.26</v>
      </c>
      <c r="E64" s="87">
        <f>E58</f>
        <v>1</v>
      </c>
      <c r="J64" s="76"/>
    </row>
    <row r="65" spans="2:10">
      <c r="B65" s="130" t="s">
        <v>33</v>
      </c>
      <c r="C65" s="22" t="s">
        <v>118</v>
      </c>
      <c r="D65" s="86">
        <v>0</v>
      </c>
      <c r="E65" s="87">
        <v>0</v>
      </c>
      <c r="J65" s="76"/>
    </row>
    <row r="66" spans="2:10">
      <c r="B66" s="130" t="s">
        <v>50</v>
      </c>
      <c r="C66" s="22" t="s">
        <v>51</v>
      </c>
      <c r="D66" s="86">
        <v>0</v>
      </c>
      <c r="E66" s="87">
        <v>0</v>
      </c>
    </row>
    <row r="67" spans="2:10">
      <c r="B67" s="109" t="s">
        <v>52</v>
      </c>
      <c r="C67" s="15" t="s">
        <v>53</v>
      </c>
      <c r="D67" s="84">
        <v>0</v>
      </c>
      <c r="E67" s="85">
        <v>0</v>
      </c>
    </row>
    <row r="68" spans="2:10">
      <c r="B68" s="109" t="s">
        <v>54</v>
      </c>
      <c r="C68" s="15" t="s">
        <v>55</v>
      </c>
      <c r="D68" s="84">
        <v>0</v>
      </c>
      <c r="E68" s="85">
        <v>0</v>
      </c>
    </row>
    <row r="69" spans="2:10">
      <c r="B69" s="109" t="s">
        <v>56</v>
      </c>
      <c r="C69" s="15" t="s">
        <v>57</v>
      </c>
      <c r="D69" s="320">
        <v>0</v>
      </c>
      <c r="E69" s="85">
        <v>0</v>
      </c>
    </row>
    <row r="70" spans="2:10">
      <c r="B70" s="136" t="s">
        <v>58</v>
      </c>
      <c r="C70" s="120" t="s">
        <v>59</v>
      </c>
      <c r="D70" s="121">
        <v>0</v>
      </c>
      <c r="E70" s="122">
        <v>0</v>
      </c>
    </row>
    <row r="71" spans="2:10">
      <c r="B71" s="137" t="s">
        <v>23</v>
      </c>
      <c r="C71" s="128" t="s">
        <v>61</v>
      </c>
      <c r="D71" s="129">
        <v>0</v>
      </c>
      <c r="E71" s="69">
        <v>0</v>
      </c>
    </row>
    <row r="72" spans="2:10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10">
      <c r="B73" s="139" t="s">
        <v>62</v>
      </c>
      <c r="C73" s="24" t="s">
        <v>65</v>
      </c>
      <c r="D73" s="25">
        <v>0</v>
      </c>
      <c r="E73" s="26">
        <v>0</v>
      </c>
    </row>
    <row r="74" spans="2:10">
      <c r="B74" s="137" t="s">
        <v>64</v>
      </c>
      <c r="C74" s="128" t="s">
        <v>66</v>
      </c>
      <c r="D74" s="129">
        <f>D58</f>
        <v>1088178.26</v>
      </c>
      <c r="E74" s="69">
        <f>E58+E72-E73</f>
        <v>1</v>
      </c>
    </row>
    <row r="75" spans="2:10">
      <c r="B75" s="109" t="s">
        <v>4</v>
      </c>
      <c r="C75" s="15" t="s">
        <v>67</v>
      </c>
      <c r="D75" s="84">
        <f>D74</f>
        <v>1088178.26</v>
      </c>
      <c r="E75" s="85">
        <f>E74</f>
        <v>1</v>
      </c>
    </row>
    <row r="76" spans="2:10">
      <c r="B76" s="109" t="s">
        <v>6</v>
      </c>
      <c r="C76" s="15" t="s">
        <v>119</v>
      </c>
      <c r="D76" s="84">
        <v>0</v>
      </c>
      <c r="E76" s="85">
        <v>0</v>
      </c>
    </row>
    <row r="77" spans="2:10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10">
      <c r="B78" s="1"/>
      <c r="C78" s="1"/>
      <c r="D78" s="2"/>
      <c r="E78" s="2"/>
    </row>
    <row r="79" spans="2:10">
      <c r="B79" s="1"/>
      <c r="C79" s="1"/>
      <c r="D79" s="2"/>
      <c r="E79" s="2"/>
    </row>
    <row r="80" spans="2:10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62" bottom="0.61" header="0.5" footer="0.5"/>
  <pageSetup paperSize="9" scale="70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3">
    <pageSetUpPr fitToPage="1"/>
  </sheetPr>
  <dimension ref="A1:L81"/>
  <sheetViews>
    <sheetView zoomScale="80" zoomScaleNormal="80" workbookViewId="0">
      <selection activeCell="J22" sqref="J2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1"/>
      <c r="C4" s="141"/>
      <c r="D4" s="141"/>
      <c r="E4" s="14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180</v>
      </c>
      <c r="C6" s="497"/>
      <c r="D6" s="497"/>
      <c r="E6" s="497"/>
    </row>
    <row r="7" spans="2:12" ht="14.25">
      <c r="B7" s="140"/>
      <c r="C7" s="140"/>
      <c r="D7" s="140"/>
      <c r="E7" s="14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34332.910000000003</v>
      </c>
      <c r="E11" s="284">
        <f>SUM(E12:E14)</f>
        <v>108464.43</v>
      </c>
    </row>
    <row r="12" spans="2:12">
      <c r="B12" s="191" t="s">
        <v>4</v>
      </c>
      <c r="C12" s="192" t="s">
        <v>5</v>
      </c>
      <c r="D12" s="329">
        <v>34332.910000000003</v>
      </c>
      <c r="E12" s="353">
        <f>108464.43</f>
        <v>108464.43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34332.910000000003</v>
      </c>
      <c r="E21" s="155">
        <f>E11-E17</f>
        <v>108464.43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67733.87</v>
      </c>
      <c r="E26" s="270">
        <f>D21</f>
        <v>34332.910000000003</v>
      </c>
      <c r="G26" s="80"/>
    </row>
    <row r="27" spans="2:11">
      <c r="B27" s="9" t="s">
        <v>17</v>
      </c>
      <c r="C27" s="10" t="s">
        <v>111</v>
      </c>
      <c r="D27" s="226">
        <v>-32621.829999999998</v>
      </c>
      <c r="E27" s="263">
        <f>E28-E32</f>
        <v>65891.200000000012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7235.44</v>
      </c>
      <c r="E28" s="264">
        <f>SUM(E29:E31)</f>
        <v>67241.320000000007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857.49</v>
      </c>
      <c r="E29" s="265">
        <v>5413.95</v>
      </c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6377.95</v>
      </c>
      <c r="E31" s="265">
        <v>61827.37</v>
      </c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39857.269999999997</v>
      </c>
      <c r="E32" s="264">
        <f>SUM(E33:E39)</f>
        <v>1350.12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2087.16</v>
      </c>
      <c r="E33" s="265">
        <v>522.16999999999996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166.29</v>
      </c>
      <c r="E35" s="265">
        <v>241.04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360.01</v>
      </c>
      <c r="E37" s="265">
        <v>269.57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37243.81</v>
      </c>
      <c r="E39" s="266">
        <v>317.33999999999997</v>
      </c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-5103.2299999999996</v>
      </c>
      <c r="E40" s="271">
        <v>8240.32</v>
      </c>
      <c r="G40" s="80"/>
    </row>
    <row r="41" spans="2:10" ht="13.5" thickBot="1">
      <c r="B41" s="106" t="s">
        <v>37</v>
      </c>
      <c r="C41" s="107" t="s">
        <v>38</v>
      </c>
      <c r="D41" s="230">
        <v>30008.809999999994</v>
      </c>
      <c r="E41" s="155">
        <f>E26+E27+E40</f>
        <v>108464.43000000002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420.18529999999998</v>
      </c>
      <c r="E47" s="156">
        <v>212.95688999999999</v>
      </c>
      <c r="G47" s="76"/>
    </row>
    <row r="48" spans="2:10">
      <c r="B48" s="204" t="s">
        <v>6</v>
      </c>
      <c r="C48" s="205" t="s">
        <v>41</v>
      </c>
      <c r="D48" s="232">
        <v>208.81504000000001</v>
      </c>
      <c r="E48" s="341">
        <f>E21/E53</f>
        <v>577.86057538625471</v>
      </c>
      <c r="G48" s="210"/>
    </row>
    <row r="49" spans="2:7">
      <c r="B49" s="127" t="s">
        <v>23</v>
      </c>
      <c r="C49" s="131" t="s">
        <v>113</v>
      </c>
      <c r="D49" s="233"/>
      <c r="E49" s="274"/>
    </row>
    <row r="50" spans="2:7">
      <c r="B50" s="202" t="s">
        <v>4</v>
      </c>
      <c r="C50" s="203" t="s">
        <v>40</v>
      </c>
      <c r="D50" s="231">
        <v>161.19999999999999</v>
      </c>
      <c r="E50" s="274">
        <v>161.22</v>
      </c>
      <c r="G50" s="190"/>
    </row>
    <row r="51" spans="2:7">
      <c r="B51" s="202" t="s">
        <v>6</v>
      </c>
      <c r="C51" s="203" t="s">
        <v>114</v>
      </c>
      <c r="D51" s="234">
        <v>140.44</v>
      </c>
      <c r="E51" s="275">
        <v>161.22</v>
      </c>
      <c r="G51" s="190"/>
    </row>
    <row r="52" spans="2:7">
      <c r="B52" s="202" t="s">
        <v>8</v>
      </c>
      <c r="C52" s="203" t="s">
        <v>115</v>
      </c>
      <c r="D52" s="234">
        <v>168.28</v>
      </c>
      <c r="E52" s="275">
        <v>191.02</v>
      </c>
    </row>
    <row r="53" spans="2:7" ht="14.25" customHeight="1" thickBot="1">
      <c r="B53" s="206" t="s">
        <v>9</v>
      </c>
      <c r="C53" s="207" t="s">
        <v>41</v>
      </c>
      <c r="D53" s="235">
        <v>143.71</v>
      </c>
      <c r="E53" s="347">
        <v>187.7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108464.43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108464.43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108464.43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108464.43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4"/>
  <dimension ref="A1:L81"/>
  <sheetViews>
    <sheetView zoomScale="80" zoomScaleNormal="80" workbookViewId="0">
      <selection activeCell="G14" sqref="G14:K4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1" max="11" width="13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1"/>
      <c r="C4" s="141"/>
      <c r="D4" s="141"/>
      <c r="E4" s="14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181</v>
      </c>
      <c r="C6" s="497"/>
      <c r="D6" s="497"/>
      <c r="E6" s="497"/>
    </row>
    <row r="7" spans="2:12" ht="14.25">
      <c r="B7" s="140"/>
      <c r="C7" s="140"/>
      <c r="D7" s="140"/>
      <c r="E7" s="14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50394.42</v>
      </c>
      <c r="E11" s="284">
        <f>SUM(E12:E14)</f>
        <v>57504.73</v>
      </c>
    </row>
    <row r="12" spans="2:12">
      <c r="B12" s="191" t="s">
        <v>4</v>
      </c>
      <c r="C12" s="192" t="s">
        <v>5</v>
      </c>
      <c r="D12" s="329">
        <v>50394.42</v>
      </c>
      <c r="E12" s="353">
        <f>57519.5-14.77</f>
        <v>57504.73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50394.42</v>
      </c>
      <c r="E21" s="155">
        <f>E11-E17</f>
        <v>57504.73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75110.64</v>
      </c>
      <c r="E26" s="270">
        <f>D21</f>
        <v>50394.42</v>
      </c>
      <c r="G26" s="80"/>
    </row>
    <row r="27" spans="2:11">
      <c r="B27" s="9" t="s">
        <v>17</v>
      </c>
      <c r="C27" s="10" t="s">
        <v>111</v>
      </c>
      <c r="D27" s="226">
        <v>-15398.970000000001</v>
      </c>
      <c r="E27" s="263">
        <f>E28-E32</f>
        <v>854.90999999999985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5978.46</v>
      </c>
      <c r="E28" s="264">
        <f>SUM(E29:E31)</f>
        <v>8615.33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2385.13</v>
      </c>
      <c r="E29" s="265">
        <v>4842.5200000000004</v>
      </c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3593.33</v>
      </c>
      <c r="E31" s="265">
        <v>3772.81</v>
      </c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21377.43</v>
      </c>
      <c r="E32" s="264">
        <f>SUM(E33:E39)</f>
        <v>7760.42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2788.92</v>
      </c>
      <c r="E33" s="265">
        <v>5887.33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271.42</v>
      </c>
      <c r="E35" s="265">
        <v>219.46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293.81</v>
      </c>
      <c r="E37" s="265">
        <v>256.74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18023.28</v>
      </c>
      <c r="E39" s="266">
        <v>1396.89</v>
      </c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-1820.77</v>
      </c>
      <c r="E40" s="271">
        <v>6255.4</v>
      </c>
      <c r="G40" s="80"/>
    </row>
    <row r="41" spans="2:10" ht="13.5" thickBot="1">
      <c r="B41" s="106" t="s">
        <v>37</v>
      </c>
      <c r="C41" s="107" t="s">
        <v>38</v>
      </c>
      <c r="D41" s="230">
        <v>57890.9</v>
      </c>
      <c r="E41" s="155">
        <f>E26+E27+E40</f>
        <v>57504.73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307">
        <v>905.60209999999995</v>
      </c>
      <c r="E47" s="156">
        <v>659.18140000000005</v>
      </c>
      <c r="G47" s="76"/>
    </row>
    <row r="48" spans="2:10">
      <c r="B48" s="204" t="s">
        <v>6</v>
      </c>
      <c r="C48" s="205" t="s">
        <v>41</v>
      </c>
      <c r="D48" s="307">
        <v>715.67439999999999</v>
      </c>
      <c r="E48" s="348">
        <f>E21/E53</f>
        <v>667.88304297328693</v>
      </c>
      <c r="G48" s="166"/>
    </row>
    <row r="49" spans="2:7">
      <c r="B49" s="127" t="s">
        <v>23</v>
      </c>
      <c r="C49" s="131" t="s">
        <v>113</v>
      </c>
      <c r="D49" s="307"/>
      <c r="E49" s="279"/>
    </row>
    <row r="50" spans="2:7">
      <c r="B50" s="202" t="s">
        <v>4</v>
      </c>
      <c r="C50" s="203" t="s">
        <v>40</v>
      </c>
      <c r="D50" s="307">
        <v>82.94</v>
      </c>
      <c r="E50" s="279">
        <v>76.45</v>
      </c>
      <c r="G50" s="190"/>
    </row>
    <row r="51" spans="2:7">
      <c r="B51" s="202" t="s">
        <v>6</v>
      </c>
      <c r="C51" s="203" t="s">
        <v>114</v>
      </c>
      <c r="D51" s="332">
        <v>79.81</v>
      </c>
      <c r="E51" s="312">
        <v>76.45</v>
      </c>
      <c r="G51" s="190"/>
    </row>
    <row r="52" spans="2:7">
      <c r="B52" s="202" t="s">
        <v>8</v>
      </c>
      <c r="C52" s="203" t="s">
        <v>115</v>
      </c>
      <c r="D52" s="332">
        <v>88.68</v>
      </c>
      <c r="E52" s="312">
        <v>87.88</v>
      </c>
    </row>
    <row r="53" spans="2:7" ht="13.5" customHeight="1" thickBot="1">
      <c r="B53" s="206" t="s">
        <v>9</v>
      </c>
      <c r="C53" s="207" t="s">
        <v>41</v>
      </c>
      <c r="D53" s="235">
        <v>80.89</v>
      </c>
      <c r="E53" s="349">
        <v>86.1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57504.73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57504.73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57504.73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57504.73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53" bottom="0.51" header="0.5" footer="0.5"/>
  <pageSetup paperSize="9" scale="70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5"/>
  <dimension ref="A1:L81"/>
  <sheetViews>
    <sheetView zoomScale="80" zoomScaleNormal="80" workbookViewId="0">
      <selection activeCell="G17" sqref="G17:K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1.7109375" customWidth="1"/>
    <col min="9" max="9" width="13.28515625" customWidth="1"/>
    <col min="10" max="10" width="13.5703125" customWidth="1"/>
    <col min="11" max="11" width="13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1"/>
      <c r="C4" s="141"/>
      <c r="D4" s="141"/>
      <c r="E4" s="14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182</v>
      </c>
      <c r="C6" s="497"/>
      <c r="D6" s="497"/>
      <c r="E6" s="497"/>
    </row>
    <row r="7" spans="2:12" ht="14.25">
      <c r="B7" s="140"/>
      <c r="C7" s="140"/>
      <c r="D7" s="140"/>
      <c r="E7" s="14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125358.98</v>
      </c>
      <c r="E11" s="284">
        <f>SUM(E12:E14)</f>
        <v>95132.31</v>
      </c>
    </row>
    <row r="12" spans="2:12">
      <c r="B12" s="113" t="s">
        <v>4</v>
      </c>
      <c r="C12" s="6" t="s">
        <v>5</v>
      </c>
      <c r="D12" s="329">
        <v>125358.98</v>
      </c>
      <c r="E12" s="353">
        <f>95645.68-513.37</f>
        <v>95132.31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125358.98</v>
      </c>
      <c r="E21" s="155">
        <f>E11-E17</f>
        <v>95132.31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142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180195.43000000002</v>
      </c>
      <c r="E26" s="270">
        <f>D21</f>
        <v>125358.98</v>
      </c>
      <c r="G26" s="80"/>
    </row>
    <row r="27" spans="2:11">
      <c r="B27" s="9" t="s">
        <v>17</v>
      </c>
      <c r="C27" s="10" t="s">
        <v>111</v>
      </c>
      <c r="D27" s="226">
        <v>-9142.14</v>
      </c>
      <c r="E27" s="263">
        <f>E28-E32</f>
        <v>-36866.01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21957.32</v>
      </c>
      <c r="E28" s="264">
        <f>SUM(E29:E31)</f>
        <v>54845.62</v>
      </c>
      <c r="F28" s="76"/>
      <c r="G28" s="76"/>
      <c r="H28" s="76"/>
      <c r="I28" s="76"/>
      <c r="J28" s="76"/>
    </row>
    <row r="29" spans="2:11">
      <c r="B29" s="111" t="s">
        <v>4</v>
      </c>
      <c r="C29" s="6" t="s">
        <v>20</v>
      </c>
      <c r="D29" s="227">
        <v>5193.41</v>
      </c>
      <c r="E29" s="265">
        <v>4795.87</v>
      </c>
      <c r="F29" s="76"/>
      <c r="G29" s="76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11" t="s">
        <v>8</v>
      </c>
      <c r="C31" s="6" t="s">
        <v>22</v>
      </c>
      <c r="D31" s="227">
        <v>16763.91</v>
      </c>
      <c r="E31" s="265">
        <v>50049.75</v>
      </c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31099.46</v>
      </c>
      <c r="E32" s="264">
        <f>SUM(E33:E39)</f>
        <v>91711.63</v>
      </c>
      <c r="F32" s="76"/>
      <c r="G32" s="80"/>
      <c r="H32" s="76"/>
      <c r="I32" s="76"/>
      <c r="J32" s="76"/>
    </row>
    <row r="33" spans="2:10">
      <c r="B33" s="111" t="s">
        <v>4</v>
      </c>
      <c r="C33" s="6" t="s">
        <v>25</v>
      </c>
      <c r="D33" s="227">
        <v>8328.74</v>
      </c>
      <c r="E33" s="265">
        <v>43987.72</v>
      </c>
      <c r="F33" s="76"/>
      <c r="G33" s="76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11" t="s">
        <v>8</v>
      </c>
      <c r="C35" s="6" t="s">
        <v>27</v>
      </c>
      <c r="D35" s="227">
        <v>725.13</v>
      </c>
      <c r="E35" s="265">
        <v>560.04</v>
      </c>
      <c r="F35" s="76"/>
      <c r="G35" s="76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1070.8</v>
      </c>
      <c r="E37" s="265">
        <v>6243.22</v>
      </c>
      <c r="F37" s="76"/>
      <c r="G37" s="76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20974.79</v>
      </c>
      <c r="E39" s="266">
        <v>40920.65</v>
      </c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-10752.59</v>
      </c>
      <c r="E40" s="271">
        <v>6639.34</v>
      </c>
      <c r="G40" s="80"/>
    </row>
    <row r="41" spans="2:10" ht="13.5" thickBot="1">
      <c r="B41" s="106" t="s">
        <v>37</v>
      </c>
      <c r="C41" s="107" t="s">
        <v>38</v>
      </c>
      <c r="D41" s="230">
        <v>160300.70000000004</v>
      </c>
      <c r="E41" s="155">
        <f>E26+E27+E40</f>
        <v>95132.31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42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1243.92814</v>
      </c>
      <c r="E47" s="156">
        <v>925.09024999999997</v>
      </c>
      <c r="G47" s="76"/>
    </row>
    <row r="48" spans="2:10">
      <c r="B48" s="130" t="s">
        <v>6</v>
      </c>
      <c r="C48" s="22" t="s">
        <v>41</v>
      </c>
      <c r="D48" s="232">
        <v>1177.21011</v>
      </c>
      <c r="E48" s="341">
        <f>E21/E53</f>
        <v>649.63336520076484</v>
      </c>
      <c r="G48" s="210"/>
    </row>
    <row r="49" spans="2:7">
      <c r="B49" s="127" t="s">
        <v>23</v>
      </c>
      <c r="C49" s="131" t="s">
        <v>113</v>
      </c>
      <c r="D49" s="233"/>
      <c r="E49" s="274"/>
    </row>
    <row r="50" spans="2:7">
      <c r="B50" s="109" t="s">
        <v>4</v>
      </c>
      <c r="C50" s="15" t="s">
        <v>40</v>
      </c>
      <c r="D50" s="231">
        <v>144.86000000000001</v>
      </c>
      <c r="E50" s="274">
        <v>135.51</v>
      </c>
      <c r="G50" s="190"/>
    </row>
    <row r="51" spans="2:7">
      <c r="B51" s="109" t="s">
        <v>6</v>
      </c>
      <c r="C51" s="15" t="s">
        <v>114</v>
      </c>
      <c r="D51" s="234">
        <v>136.1</v>
      </c>
      <c r="E51" s="274">
        <v>132.84</v>
      </c>
      <c r="G51" s="190"/>
    </row>
    <row r="52" spans="2:7">
      <c r="B52" s="109" t="s">
        <v>8</v>
      </c>
      <c r="C52" s="15" t="s">
        <v>115</v>
      </c>
      <c r="D52" s="234">
        <v>150.49</v>
      </c>
      <c r="E52" s="275">
        <v>148.25</v>
      </c>
    </row>
    <row r="53" spans="2:7" ht="12.75" customHeight="1" thickBot="1">
      <c r="B53" s="110" t="s">
        <v>9</v>
      </c>
      <c r="C53" s="17" t="s">
        <v>41</v>
      </c>
      <c r="D53" s="235">
        <v>136.16999999999999</v>
      </c>
      <c r="E53" s="347">
        <v>146.44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95132.31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E12</f>
        <v>95132.31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7" t="s">
        <v>64</v>
      </c>
      <c r="C74" s="128" t="s">
        <v>66</v>
      </c>
      <c r="D74" s="129">
        <f>D58-D73</f>
        <v>95132.31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95132.31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3" right="0.75" top="0.53" bottom="0.67" header="0.5" footer="0.5"/>
  <pageSetup paperSize="9" scale="70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6"/>
  <dimension ref="A1:L81"/>
  <sheetViews>
    <sheetView zoomScale="80" zoomScaleNormal="80" workbookViewId="0">
      <selection activeCell="E46" sqref="E46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1"/>
      <c r="C4" s="141"/>
      <c r="D4" s="141"/>
      <c r="E4" s="14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267</v>
      </c>
      <c r="C6" s="497"/>
      <c r="D6" s="497"/>
      <c r="E6" s="497"/>
    </row>
    <row r="7" spans="2:12" ht="14.25">
      <c r="B7" s="140"/>
      <c r="C7" s="140"/>
      <c r="D7" s="140"/>
      <c r="E7" s="14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86926.41</v>
      </c>
      <c r="E11" s="284">
        <f>SUM(E12:E14)</f>
        <v>74484.05</v>
      </c>
    </row>
    <row r="12" spans="2:12">
      <c r="B12" s="113" t="s">
        <v>4</v>
      </c>
      <c r="C12" s="6" t="s">
        <v>5</v>
      </c>
      <c r="D12" s="329">
        <v>86926.41</v>
      </c>
      <c r="E12" s="353">
        <v>74484.05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86926.41</v>
      </c>
      <c r="E21" s="155">
        <f>E11-E17</f>
        <v>74484.05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142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261740.12</v>
      </c>
      <c r="E26" s="270">
        <f>D21</f>
        <v>86926.41</v>
      </c>
      <c r="G26" s="80"/>
    </row>
    <row r="27" spans="2:11">
      <c r="B27" s="9" t="s">
        <v>17</v>
      </c>
      <c r="C27" s="10" t="s">
        <v>111</v>
      </c>
      <c r="D27" s="226">
        <v>-181509.74</v>
      </c>
      <c r="E27" s="263">
        <f>E28-E32</f>
        <v>-12441.000000000002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3567.5299999999997</v>
      </c>
      <c r="E28" s="264">
        <f>SUM(E29:E31)</f>
        <v>2148.08</v>
      </c>
      <c r="F28" s="76"/>
      <c r="G28" s="76"/>
      <c r="H28" s="76"/>
      <c r="I28" s="76"/>
      <c r="J28" s="76"/>
    </row>
    <row r="29" spans="2:11">
      <c r="B29" s="111" t="s">
        <v>4</v>
      </c>
      <c r="C29" s="6" t="s">
        <v>20</v>
      </c>
      <c r="D29" s="227">
        <v>1850.67</v>
      </c>
      <c r="E29" s="265">
        <v>1887.08</v>
      </c>
      <c r="F29" s="76"/>
      <c r="G29" s="76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11" t="s">
        <v>8</v>
      </c>
      <c r="C31" s="6" t="s">
        <v>22</v>
      </c>
      <c r="D31" s="227">
        <v>1716.86</v>
      </c>
      <c r="E31" s="265">
        <v>261</v>
      </c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185077.27</v>
      </c>
      <c r="E32" s="264">
        <f>SUM(E33:E39)</f>
        <v>14589.080000000002</v>
      </c>
      <c r="F32" s="76"/>
      <c r="G32" s="80"/>
      <c r="H32" s="76"/>
      <c r="I32" s="76"/>
      <c r="J32" s="76"/>
    </row>
    <row r="33" spans="2:10">
      <c r="B33" s="111" t="s">
        <v>4</v>
      </c>
      <c r="C33" s="6" t="s">
        <v>25</v>
      </c>
      <c r="D33" s="227">
        <v>180907.96</v>
      </c>
      <c r="E33" s="265">
        <v>12943.69</v>
      </c>
      <c r="F33" s="76"/>
      <c r="G33" s="76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11" t="s">
        <v>8</v>
      </c>
      <c r="C35" s="6" t="s">
        <v>27</v>
      </c>
      <c r="D35" s="227">
        <v>270.52999999999997</v>
      </c>
      <c r="E35" s="265">
        <v>286.7</v>
      </c>
      <c r="F35" s="76"/>
      <c r="G35" s="76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1362.56</v>
      </c>
      <c r="E37" s="265">
        <v>1284.45</v>
      </c>
      <c r="F37" s="76"/>
      <c r="G37" s="76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2536.2199999999998</v>
      </c>
      <c r="E39" s="266">
        <v>74.239999999999995</v>
      </c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2755.28</v>
      </c>
      <c r="E40" s="271">
        <v>-1.36</v>
      </c>
      <c r="G40" s="80"/>
    </row>
    <row r="41" spans="2:10" ht="13.5" thickBot="1">
      <c r="B41" s="106" t="s">
        <v>37</v>
      </c>
      <c r="C41" s="107" t="s">
        <v>38</v>
      </c>
      <c r="D41" s="230">
        <v>82985.66</v>
      </c>
      <c r="E41" s="155">
        <f>E26+E27+E40</f>
        <v>74484.05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42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1957.3744999999999</v>
      </c>
      <c r="E47" s="156">
        <v>639.68219999999997</v>
      </c>
      <c r="G47" s="76"/>
    </row>
    <row r="48" spans="2:10">
      <c r="B48" s="130" t="s">
        <v>6</v>
      </c>
      <c r="C48" s="22" t="s">
        <v>41</v>
      </c>
      <c r="D48" s="232">
        <v>614.43550000000005</v>
      </c>
      <c r="E48" s="341">
        <v>547.79769999999996</v>
      </c>
      <c r="G48" s="76"/>
    </row>
    <row r="49" spans="2:7">
      <c r="B49" s="127" t="s">
        <v>23</v>
      </c>
      <c r="C49" s="131" t="s">
        <v>113</v>
      </c>
      <c r="D49" s="233"/>
      <c r="E49" s="274"/>
    </row>
    <row r="50" spans="2:7">
      <c r="B50" s="109" t="s">
        <v>4</v>
      </c>
      <c r="C50" s="15" t="s">
        <v>40</v>
      </c>
      <c r="D50" s="231">
        <v>133.72</v>
      </c>
      <c r="E50" s="274">
        <v>135.88999999999999</v>
      </c>
      <c r="G50" s="190"/>
    </row>
    <row r="51" spans="2:7">
      <c r="B51" s="109" t="s">
        <v>6</v>
      </c>
      <c r="C51" s="15" t="s">
        <v>114</v>
      </c>
      <c r="D51" s="234">
        <v>133.71</v>
      </c>
      <c r="E51" s="275">
        <v>135.12</v>
      </c>
      <c r="G51" s="190"/>
    </row>
    <row r="52" spans="2:7">
      <c r="B52" s="109" t="s">
        <v>8</v>
      </c>
      <c r="C52" s="15" t="s">
        <v>115</v>
      </c>
      <c r="D52" s="234">
        <v>135.35</v>
      </c>
      <c r="E52" s="275">
        <v>136</v>
      </c>
    </row>
    <row r="53" spans="2:7" ht="13.5" customHeight="1" thickBot="1">
      <c r="B53" s="110" t="s">
        <v>9</v>
      </c>
      <c r="C53" s="17" t="s">
        <v>41</v>
      </c>
      <c r="D53" s="235">
        <v>135.06</v>
      </c>
      <c r="E53" s="347">
        <v>135.97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8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74484.05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74484.05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74484.05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74484.05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000000000000005" right="0.75" top="0.53" bottom="0.49" header="0.5" footer="0.5"/>
  <pageSetup paperSize="9" scale="70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7"/>
  <dimension ref="A1:L81"/>
  <sheetViews>
    <sheetView zoomScale="80" zoomScaleNormal="80" workbookViewId="0">
      <selection activeCell="G16" sqref="G16:K4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1" max="11" width="12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1"/>
      <c r="C4" s="141"/>
      <c r="D4" s="141"/>
      <c r="E4" s="14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183</v>
      </c>
      <c r="C6" s="497"/>
      <c r="D6" s="497"/>
      <c r="E6" s="497"/>
    </row>
    <row r="7" spans="2:12" ht="14.25">
      <c r="B7" s="140"/>
      <c r="C7" s="140"/>
      <c r="D7" s="140"/>
      <c r="E7" s="14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153386.26999999999</v>
      </c>
      <c r="E11" s="284">
        <f>SUM(E12:E14)</f>
        <v>195416.8</v>
      </c>
    </row>
    <row r="12" spans="2:12">
      <c r="B12" s="113" t="s">
        <v>4</v>
      </c>
      <c r="C12" s="6" t="s">
        <v>5</v>
      </c>
      <c r="D12" s="329">
        <v>153386.26999999999</v>
      </c>
      <c r="E12" s="353">
        <f>195843-426.2</f>
        <v>195416.8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153386.26999999999</v>
      </c>
      <c r="E21" s="155">
        <f>E11-E17</f>
        <v>195416.8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142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284556.46999999997</v>
      </c>
      <c r="E26" s="270">
        <f>D21</f>
        <v>153386.26999999999</v>
      </c>
      <c r="G26" s="80"/>
    </row>
    <row r="27" spans="2:11">
      <c r="B27" s="9" t="s">
        <v>17</v>
      </c>
      <c r="C27" s="10" t="s">
        <v>111</v>
      </c>
      <c r="D27" s="226">
        <v>-32832.11</v>
      </c>
      <c r="E27" s="263">
        <f>E28-E32</f>
        <v>32345.96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12047.72</v>
      </c>
      <c r="E28" s="264">
        <f>SUM(E29:E31)</f>
        <v>39373.96</v>
      </c>
      <c r="F28" s="76"/>
      <c r="G28" s="76"/>
      <c r="H28" s="76"/>
      <c r="I28" s="76"/>
      <c r="J28" s="76"/>
    </row>
    <row r="29" spans="2:11">
      <c r="B29" s="111" t="s">
        <v>4</v>
      </c>
      <c r="C29" s="6" t="s">
        <v>20</v>
      </c>
      <c r="D29" s="227">
        <v>10064.459999999999</v>
      </c>
      <c r="E29" s="265">
        <v>9060.86</v>
      </c>
      <c r="F29" s="76"/>
      <c r="G29" s="76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11" t="s">
        <v>8</v>
      </c>
      <c r="C31" s="6" t="s">
        <v>22</v>
      </c>
      <c r="D31" s="227">
        <v>1983.26</v>
      </c>
      <c r="E31" s="265">
        <v>30313.1</v>
      </c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44879.83</v>
      </c>
      <c r="E32" s="264">
        <f>SUM(E33:E39)</f>
        <v>7027.9999999999991</v>
      </c>
      <c r="F32" s="76"/>
      <c r="G32" s="80"/>
      <c r="H32" s="76"/>
      <c r="I32" s="76"/>
      <c r="J32" s="76"/>
    </row>
    <row r="33" spans="2:10">
      <c r="B33" s="111" t="s">
        <v>4</v>
      </c>
      <c r="C33" s="6" t="s">
        <v>25</v>
      </c>
      <c r="D33" s="227">
        <v>15847.75</v>
      </c>
      <c r="E33" s="265">
        <v>5108.28</v>
      </c>
      <c r="F33" s="76"/>
      <c r="G33" s="76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11" t="s">
        <v>8</v>
      </c>
      <c r="C35" s="6" t="s">
        <v>27</v>
      </c>
      <c r="D35" s="227">
        <v>1002.32</v>
      </c>
      <c r="E35" s="265">
        <v>928.66</v>
      </c>
      <c r="F35" s="76"/>
      <c r="G35" s="76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1089.54</v>
      </c>
      <c r="E37" s="265">
        <v>711.2</v>
      </c>
      <c r="F37" s="76"/>
      <c r="G37" s="76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26940.22</v>
      </c>
      <c r="E39" s="266">
        <v>279.86</v>
      </c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10022.17</v>
      </c>
      <c r="E40" s="271">
        <v>9684.57</v>
      </c>
      <c r="G40" s="80"/>
    </row>
    <row r="41" spans="2:10" ht="13.5" thickBot="1">
      <c r="B41" s="106" t="s">
        <v>37</v>
      </c>
      <c r="C41" s="107" t="s">
        <v>38</v>
      </c>
      <c r="D41" s="230">
        <v>261746.53</v>
      </c>
      <c r="E41" s="155">
        <f>E26+E27+E40</f>
        <v>195416.8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42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1207.0264</v>
      </c>
      <c r="E47" s="156">
        <v>698.76666</v>
      </c>
      <c r="G47" s="76"/>
    </row>
    <row r="48" spans="2:10">
      <c r="B48" s="130" t="s">
        <v>6</v>
      </c>
      <c r="C48" s="22" t="s">
        <v>41</v>
      </c>
      <c r="D48" s="232">
        <v>1067.0465999999999</v>
      </c>
      <c r="E48" s="341">
        <f>E21/E53</f>
        <v>832.55282890252215</v>
      </c>
      <c r="G48" s="210"/>
    </row>
    <row r="49" spans="2:7">
      <c r="B49" s="127" t="s">
        <v>23</v>
      </c>
      <c r="C49" s="131" t="s">
        <v>113</v>
      </c>
      <c r="D49" s="233"/>
      <c r="E49" s="274"/>
    </row>
    <row r="50" spans="2:7">
      <c r="B50" s="109" t="s">
        <v>4</v>
      </c>
      <c r="C50" s="15" t="s">
        <v>40</v>
      </c>
      <c r="D50" s="231">
        <v>235.75</v>
      </c>
      <c r="E50" s="274">
        <v>219.51</v>
      </c>
      <c r="G50" s="190"/>
    </row>
    <row r="51" spans="2:7">
      <c r="B51" s="109" t="s">
        <v>6</v>
      </c>
      <c r="C51" s="15" t="s">
        <v>114</v>
      </c>
      <c r="D51" s="234">
        <v>225.77</v>
      </c>
      <c r="E51" s="275">
        <v>216.37</v>
      </c>
      <c r="G51" s="190"/>
    </row>
    <row r="52" spans="2:7">
      <c r="B52" s="109" t="s">
        <v>8</v>
      </c>
      <c r="C52" s="15" t="s">
        <v>115</v>
      </c>
      <c r="D52" s="234">
        <v>252.01</v>
      </c>
      <c r="E52" s="275">
        <v>247.22</v>
      </c>
    </row>
    <row r="53" spans="2:7" ht="12.75" customHeight="1" thickBot="1">
      <c r="B53" s="110" t="s">
        <v>9</v>
      </c>
      <c r="C53" s="17" t="s">
        <v>41</v>
      </c>
      <c r="D53" s="235">
        <v>245.3</v>
      </c>
      <c r="E53" s="347">
        <v>234.72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195416.8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195416.8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195416.8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195416.8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8"/>
  <dimension ref="A1:L81"/>
  <sheetViews>
    <sheetView zoomScale="80" zoomScaleNormal="80" workbookViewId="0">
      <selection activeCell="H33" sqref="H3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1" max="11" width="14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1"/>
      <c r="C4" s="141"/>
      <c r="D4" s="141"/>
      <c r="E4" s="14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268</v>
      </c>
      <c r="C6" s="497"/>
      <c r="D6" s="497"/>
      <c r="E6" s="497"/>
    </row>
    <row r="7" spans="2:12" ht="14.25">
      <c r="B7" s="140"/>
      <c r="C7" s="140"/>
      <c r="D7" s="140"/>
      <c r="E7" s="14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/>
      <c r="E11" s="284"/>
    </row>
    <row r="12" spans="2:12">
      <c r="B12" s="113" t="s">
        <v>4</v>
      </c>
      <c r="C12" s="6" t="s">
        <v>5</v>
      </c>
      <c r="D12" s="329"/>
      <c r="E12" s="353"/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/>
      <c r="E21" s="155"/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142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150953.80000000002</v>
      </c>
      <c r="E26" s="270"/>
      <c r="G26" s="80"/>
    </row>
    <row r="27" spans="2:11">
      <c r="B27" s="9" t="s">
        <v>17</v>
      </c>
      <c r="C27" s="10" t="s">
        <v>111</v>
      </c>
      <c r="D27" s="226">
        <v>-46516.610000000008</v>
      </c>
      <c r="E27" s="263"/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9990.1</v>
      </c>
      <c r="E28" s="264"/>
      <c r="F28" s="76"/>
      <c r="G28" s="76"/>
      <c r="H28" s="76"/>
      <c r="I28" s="76"/>
      <c r="J28" s="76"/>
    </row>
    <row r="29" spans="2:11">
      <c r="B29" s="111" t="s">
        <v>4</v>
      </c>
      <c r="C29" s="6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11" t="s">
        <v>8</v>
      </c>
      <c r="C31" s="6" t="s">
        <v>22</v>
      </c>
      <c r="D31" s="227">
        <v>9990.1</v>
      </c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56506.710000000006</v>
      </c>
      <c r="E32" s="264"/>
      <c r="F32" s="76"/>
      <c r="G32" s="80"/>
      <c r="H32" s="76"/>
      <c r="I32" s="76"/>
      <c r="J32" s="76"/>
    </row>
    <row r="33" spans="2:10">
      <c r="B33" s="111" t="s">
        <v>4</v>
      </c>
      <c r="C33" s="6" t="s">
        <v>25</v>
      </c>
      <c r="D33" s="227">
        <v>26251.79</v>
      </c>
      <c r="E33" s="265"/>
      <c r="F33" s="76"/>
      <c r="G33" s="76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11" t="s">
        <v>8</v>
      </c>
      <c r="C35" s="6" t="s">
        <v>27</v>
      </c>
      <c r="D35" s="227">
        <v>65.5</v>
      </c>
      <c r="E35" s="265"/>
      <c r="F35" s="76"/>
      <c r="G35" s="76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11" t="s">
        <v>29</v>
      </c>
      <c r="C37" s="6" t="s">
        <v>30</v>
      </c>
      <c r="D37" s="227">
        <v>1221.77</v>
      </c>
      <c r="E37" s="265"/>
      <c r="F37" s="76"/>
      <c r="G37" s="76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112" t="s">
        <v>33</v>
      </c>
      <c r="C39" s="12" t="s">
        <v>34</v>
      </c>
      <c r="D39" s="228">
        <v>28967.65</v>
      </c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-29540.16</v>
      </c>
      <c r="E40" s="271"/>
      <c r="G40" s="80"/>
    </row>
    <row r="41" spans="2:10" ht="13.5" thickBot="1">
      <c r="B41" s="106" t="s">
        <v>37</v>
      </c>
      <c r="C41" s="107" t="s">
        <v>38</v>
      </c>
      <c r="D41" s="230">
        <v>74897.03</v>
      </c>
      <c r="E41" s="155"/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42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885.6712</v>
      </c>
      <c r="E47" s="156"/>
      <c r="G47" s="76"/>
    </row>
    <row r="48" spans="2:10">
      <c r="B48" s="130" t="s">
        <v>6</v>
      </c>
      <c r="C48" s="22" t="s">
        <v>41</v>
      </c>
      <c r="D48" s="232">
        <v>567.83190000000002</v>
      </c>
      <c r="E48" s="156"/>
      <c r="G48" s="16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109" t="s">
        <v>4</v>
      </c>
      <c r="C50" s="15" t="s">
        <v>40</v>
      </c>
      <c r="D50" s="231">
        <v>170.44</v>
      </c>
      <c r="E50" s="156"/>
      <c r="G50" s="190"/>
    </row>
    <row r="51" spans="2:7">
      <c r="B51" s="109" t="s">
        <v>6</v>
      </c>
      <c r="C51" s="15" t="s">
        <v>114</v>
      </c>
      <c r="D51" s="234">
        <v>122.82</v>
      </c>
      <c r="E51" s="81"/>
      <c r="G51" s="190"/>
    </row>
    <row r="52" spans="2:7">
      <c r="B52" s="109" t="s">
        <v>8</v>
      </c>
      <c r="C52" s="15" t="s">
        <v>115</v>
      </c>
      <c r="D52" s="234">
        <v>173.73</v>
      </c>
      <c r="E52" s="81"/>
    </row>
    <row r="53" spans="2:7" ht="13.5" customHeight="1" thickBot="1">
      <c r="B53" s="110" t="s">
        <v>9</v>
      </c>
      <c r="C53" s="17" t="s">
        <v>41</v>
      </c>
      <c r="D53" s="235">
        <v>131.9</v>
      </c>
      <c r="E53" s="272"/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0</v>
      </c>
      <c r="E58" s="32">
        <v>0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0</v>
      </c>
      <c r="E64" s="87">
        <v>0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0</v>
      </c>
      <c r="E74" s="69">
        <f>E58+E72-E73</f>
        <v>0</v>
      </c>
    </row>
    <row r="75" spans="2:5">
      <c r="B75" s="109" t="s">
        <v>4</v>
      </c>
      <c r="C75" s="15" t="s">
        <v>67</v>
      </c>
      <c r="D75" s="84">
        <f>D74</f>
        <v>0</v>
      </c>
      <c r="E75" s="85">
        <f>E74</f>
        <v>0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61" bottom="0.61" header="0.5" footer="0.5"/>
  <pageSetup paperSize="9" scale="70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9"/>
  <dimension ref="A1:L81"/>
  <sheetViews>
    <sheetView zoomScale="80" zoomScaleNormal="80" workbookViewId="0">
      <selection activeCell="G47" sqref="G4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184</v>
      </c>
      <c r="C6" s="497"/>
      <c r="D6" s="497"/>
      <c r="E6" s="497"/>
    </row>
    <row r="7" spans="2:12" ht="14.25">
      <c r="B7" s="179"/>
      <c r="C7" s="179"/>
      <c r="D7" s="179"/>
      <c r="E7" s="179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80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9791.7199999999993</v>
      </c>
      <c r="E11" s="284">
        <f>SUM(E12:E14)</f>
        <v>9886.65</v>
      </c>
    </row>
    <row r="12" spans="2:12">
      <c r="B12" s="191" t="s">
        <v>4</v>
      </c>
      <c r="C12" s="192" t="s">
        <v>5</v>
      </c>
      <c r="D12" s="329">
        <v>9791.7199999999993</v>
      </c>
      <c r="E12" s="353">
        <v>9886.65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9791.7199999999993</v>
      </c>
      <c r="E21" s="155">
        <f>E11-E17</f>
        <v>9886.65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24047.09</v>
      </c>
      <c r="E26" s="270">
        <f>D21</f>
        <v>9791.7199999999993</v>
      </c>
      <c r="G26" s="80"/>
    </row>
    <row r="27" spans="2:11">
      <c r="B27" s="9" t="s">
        <v>17</v>
      </c>
      <c r="C27" s="10" t="s">
        <v>111</v>
      </c>
      <c r="D27" s="226">
        <v>-14159.91</v>
      </c>
      <c r="E27" s="263">
        <f>E28-E32</f>
        <v>-118.60000000000001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14159.91</v>
      </c>
      <c r="E32" s="264">
        <f>SUM(E33:E39)</f>
        <v>118.60000000000001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14038.49</v>
      </c>
      <c r="E33" s="265"/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94.01</v>
      </c>
      <c r="E35" s="265">
        <v>34.950000000000003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27.41</v>
      </c>
      <c r="E37" s="265">
        <v>83.65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19.53</v>
      </c>
      <c r="E40" s="271">
        <v>213.53</v>
      </c>
      <c r="G40" s="80"/>
    </row>
    <row r="41" spans="2:10" ht="13.5" thickBot="1">
      <c r="B41" s="106" t="s">
        <v>37</v>
      </c>
      <c r="C41" s="107" t="s">
        <v>38</v>
      </c>
      <c r="D41" s="230">
        <v>9906.7100000000009</v>
      </c>
      <c r="E41" s="155">
        <f>E26+E27+E40</f>
        <v>9886.65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235.5018</v>
      </c>
      <c r="E47" s="156">
        <v>95.8</v>
      </c>
      <c r="G47" s="76"/>
    </row>
    <row r="48" spans="2:10">
      <c r="B48" s="204" t="s">
        <v>6</v>
      </c>
      <c r="C48" s="205" t="s">
        <v>41</v>
      </c>
      <c r="D48" s="232">
        <v>96.9251</v>
      </c>
      <c r="E48" s="341">
        <v>94.654399999999995</v>
      </c>
      <c r="G48" s="76"/>
    </row>
    <row r="49" spans="2:7">
      <c r="B49" s="127" t="s">
        <v>23</v>
      </c>
      <c r="C49" s="131" t="s">
        <v>113</v>
      </c>
      <c r="D49" s="233"/>
      <c r="E49" s="274"/>
    </row>
    <row r="50" spans="2:7">
      <c r="B50" s="202" t="s">
        <v>4</v>
      </c>
      <c r="C50" s="203" t="s">
        <v>40</v>
      </c>
      <c r="D50" s="231">
        <v>102.11</v>
      </c>
      <c r="E50" s="274">
        <v>102.21</v>
      </c>
      <c r="G50" s="190"/>
    </row>
    <row r="51" spans="2:7">
      <c r="B51" s="202" t="s">
        <v>6</v>
      </c>
      <c r="C51" s="203" t="s">
        <v>114</v>
      </c>
      <c r="D51" s="234">
        <v>101.96</v>
      </c>
      <c r="E51" s="275">
        <v>102.34</v>
      </c>
      <c r="G51" s="190"/>
    </row>
    <row r="52" spans="2:7">
      <c r="B52" s="202" t="s">
        <v>8</v>
      </c>
      <c r="C52" s="203" t="s">
        <v>115</v>
      </c>
      <c r="D52" s="234">
        <v>102.36</v>
      </c>
      <c r="E52" s="275">
        <v>104.68</v>
      </c>
    </row>
    <row r="53" spans="2:7" ht="13.5" thickBot="1">
      <c r="B53" s="206" t="s">
        <v>9</v>
      </c>
      <c r="C53" s="207" t="s">
        <v>41</v>
      </c>
      <c r="D53" s="235">
        <v>102.21</v>
      </c>
      <c r="E53" s="347">
        <v>104.45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9886.65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9886.65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9886.65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9886.65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0"/>
  <dimension ref="A1:L81"/>
  <sheetViews>
    <sheetView zoomScale="80" zoomScaleNormal="80" workbookViewId="0">
      <selection activeCell="G18" sqref="G18:K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269</v>
      </c>
      <c r="C6" s="497"/>
      <c r="D6" s="497"/>
      <c r="E6" s="497"/>
    </row>
    <row r="7" spans="2:12" ht="14.25">
      <c r="B7" s="162"/>
      <c r="C7" s="162"/>
      <c r="D7" s="162"/>
      <c r="E7" s="162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63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203272.61</v>
      </c>
      <c r="E11" s="284">
        <f>SUM(E12:E14)</f>
        <v>135247.85</v>
      </c>
    </row>
    <row r="12" spans="2:12">
      <c r="B12" s="191" t="s">
        <v>4</v>
      </c>
      <c r="C12" s="192" t="s">
        <v>5</v>
      </c>
      <c r="D12" s="329">
        <v>203272.61</v>
      </c>
      <c r="E12" s="353">
        <v>135247.85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203272.61</v>
      </c>
      <c r="E21" s="155">
        <f>E11-E17</f>
        <v>135247.85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257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329200.03999999998</v>
      </c>
      <c r="E26" s="270">
        <f>D21</f>
        <v>203272.61</v>
      </c>
      <c r="G26" s="80"/>
    </row>
    <row r="27" spans="2:11">
      <c r="B27" s="9" t="s">
        <v>17</v>
      </c>
      <c r="C27" s="10" t="s">
        <v>111</v>
      </c>
      <c r="D27" s="226">
        <v>-116098.58999999998</v>
      </c>
      <c r="E27" s="263">
        <f>E28-E32</f>
        <v>-69685.87999999999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52315.199999999997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52315.199999999997</v>
      </c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168413.78999999998</v>
      </c>
      <c r="E32" s="264">
        <f>SUM(E33:E39)</f>
        <v>69685.87999999999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144554.07999999999</v>
      </c>
      <c r="E33" s="265">
        <v>68221.06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505.08</v>
      </c>
      <c r="E35" s="265">
        <v>215.53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769.85</v>
      </c>
      <c r="E37" s="265">
        <v>1249.29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22584.78</v>
      </c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3509</v>
      </c>
      <c r="E40" s="271">
        <v>1661.12</v>
      </c>
      <c r="G40" s="80"/>
    </row>
    <row r="41" spans="2:10" ht="13.5" thickBot="1">
      <c r="B41" s="106" t="s">
        <v>37</v>
      </c>
      <c r="C41" s="107" t="s">
        <v>38</v>
      </c>
      <c r="D41" s="230">
        <v>216610.45</v>
      </c>
      <c r="E41" s="155">
        <f>E26+E27+E40</f>
        <v>135247.84999999998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1325.4954</v>
      </c>
      <c r="E47" s="156">
        <v>800.85339999999997</v>
      </c>
      <c r="G47" s="76"/>
    </row>
    <row r="48" spans="2:10">
      <c r="B48" s="204" t="s">
        <v>6</v>
      </c>
      <c r="C48" s="205" t="s">
        <v>41</v>
      </c>
      <c r="D48" s="232">
        <v>860.86339999999996</v>
      </c>
      <c r="E48" s="341">
        <v>526.72760000000005</v>
      </c>
      <c r="G48" s="76"/>
    </row>
    <row r="49" spans="2:7">
      <c r="B49" s="127" t="s">
        <v>23</v>
      </c>
      <c r="C49" s="131" t="s">
        <v>113</v>
      </c>
      <c r="D49" s="233"/>
      <c r="E49" s="274"/>
    </row>
    <row r="50" spans="2:7">
      <c r="B50" s="202" t="s">
        <v>4</v>
      </c>
      <c r="C50" s="203" t="s">
        <v>40</v>
      </c>
      <c r="D50" s="231">
        <v>248.36</v>
      </c>
      <c r="E50" s="274">
        <v>253.82</v>
      </c>
      <c r="G50" s="190"/>
    </row>
    <row r="51" spans="2:7">
      <c r="B51" s="202" t="s">
        <v>6</v>
      </c>
      <c r="C51" s="203" t="s">
        <v>114</v>
      </c>
      <c r="D51" s="234">
        <v>248.36</v>
      </c>
      <c r="E51" s="275">
        <v>253.6</v>
      </c>
      <c r="G51" s="190"/>
    </row>
    <row r="52" spans="2:7">
      <c r="B52" s="202" t="s">
        <v>8</v>
      </c>
      <c r="C52" s="203" t="s">
        <v>115</v>
      </c>
      <c r="D52" s="234">
        <v>251.63</v>
      </c>
      <c r="E52" s="275">
        <v>256.84000000000003</v>
      </c>
    </row>
    <row r="53" spans="2:7" ht="13.5" thickBot="1">
      <c r="B53" s="206" t="s">
        <v>9</v>
      </c>
      <c r="C53" s="207" t="s">
        <v>41</v>
      </c>
      <c r="D53" s="235">
        <v>251.62</v>
      </c>
      <c r="E53" s="347">
        <v>256.77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135247.85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135247.85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135247.85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135247.85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1"/>
  <dimension ref="A1:L81"/>
  <sheetViews>
    <sheetView zoomScale="80" zoomScaleNormal="80" workbookViewId="0">
      <selection activeCell="G10" sqref="G10:K4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 customFormat="1">
      <c r="B1" s="1"/>
      <c r="C1" s="1"/>
      <c r="D1" s="2"/>
      <c r="E1" s="2"/>
    </row>
    <row r="2" spans="2:12" customFormat="1" ht="15.75">
      <c r="B2" s="495" t="s">
        <v>0</v>
      </c>
      <c r="C2" s="495"/>
      <c r="D2" s="495"/>
      <c r="E2" s="495"/>
      <c r="L2" s="76"/>
    </row>
    <row r="3" spans="2:12" customFormat="1" ht="15.75">
      <c r="B3" s="495" t="s">
        <v>144</v>
      </c>
      <c r="C3" s="495"/>
      <c r="D3" s="495"/>
      <c r="E3" s="495"/>
    </row>
    <row r="4" spans="2:12" customFormat="1" ht="15">
      <c r="B4" s="154"/>
      <c r="C4" s="154"/>
      <c r="D4" s="154"/>
      <c r="E4" s="154"/>
    </row>
    <row r="5" spans="2:12" customFormat="1" ht="14.25">
      <c r="B5" s="496" t="s">
        <v>1</v>
      </c>
      <c r="C5" s="496"/>
      <c r="D5" s="496"/>
      <c r="E5" s="496"/>
    </row>
    <row r="6" spans="2:12" customFormat="1" ht="14.25" customHeight="1">
      <c r="B6" s="497" t="s">
        <v>185</v>
      </c>
      <c r="C6" s="497"/>
      <c r="D6" s="497"/>
      <c r="E6" s="497"/>
    </row>
    <row r="7" spans="2:12" customFormat="1" ht="14.25">
      <c r="B7" s="162"/>
      <c r="C7" s="162"/>
      <c r="D7" s="162"/>
      <c r="E7" s="162"/>
    </row>
    <row r="8" spans="2:12" customFormat="1" ht="13.5">
      <c r="B8" s="499" t="s">
        <v>18</v>
      </c>
      <c r="C8" s="501"/>
      <c r="D8" s="501"/>
      <c r="E8" s="501"/>
    </row>
    <row r="9" spans="2:12" customFormat="1" ht="16.5" thickBot="1">
      <c r="B9" s="498" t="s">
        <v>103</v>
      </c>
      <c r="C9" s="498"/>
      <c r="D9" s="498"/>
      <c r="E9" s="498"/>
    </row>
    <row r="10" spans="2:12" customFormat="1" ht="13.5" thickBot="1">
      <c r="B10" s="163"/>
      <c r="C10" s="82" t="s">
        <v>2</v>
      </c>
      <c r="D10" s="73" t="s">
        <v>127</v>
      </c>
      <c r="E10" s="29" t="s">
        <v>145</v>
      </c>
    </row>
    <row r="11" spans="2:12" customFormat="1">
      <c r="B11" s="97" t="s">
        <v>3</v>
      </c>
      <c r="C11" s="135" t="s">
        <v>109</v>
      </c>
      <c r="D11" s="283">
        <v>60546.06</v>
      </c>
      <c r="E11" s="284">
        <f>SUM(E12:E14)</f>
        <v>34242.660000000003</v>
      </c>
    </row>
    <row r="12" spans="2:12" customFormat="1">
      <c r="B12" s="191" t="s">
        <v>4</v>
      </c>
      <c r="C12" s="192" t="s">
        <v>5</v>
      </c>
      <c r="D12" s="329">
        <v>60546.06</v>
      </c>
      <c r="E12" s="353">
        <v>34242.660000000003</v>
      </c>
    </row>
    <row r="13" spans="2:12" customFormat="1">
      <c r="B13" s="191" t="s">
        <v>6</v>
      </c>
      <c r="C13" s="193" t="s">
        <v>7</v>
      </c>
      <c r="D13" s="322"/>
      <c r="E13" s="354"/>
    </row>
    <row r="14" spans="2:12" customFormat="1">
      <c r="B14" s="191" t="s">
        <v>8</v>
      </c>
      <c r="C14" s="193" t="s">
        <v>10</v>
      </c>
      <c r="D14" s="322"/>
      <c r="E14" s="354"/>
      <c r="G14" s="70"/>
    </row>
    <row r="15" spans="2:12" customFormat="1">
      <c r="B15" s="191" t="s">
        <v>106</v>
      </c>
      <c r="C15" s="193" t="s">
        <v>11</v>
      </c>
      <c r="D15" s="322"/>
      <c r="E15" s="354"/>
    </row>
    <row r="16" spans="2:12" customFormat="1">
      <c r="B16" s="194" t="s">
        <v>107</v>
      </c>
      <c r="C16" s="195" t="s">
        <v>12</v>
      </c>
      <c r="D16" s="324"/>
      <c r="E16" s="355"/>
    </row>
    <row r="17" spans="2:11" customFormat="1">
      <c r="B17" s="9" t="s">
        <v>13</v>
      </c>
      <c r="C17" s="11" t="s">
        <v>65</v>
      </c>
      <c r="D17" s="325"/>
      <c r="E17" s="356"/>
    </row>
    <row r="18" spans="2:11" customFormat="1">
      <c r="B18" s="191" t="s">
        <v>4</v>
      </c>
      <c r="C18" s="192" t="s">
        <v>11</v>
      </c>
      <c r="D18" s="324"/>
      <c r="E18" s="355"/>
    </row>
    <row r="19" spans="2:11" customFormat="1" ht="15" customHeight="1">
      <c r="B19" s="191" t="s">
        <v>6</v>
      </c>
      <c r="C19" s="193" t="s">
        <v>108</v>
      </c>
      <c r="D19" s="322"/>
      <c r="E19" s="354"/>
    </row>
    <row r="20" spans="2:11" customFormat="1" ht="13.5" thickBot="1">
      <c r="B20" s="196" t="s">
        <v>8</v>
      </c>
      <c r="C20" s="197" t="s">
        <v>14</v>
      </c>
      <c r="D20" s="285"/>
      <c r="E20" s="286"/>
    </row>
    <row r="21" spans="2:11" customFormat="1" ht="13.5" thickBot="1">
      <c r="B21" s="505" t="s">
        <v>110</v>
      </c>
      <c r="C21" s="506"/>
      <c r="D21" s="287">
        <v>60546.06</v>
      </c>
      <c r="E21" s="155">
        <f>E11-E17</f>
        <v>34242.660000000003</v>
      </c>
      <c r="F21" s="83"/>
      <c r="G21" s="83"/>
      <c r="H21" s="176"/>
      <c r="J21" s="254"/>
      <c r="K21" s="70"/>
    </row>
    <row r="22" spans="2:11" customFormat="1">
      <c r="B22" s="3"/>
      <c r="C22" s="7"/>
      <c r="D22" s="8"/>
      <c r="E22" s="8"/>
      <c r="G22" s="169"/>
    </row>
    <row r="23" spans="2:11" customFormat="1" ht="13.5">
      <c r="B23" s="499" t="s">
        <v>104</v>
      </c>
      <c r="C23" s="509"/>
      <c r="D23" s="509"/>
      <c r="E23" s="509"/>
      <c r="G23" s="76"/>
    </row>
    <row r="24" spans="2:11" customFormat="1" ht="15.75" customHeight="1" thickBot="1">
      <c r="B24" s="498" t="s">
        <v>105</v>
      </c>
      <c r="C24" s="510"/>
      <c r="D24" s="510"/>
      <c r="E24" s="510"/>
    </row>
    <row r="25" spans="2:11" customFormat="1" ht="13.5" thickBot="1">
      <c r="B25" s="244"/>
      <c r="C25" s="198" t="s">
        <v>2</v>
      </c>
      <c r="D25" s="73" t="s">
        <v>125</v>
      </c>
      <c r="E25" s="29" t="s">
        <v>145</v>
      </c>
    </row>
    <row r="26" spans="2:11" customFormat="1">
      <c r="B26" s="102" t="s">
        <v>15</v>
      </c>
      <c r="C26" s="103" t="s">
        <v>16</v>
      </c>
      <c r="D26" s="225">
        <v>69905.100000000006</v>
      </c>
      <c r="E26" s="270">
        <f>D21</f>
        <v>60546.06</v>
      </c>
      <c r="G26" s="80"/>
    </row>
    <row r="27" spans="2:11" customFormat="1">
      <c r="B27" s="9" t="s">
        <v>17</v>
      </c>
      <c r="C27" s="10" t="s">
        <v>111</v>
      </c>
      <c r="D27" s="226">
        <v>-9031.4500000000007</v>
      </c>
      <c r="E27" s="263">
        <f>E28-E32</f>
        <v>-30296.14</v>
      </c>
      <c r="F27" s="76"/>
      <c r="G27" s="80"/>
      <c r="H27" s="76"/>
      <c r="I27" s="76"/>
      <c r="J27" s="76"/>
    </row>
    <row r="28" spans="2:11" customFormat="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76"/>
      <c r="H28" s="76"/>
      <c r="I28" s="76"/>
      <c r="J28" s="76"/>
    </row>
    <row r="29" spans="2:11" customFormat="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 customFormat="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 customFormat="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 customFormat="1">
      <c r="B32" s="99" t="s">
        <v>23</v>
      </c>
      <c r="C32" s="11" t="s">
        <v>24</v>
      </c>
      <c r="D32" s="226">
        <v>9031.4500000000007</v>
      </c>
      <c r="E32" s="264">
        <f>SUM(E33:E39)</f>
        <v>30296.14</v>
      </c>
      <c r="F32" s="76"/>
      <c r="G32" s="80"/>
      <c r="H32" s="76"/>
      <c r="I32" s="76"/>
      <c r="J32" s="76"/>
    </row>
    <row r="33" spans="2:10" customFormat="1">
      <c r="B33" s="199" t="s">
        <v>4</v>
      </c>
      <c r="C33" s="192" t="s">
        <v>25</v>
      </c>
      <c r="D33" s="227">
        <v>8309.26</v>
      </c>
      <c r="E33" s="265">
        <v>29622.94</v>
      </c>
      <c r="F33" s="76"/>
      <c r="G33" s="76"/>
      <c r="H33" s="76"/>
      <c r="I33" s="76"/>
      <c r="J33" s="76"/>
    </row>
    <row r="34" spans="2:10" customFormat="1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 customFormat="1">
      <c r="B35" s="199" t="s">
        <v>8</v>
      </c>
      <c r="C35" s="192" t="s">
        <v>27</v>
      </c>
      <c r="D35" s="227">
        <v>155.66999999999999</v>
      </c>
      <c r="E35" s="265">
        <v>148.81</v>
      </c>
      <c r="F35" s="76"/>
      <c r="G35" s="76"/>
      <c r="H35" s="76"/>
      <c r="I35" s="76"/>
      <c r="J35" s="76"/>
    </row>
    <row r="36" spans="2:10" customFormat="1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customFormat="1" ht="25.5">
      <c r="B37" s="199" t="s">
        <v>29</v>
      </c>
      <c r="C37" s="192" t="s">
        <v>30</v>
      </c>
      <c r="D37" s="227">
        <v>566.52</v>
      </c>
      <c r="E37" s="265">
        <v>524.39</v>
      </c>
      <c r="F37" s="76"/>
      <c r="G37" s="76"/>
      <c r="H37" s="76"/>
      <c r="I37" s="76"/>
      <c r="J37" s="76"/>
    </row>
    <row r="38" spans="2:10" customFormat="1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 customFormat="1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customFormat="1" ht="13.5" thickBot="1">
      <c r="B40" s="104" t="s">
        <v>35</v>
      </c>
      <c r="C40" s="105" t="s">
        <v>36</v>
      </c>
      <c r="D40" s="229">
        <v>3997.68</v>
      </c>
      <c r="E40" s="271">
        <v>3992.74</v>
      </c>
      <c r="G40" s="80"/>
    </row>
    <row r="41" spans="2:10" customFormat="1" ht="13.5" thickBot="1">
      <c r="B41" s="106" t="s">
        <v>37</v>
      </c>
      <c r="C41" s="107" t="s">
        <v>38</v>
      </c>
      <c r="D41" s="230">
        <v>64871.330000000009</v>
      </c>
      <c r="E41" s="155">
        <f>E26+E27+E40</f>
        <v>34242.659999999996</v>
      </c>
      <c r="F41" s="83"/>
      <c r="G41" s="80"/>
    </row>
    <row r="42" spans="2:10" customFormat="1">
      <c r="B42" s="100"/>
      <c r="C42" s="100"/>
      <c r="D42" s="101"/>
      <c r="E42" s="101"/>
      <c r="F42" s="83"/>
      <c r="G42" s="70"/>
    </row>
    <row r="43" spans="2:10" customFormat="1" ht="13.5">
      <c r="B43" s="500" t="s">
        <v>60</v>
      </c>
      <c r="C43" s="512"/>
      <c r="D43" s="512"/>
      <c r="E43" s="512"/>
      <c r="G43" s="76"/>
    </row>
    <row r="44" spans="2:10" customFormat="1" ht="18" customHeight="1" thickBot="1">
      <c r="B44" s="498" t="s">
        <v>121</v>
      </c>
      <c r="C44" s="511"/>
      <c r="D44" s="511"/>
      <c r="E44" s="511"/>
      <c r="G44" s="76"/>
    </row>
    <row r="45" spans="2:10" customFormat="1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 customFormat="1">
      <c r="B46" s="13" t="s">
        <v>18</v>
      </c>
      <c r="C46" s="31" t="s">
        <v>112</v>
      </c>
      <c r="D46" s="108"/>
      <c r="E46" s="28"/>
      <c r="G46" s="76"/>
    </row>
    <row r="47" spans="2:10" customFormat="1">
      <c r="B47" s="202" t="s">
        <v>4</v>
      </c>
      <c r="C47" s="203" t="s">
        <v>40</v>
      </c>
      <c r="D47" s="231">
        <v>2059.6671000000001</v>
      </c>
      <c r="E47" s="156">
        <v>1778.6739</v>
      </c>
      <c r="G47" s="76"/>
    </row>
    <row r="48" spans="2:10" customFormat="1">
      <c r="B48" s="204" t="s">
        <v>6</v>
      </c>
      <c r="C48" s="205" t="s">
        <v>41</v>
      </c>
      <c r="D48" s="232">
        <v>1798.4843000000001</v>
      </c>
      <c r="E48" s="339">
        <v>934.82550000000003</v>
      </c>
      <c r="G48" s="76"/>
    </row>
    <row r="49" spans="2:7" customFormat="1">
      <c r="B49" s="127" t="s">
        <v>23</v>
      </c>
      <c r="C49" s="131" t="s">
        <v>113</v>
      </c>
      <c r="D49" s="233"/>
      <c r="E49" s="280"/>
    </row>
    <row r="50" spans="2:7" customFormat="1">
      <c r="B50" s="202" t="s">
        <v>4</v>
      </c>
      <c r="C50" s="203" t="s">
        <v>40</v>
      </c>
      <c r="D50" s="231">
        <v>33.94</v>
      </c>
      <c r="E50" s="156">
        <v>34.04</v>
      </c>
      <c r="G50" s="190"/>
    </row>
    <row r="51" spans="2:7" customFormat="1">
      <c r="B51" s="202" t="s">
        <v>6</v>
      </c>
      <c r="C51" s="203" t="s">
        <v>114</v>
      </c>
      <c r="D51" s="234">
        <v>33.94</v>
      </c>
      <c r="E51" s="81">
        <v>33.81</v>
      </c>
      <c r="G51" s="190"/>
    </row>
    <row r="52" spans="2:7" customFormat="1">
      <c r="B52" s="202" t="s">
        <v>8</v>
      </c>
      <c r="C52" s="203" t="s">
        <v>115</v>
      </c>
      <c r="D52" s="234">
        <v>36.68</v>
      </c>
      <c r="E52" s="81">
        <v>36.869999999999997</v>
      </c>
    </row>
    <row r="53" spans="2:7" customFormat="1" ht="13.5" thickBot="1">
      <c r="B53" s="206" t="s">
        <v>9</v>
      </c>
      <c r="C53" s="207" t="s">
        <v>41</v>
      </c>
      <c r="D53" s="235">
        <v>36.07</v>
      </c>
      <c r="E53" s="347">
        <v>36.630000000000003</v>
      </c>
    </row>
    <row r="54" spans="2:7" customFormat="1">
      <c r="B54" s="116"/>
      <c r="C54" s="117"/>
      <c r="D54" s="118"/>
      <c r="E54" s="118"/>
    </row>
    <row r="55" spans="2:7" customFormat="1" ht="13.5">
      <c r="B55" s="500" t="s">
        <v>62</v>
      </c>
      <c r="C55" s="501"/>
      <c r="D55" s="501"/>
      <c r="E55" s="501"/>
    </row>
    <row r="56" spans="2:7" customFormat="1" ht="14.25" thickBot="1">
      <c r="B56" s="498" t="s">
        <v>116</v>
      </c>
      <c r="C56" s="502"/>
      <c r="D56" s="502"/>
      <c r="E56" s="502"/>
    </row>
    <row r="57" spans="2:7" customFormat="1" ht="23.25" thickBot="1">
      <c r="B57" s="493" t="s">
        <v>42</v>
      </c>
      <c r="C57" s="494"/>
      <c r="D57" s="18" t="s">
        <v>122</v>
      </c>
      <c r="E57" s="19" t="s">
        <v>117</v>
      </c>
    </row>
    <row r="58" spans="2:7" customFormat="1">
      <c r="B58" s="20" t="s">
        <v>18</v>
      </c>
      <c r="C58" s="133" t="s">
        <v>43</v>
      </c>
      <c r="D58" s="134">
        <f>D64</f>
        <v>34242.660000000003</v>
      </c>
      <c r="E58" s="32">
        <f>D58/E21</f>
        <v>1</v>
      </c>
    </row>
    <row r="59" spans="2:7" customFormat="1" ht="25.5">
      <c r="B59" s="130" t="s">
        <v>4</v>
      </c>
      <c r="C59" s="22" t="s">
        <v>44</v>
      </c>
      <c r="D59" s="86">
        <v>0</v>
      </c>
      <c r="E59" s="87">
        <v>0</v>
      </c>
    </row>
    <row r="60" spans="2:7" customFormat="1" ht="25.5">
      <c r="B60" s="109" t="s">
        <v>6</v>
      </c>
      <c r="C60" s="15" t="s">
        <v>45</v>
      </c>
      <c r="D60" s="84">
        <v>0</v>
      </c>
      <c r="E60" s="85">
        <v>0</v>
      </c>
    </row>
    <row r="61" spans="2:7" customFormat="1">
      <c r="B61" s="109" t="s">
        <v>8</v>
      </c>
      <c r="C61" s="15" t="s">
        <v>46</v>
      </c>
      <c r="D61" s="84">
        <v>0</v>
      </c>
      <c r="E61" s="85">
        <v>0</v>
      </c>
    </row>
    <row r="62" spans="2:7" customFormat="1">
      <c r="B62" s="109" t="s">
        <v>9</v>
      </c>
      <c r="C62" s="15" t="s">
        <v>47</v>
      </c>
      <c r="D62" s="84">
        <v>0</v>
      </c>
      <c r="E62" s="85">
        <v>0</v>
      </c>
    </row>
    <row r="63" spans="2:7" customFormat="1">
      <c r="B63" s="109" t="s">
        <v>29</v>
      </c>
      <c r="C63" s="15" t="s">
        <v>48</v>
      </c>
      <c r="D63" s="84">
        <v>0</v>
      </c>
      <c r="E63" s="85">
        <v>0</v>
      </c>
    </row>
    <row r="64" spans="2:7" customFormat="1">
      <c r="B64" s="130" t="s">
        <v>31</v>
      </c>
      <c r="C64" s="22" t="s">
        <v>49</v>
      </c>
      <c r="D64" s="86">
        <f>E21</f>
        <v>34242.660000000003</v>
      </c>
      <c r="E64" s="87">
        <f>E58</f>
        <v>1</v>
      </c>
    </row>
    <row r="65" spans="2:5" customFormat="1">
      <c r="B65" s="130" t="s">
        <v>33</v>
      </c>
      <c r="C65" s="22" t="s">
        <v>118</v>
      </c>
      <c r="D65" s="86">
        <v>0</v>
      </c>
      <c r="E65" s="87">
        <v>0</v>
      </c>
    </row>
    <row r="66" spans="2:5" customFormat="1">
      <c r="B66" s="130" t="s">
        <v>50</v>
      </c>
      <c r="C66" s="22" t="s">
        <v>51</v>
      </c>
      <c r="D66" s="86">
        <v>0</v>
      </c>
      <c r="E66" s="87">
        <v>0</v>
      </c>
    </row>
    <row r="67" spans="2:5" customFormat="1">
      <c r="B67" s="109" t="s">
        <v>52</v>
      </c>
      <c r="C67" s="15" t="s">
        <v>53</v>
      </c>
      <c r="D67" s="84">
        <v>0</v>
      </c>
      <c r="E67" s="85">
        <v>0</v>
      </c>
    </row>
    <row r="68" spans="2:5" customFormat="1">
      <c r="B68" s="109" t="s">
        <v>54</v>
      </c>
      <c r="C68" s="15" t="s">
        <v>55</v>
      </c>
      <c r="D68" s="84">
        <v>0</v>
      </c>
      <c r="E68" s="85">
        <v>0</v>
      </c>
    </row>
    <row r="69" spans="2:5" customFormat="1">
      <c r="B69" s="109" t="s">
        <v>56</v>
      </c>
      <c r="C69" s="15" t="s">
        <v>57</v>
      </c>
      <c r="D69" s="320">
        <v>0</v>
      </c>
      <c r="E69" s="85">
        <v>0</v>
      </c>
    </row>
    <row r="70" spans="2:5" customFormat="1">
      <c r="B70" s="136" t="s">
        <v>58</v>
      </c>
      <c r="C70" s="120" t="s">
        <v>59</v>
      </c>
      <c r="D70" s="121">
        <v>0</v>
      </c>
      <c r="E70" s="122">
        <v>0</v>
      </c>
    </row>
    <row r="71" spans="2:5" customFormat="1">
      <c r="B71" s="137" t="s">
        <v>23</v>
      </c>
      <c r="C71" s="128" t="s">
        <v>61</v>
      </c>
      <c r="D71" s="129">
        <v>0</v>
      </c>
      <c r="E71" s="69">
        <v>0</v>
      </c>
    </row>
    <row r="72" spans="2:5" customFormat="1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 customFormat="1">
      <c r="B73" s="139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37" t="s">
        <v>64</v>
      </c>
      <c r="C74" s="128" t="s">
        <v>66</v>
      </c>
      <c r="D74" s="129">
        <f>D58</f>
        <v>34242.660000000003</v>
      </c>
      <c r="E74" s="69">
        <f>E58+E72-E73</f>
        <v>1</v>
      </c>
    </row>
    <row r="75" spans="2:5" customFormat="1">
      <c r="B75" s="109" t="s">
        <v>4</v>
      </c>
      <c r="C75" s="15" t="s">
        <v>67</v>
      </c>
      <c r="D75" s="84">
        <f>D74</f>
        <v>34242.660000000003</v>
      </c>
      <c r="E75" s="85">
        <f>E74</f>
        <v>1</v>
      </c>
    </row>
    <row r="76" spans="2:5" customFormat="1">
      <c r="B76" s="109" t="s">
        <v>6</v>
      </c>
      <c r="C76" s="15" t="s">
        <v>119</v>
      </c>
      <c r="D76" s="84">
        <v>0</v>
      </c>
      <c r="E76" s="85">
        <v>0</v>
      </c>
    </row>
    <row r="77" spans="2:5" customFormat="1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L81"/>
  <sheetViews>
    <sheetView zoomScale="80" zoomScaleNormal="80" workbookViewId="0">
      <selection activeCell="H41" sqref="H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7.5703125" customWidth="1"/>
    <col min="12" max="12" width="13.140625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2"/>
      <c r="C4" s="92"/>
      <c r="D4" s="92"/>
      <c r="E4" s="92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89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3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44504440.580000006</v>
      </c>
      <c r="E11" s="284">
        <f>SUM(E12:E14)</f>
        <v>46826427.180000007</v>
      </c>
    </row>
    <row r="12" spans="2:12">
      <c r="B12" s="113" t="s">
        <v>4</v>
      </c>
      <c r="C12" s="6" t="s">
        <v>5</v>
      </c>
      <c r="D12" s="329">
        <v>44255383.950000003</v>
      </c>
      <c r="E12" s="353">
        <f>46989761.13+162597.45+4.45-466838.27</f>
        <v>46685524.760000005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>
        <v>249056.63</v>
      </c>
      <c r="E14" s="354">
        <f>E15</f>
        <v>140902.42000000001</v>
      </c>
    </row>
    <row r="15" spans="2:12">
      <c r="B15" s="113" t="s">
        <v>106</v>
      </c>
      <c r="C15" s="71" t="s">
        <v>11</v>
      </c>
      <c r="D15" s="322">
        <v>249056.63</v>
      </c>
      <c r="E15" s="354">
        <v>140902.42000000001</v>
      </c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>
        <v>88766.38</v>
      </c>
      <c r="E17" s="356">
        <f>E18</f>
        <v>85783.73</v>
      </c>
    </row>
    <row r="18" spans="2:11">
      <c r="B18" s="113" t="s">
        <v>4</v>
      </c>
      <c r="C18" s="6" t="s">
        <v>11</v>
      </c>
      <c r="D18" s="324">
        <v>88766.38</v>
      </c>
      <c r="E18" s="355">
        <v>85783.73</v>
      </c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44415674.200000003</v>
      </c>
      <c r="E21" s="155">
        <f>E11-E17</f>
        <v>46740643.45000001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5.75">
      <c r="B23" s="499"/>
      <c r="C23" s="507"/>
      <c r="D23" s="507"/>
      <c r="E23" s="507"/>
      <c r="G23" s="76"/>
    </row>
    <row r="24" spans="2:11" ht="17.25" customHeight="1" thickBot="1">
      <c r="B24" s="498" t="s">
        <v>105</v>
      </c>
      <c r="C24" s="508"/>
      <c r="D24" s="508"/>
      <c r="E24" s="508"/>
    </row>
    <row r="25" spans="2:11" ht="13.5" thickBot="1">
      <c r="B25" s="93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53236558.090000004</v>
      </c>
      <c r="E26" s="270">
        <f>D21</f>
        <v>44415674.200000003</v>
      </c>
      <c r="G26" s="80"/>
    </row>
    <row r="27" spans="2:11">
      <c r="B27" s="9" t="s">
        <v>17</v>
      </c>
      <c r="C27" s="10" t="s">
        <v>111</v>
      </c>
      <c r="D27" s="226">
        <v>-477412.99000000022</v>
      </c>
      <c r="E27" s="263">
        <f>E28-E32</f>
        <v>-462934.54999999981</v>
      </c>
      <c r="F27" s="76"/>
      <c r="G27" s="160"/>
      <c r="H27" s="359"/>
      <c r="I27" s="359"/>
      <c r="J27" s="359"/>
    </row>
    <row r="28" spans="2:11">
      <c r="B28" s="9" t="s">
        <v>18</v>
      </c>
      <c r="C28" s="10" t="s">
        <v>19</v>
      </c>
      <c r="D28" s="226">
        <v>6185389.0899999999</v>
      </c>
      <c r="E28" s="264">
        <f>SUM(E29:E31)</f>
        <v>4745693.71</v>
      </c>
      <c r="F28" s="76"/>
      <c r="G28" s="160"/>
      <c r="H28" s="359"/>
      <c r="I28" s="359"/>
      <c r="J28" s="359"/>
    </row>
    <row r="29" spans="2:11">
      <c r="B29" s="111" t="s">
        <v>4</v>
      </c>
      <c r="C29" s="6" t="s">
        <v>20</v>
      </c>
      <c r="D29" s="227">
        <v>4953420.3100000005</v>
      </c>
      <c r="E29" s="265">
        <v>4325430.5199999996</v>
      </c>
      <c r="F29" s="76"/>
      <c r="G29" s="160"/>
      <c r="H29" s="359"/>
      <c r="I29" s="359"/>
      <c r="J29" s="359"/>
    </row>
    <row r="30" spans="2:11">
      <c r="B30" s="111" t="s">
        <v>6</v>
      </c>
      <c r="C30" s="6" t="s">
        <v>21</v>
      </c>
      <c r="D30" s="227"/>
      <c r="E30" s="265"/>
      <c r="F30" s="76"/>
      <c r="G30" s="160"/>
      <c r="H30" s="359"/>
      <c r="I30" s="359"/>
      <c r="J30" s="359"/>
    </row>
    <row r="31" spans="2:11">
      <c r="B31" s="111" t="s">
        <v>8</v>
      </c>
      <c r="C31" s="6" t="s">
        <v>22</v>
      </c>
      <c r="D31" s="227">
        <v>1231968.7799999998</v>
      </c>
      <c r="E31" s="265">
        <v>420263.19</v>
      </c>
      <c r="F31" s="76"/>
      <c r="G31" s="160"/>
      <c r="H31" s="359"/>
      <c r="I31" s="359"/>
      <c r="J31" s="359"/>
    </row>
    <row r="32" spans="2:11">
      <c r="B32" s="99" t="s">
        <v>23</v>
      </c>
      <c r="C32" s="11" t="s">
        <v>24</v>
      </c>
      <c r="D32" s="226">
        <v>6662802.0800000001</v>
      </c>
      <c r="E32" s="264">
        <f>SUM(E33:E39)</f>
        <v>5208628.26</v>
      </c>
      <c r="F32" s="76"/>
      <c r="G32" s="160"/>
      <c r="H32" s="359"/>
      <c r="I32" s="359"/>
      <c r="J32" s="359"/>
    </row>
    <row r="33" spans="2:10">
      <c r="B33" s="111" t="s">
        <v>4</v>
      </c>
      <c r="C33" s="6" t="s">
        <v>25</v>
      </c>
      <c r="D33" s="227">
        <v>5239280.9000000004</v>
      </c>
      <c r="E33" s="265">
        <f>3697657.75-1625.42</f>
        <v>3696032.33</v>
      </c>
      <c r="F33" s="76"/>
      <c r="G33" s="160"/>
      <c r="H33" s="359"/>
      <c r="I33" s="359"/>
      <c r="J33" s="359"/>
    </row>
    <row r="34" spans="2:10">
      <c r="B34" s="111" t="s">
        <v>6</v>
      </c>
      <c r="C34" s="6" t="s">
        <v>26</v>
      </c>
      <c r="D34" s="227"/>
      <c r="E34" s="265"/>
      <c r="F34" s="76"/>
      <c r="G34" s="160"/>
      <c r="H34" s="359"/>
      <c r="I34" s="359"/>
      <c r="J34" s="359"/>
    </row>
    <row r="35" spans="2:10">
      <c r="B35" s="111" t="s">
        <v>8</v>
      </c>
      <c r="C35" s="6" t="s">
        <v>27</v>
      </c>
      <c r="D35" s="227">
        <v>674843.84000000008</v>
      </c>
      <c r="E35" s="265">
        <v>601913.13</v>
      </c>
      <c r="F35" s="76"/>
      <c r="G35" s="160"/>
      <c r="H35" s="359"/>
      <c r="I35" s="359"/>
      <c r="J35" s="359"/>
    </row>
    <row r="36" spans="2:10">
      <c r="B36" s="111" t="s">
        <v>9</v>
      </c>
      <c r="C36" s="6" t="s">
        <v>28</v>
      </c>
      <c r="D36" s="227"/>
      <c r="E36" s="265"/>
      <c r="F36" s="76"/>
      <c r="G36" s="160"/>
      <c r="H36" s="359"/>
      <c r="I36" s="359"/>
      <c r="J36" s="359"/>
    </row>
    <row r="37" spans="2:10" ht="25.5">
      <c r="B37" s="111" t="s">
        <v>29</v>
      </c>
      <c r="C37" s="6" t="s">
        <v>30</v>
      </c>
      <c r="D37" s="227"/>
      <c r="E37" s="265"/>
      <c r="F37" s="76"/>
      <c r="G37" s="160"/>
      <c r="H37" s="359"/>
      <c r="I37" s="359"/>
      <c r="J37" s="359"/>
    </row>
    <row r="38" spans="2:10">
      <c r="B38" s="111" t="s">
        <v>31</v>
      </c>
      <c r="C38" s="6" t="s">
        <v>32</v>
      </c>
      <c r="D38" s="227"/>
      <c r="E38" s="265"/>
      <c r="F38" s="76"/>
      <c r="G38" s="160"/>
      <c r="H38" s="359"/>
      <c r="I38" s="359"/>
      <c r="J38" s="359"/>
    </row>
    <row r="39" spans="2:10">
      <c r="B39" s="112" t="s">
        <v>33</v>
      </c>
      <c r="C39" s="12" t="s">
        <v>34</v>
      </c>
      <c r="D39" s="228">
        <v>748677.34</v>
      </c>
      <c r="E39" s="266">
        <v>910682.8</v>
      </c>
      <c r="F39" s="76"/>
      <c r="G39" s="160"/>
      <c r="H39" s="359"/>
      <c r="I39" s="359"/>
      <c r="J39" s="359"/>
    </row>
    <row r="40" spans="2:10" ht="13.5" thickBot="1">
      <c r="B40" s="104" t="s">
        <v>35</v>
      </c>
      <c r="C40" s="105" t="s">
        <v>36</v>
      </c>
      <c r="D40" s="229">
        <v>-1831007.64</v>
      </c>
      <c r="E40" s="271">
        <v>2787903.8</v>
      </c>
      <c r="G40" s="160"/>
      <c r="H40" s="190"/>
      <c r="I40" s="190"/>
      <c r="J40" s="190"/>
    </row>
    <row r="41" spans="2:10" ht="13.5" thickBot="1">
      <c r="B41" s="106" t="s">
        <v>37</v>
      </c>
      <c r="C41" s="107" t="s">
        <v>38</v>
      </c>
      <c r="D41" s="230">
        <v>50928137.460000001</v>
      </c>
      <c r="E41" s="155">
        <f>E26+E27+E40</f>
        <v>46740643.450000003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7.25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3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3853115.5855999999</v>
      </c>
      <c r="E47" s="79">
        <v>3858232.0539199999</v>
      </c>
      <c r="G47" s="211"/>
    </row>
    <row r="48" spans="2:10">
      <c r="B48" s="130" t="s">
        <v>6</v>
      </c>
      <c r="C48" s="22" t="s">
        <v>41</v>
      </c>
      <c r="D48" s="232">
        <v>3818195.3357799998</v>
      </c>
      <c r="E48" s="317">
        <v>3822896.4503332935</v>
      </c>
      <c r="G48" s="213"/>
    </row>
    <row r="49" spans="2:7">
      <c r="B49" s="127" t="s">
        <v>23</v>
      </c>
      <c r="C49" s="131" t="s">
        <v>113</v>
      </c>
      <c r="D49" s="233"/>
      <c r="E49" s="79"/>
    </row>
    <row r="50" spans="2:7">
      <c r="B50" s="109" t="s">
        <v>4</v>
      </c>
      <c r="C50" s="15" t="s">
        <v>40</v>
      </c>
      <c r="D50" s="231">
        <v>13.8164965226125</v>
      </c>
      <c r="E50" s="79">
        <v>11.5119240054296</v>
      </c>
      <c r="G50" s="239"/>
    </row>
    <row r="51" spans="2:7">
      <c r="B51" s="109" t="s">
        <v>6</v>
      </c>
      <c r="C51" s="15" t="s">
        <v>114</v>
      </c>
      <c r="D51" s="311">
        <v>13.0543</v>
      </c>
      <c r="E51" s="79">
        <v>11.438000000000001</v>
      </c>
      <c r="G51" s="190"/>
    </row>
    <row r="52" spans="2:7">
      <c r="B52" s="109" t="s">
        <v>8</v>
      </c>
      <c r="C52" s="15" t="s">
        <v>115</v>
      </c>
      <c r="D52" s="311">
        <v>14.295</v>
      </c>
      <c r="E52" s="79">
        <v>12.8484</v>
      </c>
    </row>
    <row r="53" spans="2:7" ht="13.5" thickBot="1">
      <c r="B53" s="110" t="s">
        <v>9</v>
      </c>
      <c r="C53" s="17" t="s">
        <v>41</v>
      </c>
      <c r="D53" s="235">
        <v>13.3382744938993</v>
      </c>
      <c r="E53" s="272">
        <v>12.2265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8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SUM(D59:D70)</f>
        <v>46685524.759999998</v>
      </c>
      <c r="E58" s="32">
        <f>D58/E21</f>
        <v>0.99882075457392938</v>
      </c>
    </row>
    <row r="59" spans="2:7" ht="25.5">
      <c r="B59" s="21" t="s">
        <v>4</v>
      </c>
      <c r="C59" s="22" t="s">
        <v>44</v>
      </c>
      <c r="D59" s="86">
        <v>0</v>
      </c>
      <c r="E59" s="87">
        <v>0</v>
      </c>
    </row>
    <row r="60" spans="2:7" ht="24" customHeight="1">
      <c r="B60" s="14" t="s">
        <v>6</v>
      </c>
      <c r="C60" s="15" t="s">
        <v>45</v>
      </c>
      <c r="D60" s="84">
        <v>0</v>
      </c>
      <c r="E60" s="85">
        <v>0</v>
      </c>
    </row>
    <row r="61" spans="2:7">
      <c r="B61" s="14" t="s">
        <v>8</v>
      </c>
      <c r="C61" s="15" t="s">
        <v>46</v>
      </c>
      <c r="D61" s="84">
        <v>0</v>
      </c>
      <c r="E61" s="85">
        <v>0</v>
      </c>
    </row>
    <row r="62" spans="2:7">
      <c r="B62" s="14" t="s">
        <v>9</v>
      </c>
      <c r="C62" s="15" t="s">
        <v>47</v>
      </c>
      <c r="D62" s="84">
        <v>0</v>
      </c>
      <c r="E62" s="85">
        <v>0</v>
      </c>
    </row>
    <row r="63" spans="2:7">
      <c r="B63" s="14" t="s">
        <v>29</v>
      </c>
      <c r="C63" s="15" t="s">
        <v>48</v>
      </c>
      <c r="D63" s="84">
        <v>0</v>
      </c>
      <c r="E63" s="85">
        <v>0</v>
      </c>
    </row>
    <row r="64" spans="2:7">
      <c r="B64" s="21" t="s">
        <v>31</v>
      </c>
      <c r="C64" s="22" t="s">
        <v>49</v>
      </c>
      <c r="D64" s="160">
        <f>46989761.13-466838.27</f>
        <v>46522922.859999999</v>
      </c>
      <c r="E64" s="87">
        <f>D64/E21</f>
        <v>0.99534194281615074</v>
      </c>
    </row>
    <row r="65" spans="2:5">
      <c r="B65" s="21" t="s">
        <v>33</v>
      </c>
      <c r="C65" s="22" t="s">
        <v>118</v>
      </c>
      <c r="D65" s="86">
        <v>0</v>
      </c>
      <c r="E65" s="87">
        <v>0</v>
      </c>
    </row>
    <row r="66" spans="2:5">
      <c r="B66" s="21" t="s">
        <v>50</v>
      </c>
      <c r="C66" s="22" t="s">
        <v>51</v>
      </c>
      <c r="D66" s="86">
        <v>0</v>
      </c>
      <c r="E66" s="87">
        <v>0</v>
      </c>
    </row>
    <row r="67" spans="2:5">
      <c r="B67" s="14" t="s">
        <v>52</v>
      </c>
      <c r="C67" s="15" t="s">
        <v>53</v>
      </c>
      <c r="D67" s="84">
        <v>0</v>
      </c>
      <c r="E67" s="85">
        <v>0</v>
      </c>
    </row>
    <row r="68" spans="2:5">
      <c r="B68" s="14" t="s">
        <v>54</v>
      </c>
      <c r="C68" s="15" t="s">
        <v>55</v>
      </c>
      <c r="D68" s="84">
        <v>0</v>
      </c>
      <c r="E68" s="85">
        <v>0</v>
      </c>
    </row>
    <row r="69" spans="2:5">
      <c r="B69" s="14" t="s">
        <v>56</v>
      </c>
      <c r="C69" s="15" t="s">
        <v>57</v>
      </c>
      <c r="D69" s="335">
        <v>162601.90000000002</v>
      </c>
      <c r="E69" s="85">
        <f>D69/E21</f>
        <v>3.4788117577786572E-3</v>
      </c>
    </row>
    <row r="70" spans="2:5">
      <c r="B70" s="119" t="s">
        <v>58</v>
      </c>
      <c r="C70" s="120" t="s">
        <v>59</v>
      </c>
      <c r="D70" s="121">
        <v>0</v>
      </c>
      <c r="E70" s="122">
        <v>0</v>
      </c>
    </row>
    <row r="71" spans="2:5">
      <c r="B71" s="127" t="s">
        <v>23</v>
      </c>
      <c r="C71" s="128" t="s">
        <v>61</v>
      </c>
      <c r="D71" s="129">
        <f>E13</f>
        <v>0</v>
      </c>
      <c r="E71" s="69">
        <v>0</v>
      </c>
    </row>
    <row r="72" spans="2:5">
      <c r="B72" s="123" t="s">
        <v>60</v>
      </c>
      <c r="C72" s="124" t="s">
        <v>63</v>
      </c>
      <c r="D72" s="125">
        <f>E14</f>
        <v>140902.42000000001</v>
      </c>
      <c r="E72" s="126">
        <f>D72/E21</f>
        <v>3.0145588421504705E-3</v>
      </c>
    </row>
    <row r="73" spans="2:5">
      <c r="B73" s="23" t="s">
        <v>62</v>
      </c>
      <c r="C73" s="24" t="s">
        <v>65</v>
      </c>
      <c r="D73" s="25">
        <f>E17</f>
        <v>85783.73</v>
      </c>
      <c r="E73" s="26">
        <f>D73/E21</f>
        <v>1.8353134160800685E-3</v>
      </c>
    </row>
    <row r="74" spans="2:5">
      <c r="B74" s="127" t="s">
        <v>64</v>
      </c>
      <c r="C74" s="128" t="s">
        <v>66</v>
      </c>
      <c r="D74" s="129">
        <f>D58+D71+D72-D73</f>
        <v>46740643.450000003</v>
      </c>
      <c r="E74" s="69">
        <f>E58+E72-E73</f>
        <v>0.99999999999999967</v>
      </c>
    </row>
    <row r="75" spans="2:5">
      <c r="B75" s="14" t="s">
        <v>4</v>
      </c>
      <c r="C75" s="15" t="s">
        <v>67</v>
      </c>
      <c r="D75" s="84">
        <f>D74</f>
        <v>46740643.450000003</v>
      </c>
      <c r="E75" s="85">
        <f>E74</f>
        <v>0.99999999999999967</v>
      </c>
    </row>
    <row r="76" spans="2:5">
      <c r="B76" s="14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6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2" right="0.75" top="0.52" bottom="0.47" header="0.5" footer="0.5"/>
  <pageSetup paperSize="9" scale="70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="80" zoomScaleNormal="80" workbookViewId="0">
      <selection activeCell="M43" sqref="M4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 customFormat="1">
      <c r="B1" s="1"/>
      <c r="C1" s="1"/>
      <c r="D1" s="2"/>
      <c r="E1" s="2"/>
    </row>
    <row r="2" spans="2:12" customFormat="1" ht="15.75">
      <c r="B2" s="495" t="s">
        <v>0</v>
      </c>
      <c r="C2" s="495"/>
      <c r="D2" s="495"/>
      <c r="E2" s="495"/>
      <c r="L2" s="76"/>
    </row>
    <row r="3" spans="2:12" customFormat="1" ht="15.75">
      <c r="B3" s="495" t="s">
        <v>144</v>
      </c>
      <c r="C3" s="495"/>
      <c r="D3" s="495"/>
      <c r="E3" s="495"/>
    </row>
    <row r="4" spans="2:12" customFormat="1" ht="15">
      <c r="B4" s="154"/>
      <c r="C4" s="154"/>
      <c r="D4" s="154"/>
      <c r="E4" s="154"/>
    </row>
    <row r="5" spans="2:12" customFormat="1" ht="14.25">
      <c r="B5" s="496" t="s">
        <v>1</v>
      </c>
      <c r="C5" s="496"/>
      <c r="D5" s="496"/>
      <c r="E5" s="496"/>
    </row>
    <row r="6" spans="2:12" customFormat="1" ht="14.25">
      <c r="B6" s="497" t="s">
        <v>270</v>
      </c>
      <c r="C6" s="497"/>
      <c r="D6" s="497"/>
      <c r="E6" s="497"/>
    </row>
    <row r="7" spans="2:12" customFormat="1" ht="14.25">
      <c r="B7" s="242"/>
      <c r="C7" s="242"/>
      <c r="D7" s="242"/>
      <c r="E7" s="242"/>
    </row>
    <row r="8" spans="2:12" customFormat="1" ht="13.5">
      <c r="B8" s="499" t="s">
        <v>18</v>
      </c>
      <c r="C8" s="501"/>
      <c r="D8" s="501"/>
      <c r="E8" s="501"/>
    </row>
    <row r="9" spans="2:12" customFormat="1" ht="16.5" thickBot="1">
      <c r="B9" s="498" t="s">
        <v>103</v>
      </c>
      <c r="C9" s="498"/>
      <c r="D9" s="498"/>
      <c r="E9" s="498"/>
      <c r="G9" s="167"/>
    </row>
    <row r="10" spans="2:12" customFormat="1" ht="13.5" thickBot="1">
      <c r="B10" s="241"/>
      <c r="C10" s="82" t="s">
        <v>2</v>
      </c>
      <c r="D10" s="73" t="s">
        <v>127</v>
      </c>
      <c r="E10" s="29" t="s">
        <v>145</v>
      </c>
    </row>
    <row r="11" spans="2:12" customFormat="1">
      <c r="B11" s="97" t="s">
        <v>3</v>
      </c>
      <c r="C11" s="135" t="s">
        <v>109</v>
      </c>
      <c r="D11" s="283"/>
      <c r="E11" s="284"/>
    </row>
    <row r="12" spans="2:12" customFormat="1">
      <c r="B12" s="191" t="s">
        <v>4</v>
      </c>
      <c r="C12" s="192" t="s">
        <v>5</v>
      </c>
      <c r="D12" s="329"/>
      <c r="E12" s="353"/>
    </row>
    <row r="13" spans="2:12" customFormat="1">
      <c r="B13" s="191" t="s">
        <v>6</v>
      </c>
      <c r="C13" s="193" t="s">
        <v>7</v>
      </c>
      <c r="D13" s="322"/>
      <c r="E13" s="354"/>
    </row>
    <row r="14" spans="2:12" customFormat="1">
      <c r="B14" s="191" t="s">
        <v>8</v>
      </c>
      <c r="C14" s="193" t="s">
        <v>10</v>
      </c>
      <c r="D14" s="322"/>
      <c r="E14" s="354"/>
      <c r="G14" s="70"/>
    </row>
    <row r="15" spans="2:12" customFormat="1">
      <c r="B15" s="191" t="s">
        <v>106</v>
      </c>
      <c r="C15" s="193" t="s">
        <v>11</v>
      </c>
      <c r="D15" s="322"/>
      <c r="E15" s="354"/>
    </row>
    <row r="16" spans="2:12" customFormat="1">
      <c r="B16" s="194" t="s">
        <v>107</v>
      </c>
      <c r="C16" s="195" t="s">
        <v>12</v>
      </c>
      <c r="D16" s="324"/>
      <c r="E16" s="355"/>
    </row>
    <row r="17" spans="2:11" customFormat="1">
      <c r="B17" s="9" t="s">
        <v>13</v>
      </c>
      <c r="C17" s="11" t="s">
        <v>65</v>
      </c>
      <c r="D17" s="325"/>
      <c r="E17" s="356"/>
    </row>
    <row r="18" spans="2:11" customFormat="1">
      <c r="B18" s="191" t="s">
        <v>4</v>
      </c>
      <c r="C18" s="192" t="s">
        <v>11</v>
      </c>
      <c r="D18" s="324"/>
      <c r="E18" s="355"/>
    </row>
    <row r="19" spans="2:11" customFormat="1" ht="15" customHeight="1">
      <c r="B19" s="191" t="s">
        <v>6</v>
      </c>
      <c r="C19" s="193" t="s">
        <v>108</v>
      </c>
      <c r="D19" s="322"/>
      <c r="E19" s="354"/>
    </row>
    <row r="20" spans="2:11" customFormat="1" ht="13.5" thickBot="1">
      <c r="B20" s="196" t="s">
        <v>8</v>
      </c>
      <c r="C20" s="197" t="s">
        <v>14</v>
      </c>
      <c r="D20" s="285"/>
      <c r="E20" s="286"/>
    </row>
    <row r="21" spans="2:11" customFormat="1" ht="13.5" thickBot="1">
      <c r="B21" s="505" t="s">
        <v>110</v>
      </c>
      <c r="C21" s="506"/>
      <c r="D21" s="287"/>
      <c r="E21" s="155"/>
      <c r="F21" s="83"/>
      <c r="G21" s="83"/>
      <c r="H21" s="176"/>
      <c r="J21" s="254"/>
      <c r="K21" s="70"/>
    </row>
    <row r="22" spans="2:11" customFormat="1">
      <c r="B22" s="3"/>
      <c r="C22" s="7"/>
      <c r="D22" s="8"/>
      <c r="E22" s="8"/>
      <c r="G22" s="169"/>
    </row>
    <row r="23" spans="2:11" customFormat="1" ht="13.5">
      <c r="B23" s="499" t="s">
        <v>104</v>
      </c>
      <c r="C23" s="509"/>
      <c r="D23" s="509"/>
      <c r="E23" s="509"/>
      <c r="G23" s="76"/>
    </row>
    <row r="24" spans="2:11" customFormat="1" ht="15.75" customHeight="1" thickBot="1">
      <c r="B24" s="498" t="s">
        <v>105</v>
      </c>
      <c r="C24" s="510"/>
      <c r="D24" s="510"/>
      <c r="E24" s="510"/>
    </row>
    <row r="25" spans="2:11" customFormat="1" ht="13.5" thickBot="1">
      <c r="B25" s="244"/>
      <c r="C25" s="198" t="s">
        <v>2</v>
      </c>
      <c r="D25" s="73" t="s">
        <v>125</v>
      </c>
      <c r="E25" s="29" t="s">
        <v>145</v>
      </c>
    </row>
    <row r="26" spans="2:11" customFormat="1">
      <c r="B26" s="102" t="s">
        <v>15</v>
      </c>
      <c r="C26" s="103" t="s">
        <v>16</v>
      </c>
      <c r="D26" s="225">
        <v>30289.21</v>
      </c>
      <c r="E26" s="270"/>
      <c r="G26" s="80"/>
    </row>
    <row r="27" spans="2:11" customFormat="1">
      <c r="B27" s="9" t="s">
        <v>17</v>
      </c>
      <c r="C27" s="10" t="s">
        <v>111</v>
      </c>
      <c r="D27" s="226">
        <v>-31198.41</v>
      </c>
      <c r="E27" s="263"/>
      <c r="F27" s="76"/>
      <c r="G27" s="80"/>
      <c r="H27" s="76"/>
      <c r="I27" s="76"/>
      <c r="J27" s="76"/>
    </row>
    <row r="28" spans="2:11" customFormat="1">
      <c r="B28" s="9" t="s">
        <v>18</v>
      </c>
      <c r="C28" s="10" t="s">
        <v>19</v>
      </c>
      <c r="D28" s="226">
        <v>0</v>
      </c>
      <c r="E28" s="264"/>
      <c r="F28" s="76"/>
      <c r="G28" s="76"/>
      <c r="H28" s="76"/>
      <c r="I28" s="76"/>
      <c r="J28" s="76"/>
    </row>
    <row r="29" spans="2:11" customFormat="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 customFormat="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 customFormat="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 customFormat="1">
      <c r="B32" s="99" t="s">
        <v>23</v>
      </c>
      <c r="C32" s="11" t="s">
        <v>24</v>
      </c>
      <c r="D32" s="226">
        <v>31198.41</v>
      </c>
      <c r="E32" s="264"/>
      <c r="F32" s="76"/>
      <c r="G32" s="80"/>
      <c r="H32" s="76"/>
      <c r="I32" s="76"/>
      <c r="J32" s="76"/>
    </row>
    <row r="33" spans="2:10" customFormat="1">
      <c r="B33" s="199" t="s">
        <v>4</v>
      </c>
      <c r="C33" s="192" t="s">
        <v>25</v>
      </c>
      <c r="D33" s="227"/>
      <c r="E33" s="265"/>
      <c r="F33" s="76"/>
      <c r="G33" s="76"/>
      <c r="H33" s="76"/>
      <c r="I33" s="76"/>
      <c r="J33" s="76"/>
    </row>
    <row r="34" spans="2:10" customFormat="1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 customFormat="1">
      <c r="B35" s="199" t="s">
        <v>8</v>
      </c>
      <c r="C35" s="192" t="s">
        <v>27</v>
      </c>
      <c r="D35" s="227">
        <v>7.67</v>
      </c>
      <c r="E35" s="265"/>
      <c r="F35" s="76"/>
      <c r="G35" s="76"/>
      <c r="H35" s="76"/>
      <c r="I35" s="76"/>
      <c r="J35" s="76"/>
    </row>
    <row r="36" spans="2:10" customFormat="1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customFormat="1" ht="25.5">
      <c r="B37" s="199" t="s">
        <v>29</v>
      </c>
      <c r="C37" s="192" t="s">
        <v>30</v>
      </c>
      <c r="D37" s="227"/>
      <c r="E37" s="265"/>
      <c r="F37" s="76"/>
      <c r="G37" s="76"/>
      <c r="H37" s="76"/>
      <c r="I37" s="76"/>
      <c r="J37" s="76"/>
    </row>
    <row r="38" spans="2:10" customFormat="1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 customFormat="1">
      <c r="B39" s="200" t="s">
        <v>33</v>
      </c>
      <c r="C39" s="201" t="s">
        <v>34</v>
      </c>
      <c r="D39" s="228">
        <v>31190.74</v>
      </c>
      <c r="E39" s="266"/>
      <c r="F39" s="76"/>
      <c r="G39" s="76"/>
      <c r="H39" s="76"/>
      <c r="I39" s="76"/>
      <c r="J39" s="76"/>
    </row>
    <row r="40" spans="2:10" customFormat="1" ht="13.5" thickBot="1">
      <c r="B40" s="104" t="s">
        <v>35</v>
      </c>
      <c r="C40" s="105" t="s">
        <v>36</v>
      </c>
      <c r="D40" s="229">
        <v>909.2</v>
      </c>
      <c r="E40" s="271"/>
      <c r="G40" s="80"/>
    </row>
    <row r="41" spans="2:10" customFormat="1" ht="13.5" thickBot="1">
      <c r="B41" s="106" t="s">
        <v>37</v>
      </c>
      <c r="C41" s="107" t="s">
        <v>38</v>
      </c>
      <c r="D41" s="230">
        <v>0</v>
      </c>
      <c r="E41" s="155"/>
      <c r="F41" s="83"/>
      <c r="G41" s="80"/>
    </row>
    <row r="42" spans="2:10" customFormat="1">
      <c r="B42" s="100"/>
      <c r="C42" s="100"/>
      <c r="D42" s="101"/>
      <c r="E42" s="101"/>
      <c r="F42" s="83"/>
      <c r="G42" s="70"/>
    </row>
    <row r="43" spans="2:10" customFormat="1" ht="13.5">
      <c r="B43" s="500" t="s">
        <v>60</v>
      </c>
      <c r="C43" s="512"/>
      <c r="D43" s="512"/>
      <c r="E43" s="512"/>
      <c r="G43" s="76"/>
    </row>
    <row r="44" spans="2:10" customFormat="1" ht="18" customHeight="1" thickBot="1">
      <c r="B44" s="498" t="s">
        <v>121</v>
      </c>
      <c r="C44" s="511"/>
      <c r="D44" s="511"/>
      <c r="E44" s="511"/>
      <c r="G44" s="76"/>
    </row>
    <row r="45" spans="2:10" customFormat="1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 customFormat="1">
      <c r="B46" s="13" t="s">
        <v>18</v>
      </c>
      <c r="C46" s="31" t="s">
        <v>112</v>
      </c>
      <c r="D46" s="108"/>
      <c r="E46" s="28"/>
      <c r="G46" s="76"/>
    </row>
    <row r="47" spans="2:10" customFormat="1">
      <c r="B47" s="202" t="s">
        <v>4</v>
      </c>
      <c r="C47" s="203" t="s">
        <v>40</v>
      </c>
      <c r="D47" s="231">
        <v>239.8955</v>
      </c>
      <c r="E47" s="156"/>
      <c r="G47" s="76"/>
    </row>
    <row r="48" spans="2:10" customFormat="1">
      <c r="B48" s="204" t="s">
        <v>6</v>
      </c>
      <c r="C48" s="205" t="s">
        <v>41</v>
      </c>
      <c r="D48" s="232"/>
      <c r="E48" s="156"/>
      <c r="G48" s="76"/>
    </row>
    <row r="49" spans="2:7" customFormat="1">
      <c r="B49" s="127" t="s">
        <v>23</v>
      </c>
      <c r="C49" s="131" t="s">
        <v>113</v>
      </c>
      <c r="D49" s="233"/>
      <c r="E49" s="156"/>
    </row>
    <row r="50" spans="2:7" customFormat="1">
      <c r="B50" s="202" t="s">
        <v>4</v>
      </c>
      <c r="C50" s="203" t="s">
        <v>40</v>
      </c>
      <c r="D50" s="231">
        <v>126.26</v>
      </c>
      <c r="E50" s="156"/>
      <c r="G50" s="190"/>
    </row>
    <row r="51" spans="2:7" customFormat="1">
      <c r="B51" s="202" t="s">
        <v>6</v>
      </c>
      <c r="C51" s="203" t="s">
        <v>114</v>
      </c>
      <c r="D51" s="234">
        <v>122.14</v>
      </c>
      <c r="E51" s="81"/>
      <c r="G51" s="190"/>
    </row>
    <row r="52" spans="2:7" customFormat="1">
      <c r="B52" s="202" t="s">
        <v>8</v>
      </c>
      <c r="C52" s="203" t="s">
        <v>115</v>
      </c>
      <c r="D52" s="234">
        <v>134.94</v>
      </c>
      <c r="E52" s="81"/>
    </row>
    <row r="53" spans="2:7" customFormat="1" ht="13.5" thickBot="1">
      <c r="B53" s="206" t="s">
        <v>9</v>
      </c>
      <c r="C53" s="207" t="s">
        <v>41</v>
      </c>
      <c r="D53" s="235"/>
      <c r="E53" s="272"/>
    </row>
    <row r="54" spans="2:7" customFormat="1">
      <c r="B54" s="116"/>
      <c r="C54" s="117"/>
      <c r="D54" s="118"/>
      <c r="E54" s="118"/>
    </row>
    <row r="55" spans="2:7" customFormat="1" ht="13.5">
      <c r="B55" s="500" t="s">
        <v>62</v>
      </c>
      <c r="C55" s="501"/>
      <c r="D55" s="501"/>
      <c r="E55" s="501"/>
    </row>
    <row r="56" spans="2:7" customFormat="1" ht="14.25" thickBot="1">
      <c r="B56" s="498" t="s">
        <v>116</v>
      </c>
      <c r="C56" s="502"/>
      <c r="D56" s="502"/>
      <c r="E56" s="502"/>
    </row>
    <row r="57" spans="2:7" customFormat="1" ht="23.25" thickBot="1">
      <c r="B57" s="493" t="s">
        <v>42</v>
      </c>
      <c r="C57" s="494"/>
      <c r="D57" s="18" t="s">
        <v>122</v>
      </c>
      <c r="E57" s="19" t="s">
        <v>117</v>
      </c>
    </row>
    <row r="58" spans="2:7" customFormat="1">
      <c r="B58" s="20" t="s">
        <v>18</v>
      </c>
      <c r="C58" s="133" t="s">
        <v>43</v>
      </c>
      <c r="D58" s="134">
        <v>0</v>
      </c>
      <c r="E58" s="32">
        <v>0</v>
      </c>
    </row>
    <row r="59" spans="2:7" customFormat="1" ht="25.5">
      <c r="B59" s="130" t="s">
        <v>4</v>
      </c>
      <c r="C59" s="22" t="s">
        <v>44</v>
      </c>
      <c r="D59" s="86">
        <v>0</v>
      </c>
      <c r="E59" s="87">
        <v>0</v>
      </c>
    </row>
    <row r="60" spans="2:7" customFormat="1" ht="25.5">
      <c r="B60" s="109" t="s">
        <v>6</v>
      </c>
      <c r="C60" s="15" t="s">
        <v>45</v>
      </c>
      <c r="D60" s="84">
        <v>0</v>
      </c>
      <c r="E60" s="85">
        <v>0</v>
      </c>
    </row>
    <row r="61" spans="2:7" customFormat="1">
      <c r="B61" s="109" t="s">
        <v>8</v>
      </c>
      <c r="C61" s="15" t="s">
        <v>46</v>
      </c>
      <c r="D61" s="84">
        <v>0</v>
      </c>
      <c r="E61" s="85">
        <v>0</v>
      </c>
    </row>
    <row r="62" spans="2:7" customFormat="1">
      <c r="B62" s="109" t="s">
        <v>9</v>
      </c>
      <c r="C62" s="15" t="s">
        <v>47</v>
      </c>
      <c r="D62" s="84">
        <v>0</v>
      </c>
      <c r="E62" s="85">
        <v>0</v>
      </c>
    </row>
    <row r="63" spans="2:7" customFormat="1">
      <c r="B63" s="109" t="s">
        <v>29</v>
      </c>
      <c r="C63" s="15" t="s">
        <v>48</v>
      </c>
      <c r="D63" s="84">
        <v>0</v>
      </c>
      <c r="E63" s="85">
        <v>0</v>
      </c>
    </row>
    <row r="64" spans="2:7" customFormat="1">
      <c r="B64" s="130" t="s">
        <v>31</v>
      </c>
      <c r="C64" s="22" t="s">
        <v>49</v>
      </c>
      <c r="D64" s="86">
        <v>0</v>
      </c>
      <c r="E64" s="87">
        <f>E58</f>
        <v>0</v>
      </c>
    </row>
    <row r="65" spans="2:5" customFormat="1">
      <c r="B65" s="130" t="s">
        <v>33</v>
      </c>
      <c r="C65" s="22" t="s">
        <v>118</v>
      </c>
      <c r="D65" s="86">
        <v>0</v>
      </c>
      <c r="E65" s="87">
        <v>0</v>
      </c>
    </row>
    <row r="66" spans="2:5" customFormat="1">
      <c r="B66" s="130" t="s">
        <v>50</v>
      </c>
      <c r="C66" s="22" t="s">
        <v>51</v>
      </c>
      <c r="D66" s="86">
        <v>0</v>
      </c>
      <c r="E66" s="87">
        <v>0</v>
      </c>
    </row>
    <row r="67" spans="2:5" customFormat="1">
      <c r="B67" s="109" t="s">
        <v>52</v>
      </c>
      <c r="C67" s="15" t="s">
        <v>53</v>
      </c>
      <c r="D67" s="84">
        <v>0</v>
      </c>
      <c r="E67" s="85">
        <v>0</v>
      </c>
    </row>
    <row r="68" spans="2:5" customFormat="1">
      <c r="B68" s="109" t="s">
        <v>54</v>
      </c>
      <c r="C68" s="15" t="s">
        <v>55</v>
      </c>
      <c r="D68" s="84">
        <v>0</v>
      </c>
      <c r="E68" s="85">
        <v>0</v>
      </c>
    </row>
    <row r="69" spans="2:5" customFormat="1">
      <c r="B69" s="109" t="s">
        <v>56</v>
      </c>
      <c r="C69" s="15" t="s">
        <v>57</v>
      </c>
      <c r="D69" s="320">
        <v>0</v>
      </c>
      <c r="E69" s="85">
        <v>0</v>
      </c>
    </row>
    <row r="70" spans="2:5" customFormat="1">
      <c r="B70" s="136" t="s">
        <v>58</v>
      </c>
      <c r="C70" s="120" t="s">
        <v>59</v>
      </c>
      <c r="D70" s="121">
        <v>0</v>
      </c>
      <c r="E70" s="122">
        <v>0</v>
      </c>
    </row>
    <row r="71" spans="2:5" customFormat="1">
      <c r="B71" s="137" t="s">
        <v>23</v>
      </c>
      <c r="C71" s="128" t="s">
        <v>61</v>
      </c>
      <c r="D71" s="129">
        <v>0</v>
      </c>
      <c r="E71" s="69">
        <v>0</v>
      </c>
    </row>
    <row r="72" spans="2:5" customFormat="1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 customFormat="1">
      <c r="B73" s="139" t="s">
        <v>62</v>
      </c>
      <c r="C73" s="24" t="s">
        <v>65</v>
      </c>
      <c r="D73" s="25">
        <v>0</v>
      </c>
      <c r="E73" s="26">
        <v>0</v>
      </c>
    </row>
    <row r="74" spans="2:5" customFormat="1">
      <c r="B74" s="137" t="s">
        <v>64</v>
      </c>
      <c r="C74" s="128" t="s">
        <v>66</v>
      </c>
      <c r="D74" s="129">
        <v>0</v>
      </c>
      <c r="E74" s="69">
        <f>E58+E72-E73</f>
        <v>0</v>
      </c>
    </row>
    <row r="75" spans="2:5" customFormat="1">
      <c r="B75" s="109" t="s">
        <v>4</v>
      </c>
      <c r="C75" s="15" t="s">
        <v>67</v>
      </c>
      <c r="D75" s="84">
        <v>0</v>
      </c>
      <c r="E75" s="85">
        <f>E74</f>
        <v>0</v>
      </c>
    </row>
    <row r="76" spans="2:5" customFormat="1">
      <c r="B76" s="109" t="s">
        <v>6</v>
      </c>
      <c r="C76" s="15" t="s">
        <v>119</v>
      </c>
      <c r="D76" s="84">
        <v>0</v>
      </c>
      <c r="E76" s="85">
        <v>0</v>
      </c>
    </row>
    <row r="77" spans="2:5" customFormat="1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 customFormat="1">
      <c r="B78" s="1"/>
      <c r="C78" s="1"/>
      <c r="D78" s="2"/>
      <c r="E78" s="2"/>
    </row>
    <row r="79" spans="2:5" customFormat="1">
      <c r="B79" s="1"/>
      <c r="C79" s="1"/>
      <c r="D79" s="2"/>
      <c r="E79" s="2"/>
    </row>
    <row r="80" spans="2:5" customFormat="1">
      <c r="B80" s="1"/>
      <c r="C80" s="1"/>
      <c r="D80" s="2"/>
      <c r="E80" s="2"/>
    </row>
    <row r="81" spans="2:5" customFormat="1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2"/>
  <dimension ref="A1:L81"/>
  <sheetViews>
    <sheetView zoomScale="80" zoomScaleNormal="80" workbookViewId="0">
      <selection activeCell="I37" sqref="I3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271</v>
      </c>
      <c r="C6" s="497"/>
      <c r="D6" s="497"/>
      <c r="E6" s="497"/>
    </row>
    <row r="7" spans="2:12" ht="14.25">
      <c r="B7" s="162"/>
      <c r="C7" s="162"/>
      <c r="D7" s="162"/>
      <c r="E7" s="162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63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/>
      <c r="E11" s="284"/>
    </row>
    <row r="12" spans="2:12">
      <c r="B12" s="191" t="s">
        <v>4</v>
      </c>
      <c r="C12" s="192" t="s">
        <v>5</v>
      </c>
      <c r="D12" s="329"/>
      <c r="E12" s="353"/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/>
      <c r="E21" s="155"/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3796.47</v>
      </c>
      <c r="E26" s="270"/>
      <c r="G26" s="80"/>
    </row>
    <row r="27" spans="2:11">
      <c r="B27" s="9" t="s">
        <v>17</v>
      </c>
      <c r="C27" s="10" t="s">
        <v>111</v>
      </c>
      <c r="D27" s="226">
        <v>-3558.42</v>
      </c>
      <c r="E27" s="263"/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/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3558.42</v>
      </c>
      <c r="E32" s="264"/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38.92</v>
      </c>
      <c r="E35" s="265"/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37.83</v>
      </c>
      <c r="E37" s="265"/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3481.67</v>
      </c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-238.05</v>
      </c>
      <c r="E40" s="271"/>
      <c r="G40" s="80"/>
    </row>
    <row r="41" spans="2:10" ht="13.5" thickBot="1">
      <c r="B41" s="106" t="s">
        <v>37</v>
      </c>
      <c r="C41" s="107" t="s">
        <v>38</v>
      </c>
      <c r="D41" s="230" t="s">
        <v>123</v>
      </c>
      <c r="E41" s="155"/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29.533000000000001</v>
      </c>
      <c r="E47" s="156"/>
      <c r="G47" s="76"/>
    </row>
    <row r="48" spans="2:10">
      <c r="B48" s="204" t="s">
        <v>6</v>
      </c>
      <c r="C48" s="205" t="s">
        <v>41</v>
      </c>
      <c r="D48" s="232"/>
      <c r="E48" s="156"/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128.55000000000001</v>
      </c>
      <c r="E50" s="156"/>
      <c r="G50" s="190"/>
    </row>
    <row r="51" spans="2:7">
      <c r="B51" s="202" t="s">
        <v>6</v>
      </c>
      <c r="C51" s="203" t="s">
        <v>114</v>
      </c>
      <c r="D51" s="234">
        <v>116.72</v>
      </c>
      <c r="E51" s="81"/>
      <c r="G51" s="190"/>
    </row>
    <row r="52" spans="2:7">
      <c r="B52" s="202" t="s">
        <v>8</v>
      </c>
      <c r="C52" s="203" t="s">
        <v>115</v>
      </c>
      <c r="D52" s="234">
        <v>134.51</v>
      </c>
      <c r="E52" s="81"/>
    </row>
    <row r="53" spans="2:7" ht="13.5" thickBot="1">
      <c r="B53" s="206" t="s">
        <v>9</v>
      </c>
      <c r="C53" s="207" t="s">
        <v>41</v>
      </c>
      <c r="D53" s="235"/>
      <c r="E53" s="272"/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v>0</v>
      </c>
      <c r="E58" s="32">
        <v>0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v>0</v>
      </c>
      <c r="E64" s="87">
        <f>E58</f>
        <v>0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0</v>
      </c>
      <c r="E74" s="69">
        <f>E58+E72-E73</f>
        <v>0</v>
      </c>
    </row>
    <row r="75" spans="2:5">
      <c r="B75" s="109" t="s">
        <v>4</v>
      </c>
      <c r="C75" s="15" t="s">
        <v>67</v>
      </c>
      <c r="D75" s="84">
        <f>D74</f>
        <v>0</v>
      </c>
      <c r="E75" s="85">
        <f>E74</f>
        <v>0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3">
    <pageSetUpPr fitToPage="1"/>
  </sheetPr>
  <dimension ref="A1:L81"/>
  <sheetViews>
    <sheetView zoomScale="80" zoomScaleNormal="80" workbookViewId="0">
      <selection activeCell="J33" sqref="J3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1"/>
      <c r="C4" s="141"/>
      <c r="D4" s="141"/>
      <c r="E4" s="14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186</v>
      </c>
      <c r="C6" s="497"/>
      <c r="D6" s="497"/>
      <c r="E6" s="497"/>
    </row>
    <row r="7" spans="2:12" ht="14.25">
      <c r="B7" s="140"/>
      <c r="C7" s="140"/>
      <c r="D7" s="140"/>
      <c r="E7" s="14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1441232.24</v>
      </c>
      <c r="E11" s="284">
        <f>SUM(E12:E14)</f>
        <v>1105915.92</v>
      </c>
    </row>
    <row r="12" spans="2:12">
      <c r="B12" s="191" t="s">
        <v>4</v>
      </c>
      <c r="C12" s="192" t="s">
        <v>5</v>
      </c>
      <c r="D12" s="329">
        <v>1441232.24</v>
      </c>
      <c r="E12" s="353">
        <v>1105915.92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1441232.24</v>
      </c>
      <c r="E21" s="155">
        <f>E11-E17</f>
        <v>1105915.92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3374933.59</v>
      </c>
      <c r="E26" s="270">
        <f>D21</f>
        <v>1441232.24</v>
      </c>
      <c r="G26" s="80"/>
    </row>
    <row r="27" spans="2:11">
      <c r="B27" s="9" t="s">
        <v>17</v>
      </c>
      <c r="C27" s="10" t="s">
        <v>111</v>
      </c>
      <c r="D27" s="226">
        <v>-144877.84</v>
      </c>
      <c r="E27" s="263">
        <f>E28-E32</f>
        <v>-469156.14999999985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266842.96000000002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>
        <v>266842.96000000002</v>
      </c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144877.84</v>
      </c>
      <c r="E32" s="264">
        <f>SUM(E33:E39)</f>
        <v>735999.10999999987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89495.77</v>
      </c>
      <c r="E33" s="265">
        <v>725484.34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726.5</v>
      </c>
      <c r="E35" s="265">
        <v>920.94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26058.94</v>
      </c>
      <c r="E37" s="265">
        <v>9593.83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28596.63</v>
      </c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4316.51</v>
      </c>
      <c r="E40" s="271">
        <v>133839.82999999999</v>
      </c>
      <c r="G40" s="80"/>
    </row>
    <row r="41" spans="2:10" ht="13.5" thickBot="1">
      <c r="B41" s="106" t="s">
        <v>37</v>
      </c>
      <c r="C41" s="107" t="s">
        <v>38</v>
      </c>
      <c r="D41" s="230">
        <v>3234372.26</v>
      </c>
      <c r="E41" s="155">
        <f>E26+E27+E40</f>
        <v>1105915.9200000002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6830.0519999999997</v>
      </c>
      <c r="E47" s="156">
        <v>3174.87</v>
      </c>
      <c r="G47" s="76"/>
    </row>
    <row r="48" spans="2:10">
      <c r="B48" s="204" t="s">
        <v>6</v>
      </c>
      <c r="C48" s="205" t="s">
        <v>41</v>
      </c>
      <c r="D48" s="232">
        <v>6538.18</v>
      </c>
      <c r="E48" s="156">
        <v>2174.902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494.13</v>
      </c>
      <c r="E50" s="156">
        <v>453.95</v>
      </c>
      <c r="G50" s="190"/>
    </row>
    <row r="51" spans="2:7">
      <c r="B51" s="202" t="s">
        <v>6</v>
      </c>
      <c r="C51" s="203" t="s">
        <v>114</v>
      </c>
      <c r="D51" s="234">
        <v>467.61</v>
      </c>
      <c r="E51" s="81">
        <v>448.39</v>
      </c>
      <c r="G51" s="190"/>
    </row>
    <row r="52" spans="2:7">
      <c r="B52" s="202" t="s">
        <v>8</v>
      </c>
      <c r="C52" s="203" t="s">
        <v>115</v>
      </c>
      <c r="D52" s="234">
        <v>518.08000000000004</v>
      </c>
      <c r="E52" s="81">
        <v>532.37</v>
      </c>
    </row>
    <row r="53" spans="2:7" ht="12.75" customHeight="1" thickBot="1">
      <c r="B53" s="206" t="s">
        <v>9</v>
      </c>
      <c r="C53" s="207" t="s">
        <v>41</v>
      </c>
      <c r="D53" s="235">
        <v>494.69</v>
      </c>
      <c r="E53" s="272">
        <v>508.49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8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1105915.92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1105915.92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1105915.92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1105915.92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055118110236227" right="0.74803149606299213" top="0.55118110236220474" bottom="0.6692913385826772" header="0.51181102362204722" footer="0.51181102362204722"/>
  <pageSetup paperSize="9" scale="68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4"/>
  <dimension ref="A1:L81"/>
  <sheetViews>
    <sheetView zoomScale="80" zoomScaleNormal="80" workbookViewId="0">
      <selection activeCell="K35" sqref="K3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1"/>
      <c r="C4" s="141"/>
      <c r="D4" s="141"/>
      <c r="E4" s="14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187</v>
      </c>
      <c r="C6" s="497"/>
      <c r="D6" s="497"/>
      <c r="E6" s="497"/>
    </row>
    <row r="7" spans="2:12" ht="14.25">
      <c r="B7" s="140"/>
      <c r="C7" s="140"/>
      <c r="D7" s="140"/>
      <c r="E7" s="14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11548216.810000001</v>
      </c>
      <c r="E11" s="284">
        <f>SUM(E12:E14)</f>
        <v>12206074.33</v>
      </c>
    </row>
    <row r="12" spans="2:12">
      <c r="B12" s="191" t="s">
        <v>4</v>
      </c>
      <c r="C12" s="192" t="s">
        <v>5</v>
      </c>
      <c r="D12" s="329">
        <v>11548216.810000001</v>
      </c>
      <c r="E12" s="353">
        <v>12206074.33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11548216.810000001</v>
      </c>
      <c r="E21" s="155">
        <f>E11-E17</f>
        <v>12206074.33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13141202.960000001</v>
      </c>
      <c r="E26" s="270">
        <f>D21</f>
        <v>11548216.810000001</v>
      </c>
      <c r="G26" s="80"/>
    </row>
    <row r="27" spans="2:11">
      <c r="B27" s="9" t="s">
        <v>17</v>
      </c>
      <c r="C27" s="10" t="s">
        <v>111</v>
      </c>
      <c r="D27" s="226">
        <v>-1451611.24</v>
      </c>
      <c r="E27" s="263">
        <f>E28-E32</f>
        <v>-327695.07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1451611.24</v>
      </c>
      <c r="E32" s="264">
        <f>SUM(E33:E39)</f>
        <v>327695.07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273189.19</v>
      </c>
      <c r="E33" s="265"/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4413.42</v>
      </c>
      <c r="E35" s="265">
        <v>4237.75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100500.83</v>
      </c>
      <c r="E37" s="265">
        <v>96760.01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1073507.8</v>
      </c>
      <c r="E39" s="266">
        <v>226697.31</v>
      </c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532418.82999999996</v>
      </c>
      <c r="E40" s="271">
        <v>985552.59</v>
      </c>
      <c r="G40" s="80"/>
    </row>
    <row r="41" spans="2:10" ht="13.5" thickBot="1">
      <c r="B41" s="106" t="s">
        <v>37</v>
      </c>
      <c r="C41" s="107" t="s">
        <v>38</v>
      </c>
      <c r="D41" s="230">
        <v>12222010.550000001</v>
      </c>
      <c r="E41" s="155">
        <f>E26+E27+E40</f>
        <v>12206074.33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35443.004999999997</v>
      </c>
      <c r="E47" s="156">
        <v>30429.281999999999</v>
      </c>
      <c r="G47" s="76"/>
    </row>
    <row r="48" spans="2:10">
      <c r="B48" s="204" t="s">
        <v>6</v>
      </c>
      <c r="C48" s="205" t="s">
        <v>41</v>
      </c>
      <c r="D48" s="232">
        <v>31553.701000000001</v>
      </c>
      <c r="E48" s="156">
        <v>29626.394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370.77</v>
      </c>
      <c r="E50" s="156">
        <v>379.51</v>
      </c>
      <c r="G50" s="190"/>
    </row>
    <row r="51" spans="2:7">
      <c r="B51" s="202" t="s">
        <v>6</v>
      </c>
      <c r="C51" s="203" t="s">
        <v>114</v>
      </c>
      <c r="D51" s="234">
        <v>353.19</v>
      </c>
      <c r="E51" s="81">
        <v>374.92</v>
      </c>
      <c r="G51" s="190"/>
    </row>
    <row r="52" spans="2:7">
      <c r="B52" s="202" t="s">
        <v>8</v>
      </c>
      <c r="C52" s="203" t="s">
        <v>115</v>
      </c>
      <c r="D52" s="234">
        <v>396.77</v>
      </c>
      <c r="E52" s="81">
        <v>420.66</v>
      </c>
    </row>
    <row r="53" spans="2:7" ht="14.25" customHeight="1" thickBot="1">
      <c r="B53" s="206" t="s">
        <v>9</v>
      </c>
      <c r="C53" s="207" t="s">
        <v>41</v>
      </c>
      <c r="D53" s="235">
        <v>387.34</v>
      </c>
      <c r="E53" s="272">
        <v>412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8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12206074.33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12206074.33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12206074.33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12206074.33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5"/>
  <dimension ref="A1:L81"/>
  <sheetViews>
    <sheetView zoomScale="80" zoomScaleNormal="80" workbookViewId="0">
      <selection activeCell="K21" sqref="K2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1"/>
      <c r="C4" s="141"/>
      <c r="D4" s="141"/>
      <c r="E4" s="14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188</v>
      </c>
      <c r="C6" s="497"/>
      <c r="D6" s="497"/>
      <c r="E6" s="497"/>
    </row>
    <row r="7" spans="2:12" ht="14.25">
      <c r="B7" s="140"/>
      <c r="C7" s="140"/>
      <c r="D7" s="140"/>
      <c r="E7" s="14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2683224.23</v>
      </c>
      <c r="E11" s="284">
        <f>SUM(E12:E14)</f>
        <v>222118.76</v>
      </c>
    </row>
    <row r="12" spans="2:12">
      <c r="B12" s="191" t="s">
        <v>4</v>
      </c>
      <c r="C12" s="192" t="s">
        <v>5</v>
      </c>
      <c r="D12" s="329">
        <v>2683224.23</v>
      </c>
      <c r="E12" s="353">
        <v>222118.76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2683224.23</v>
      </c>
      <c r="E21" s="155">
        <f>E11-E17</f>
        <v>222118.76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4299565.83</v>
      </c>
      <c r="E26" s="270">
        <f>D21</f>
        <v>2683224.23</v>
      </c>
      <c r="G26" s="80"/>
    </row>
    <row r="27" spans="2:11">
      <c r="B27" s="9" t="s">
        <v>17</v>
      </c>
      <c r="C27" s="10" t="s">
        <v>111</v>
      </c>
      <c r="D27" s="226">
        <v>-901934.06</v>
      </c>
      <c r="E27" s="263">
        <f>E28-E32</f>
        <v>-2524447.2000000002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901934.06</v>
      </c>
      <c r="E32" s="264">
        <f>SUM(E33:E39)</f>
        <v>2524447.2000000002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510875.57</v>
      </c>
      <c r="E33" s="265"/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407.9</v>
      </c>
      <c r="E35" s="265">
        <v>823.41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30774.29</v>
      </c>
      <c r="E37" s="265">
        <v>8585.07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359876.3</v>
      </c>
      <c r="E39" s="266">
        <v>2515038.7200000002</v>
      </c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-47519.85</v>
      </c>
      <c r="E40" s="271">
        <v>63341.73</v>
      </c>
      <c r="G40" s="80"/>
    </row>
    <row r="41" spans="2:10" ht="13.5" thickBot="1">
      <c r="B41" s="106" t="s">
        <v>37</v>
      </c>
      <c r="C41" s="107" t="s">
        <v>38</v>
      </c>
      <c r="D41" s="230">
        <v>3350111.92</v>
      </c>
      <c r="E41" s="155">
        <f>E26+E27+E40</f>
        <v>222118.75999999981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10169.987999999999</v>
      </c>
      <c r="E47" s="156">
        <v>6582.0150000000003</v>
      </c>
      <c r="G47" s="76"/>
    </row>
    <row r="48" spans="2:10">
      <c r="B48" s="204" t="s">
        <v>6</v>
      </c>
      <c r="C48" s="205" t="s">
        <v>41</v>
      </c>
      <c r="D48" s="232">
        <v>8038.4679999999998</v>
      </c>
      <c r="E48" s="156">
        <v>525.81200000000001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422.77</v>
      </c>
      <c r="E50" s="156">
        <v>407.66</v>
      </c>
      <c r="G50" s="190"/>
    </row>
    <row r="51" spans="2:7">
      <c r="B51" s="202" t="s">
        <v>6</v>
      </c>
      <c r="C51" s="203" t="s">
        <v>114</v>
      </c>
      <c r="D51" s="234">
        <v>416.57</v>
      </c>
      <c r="E51" s="81">
        <v>407.18</v>
      </c>
      <c r="G51" s="190"/>
    </row>
    <row r="52" spans="2:7">
      <c r="B52" s="202" t="s">
        <v>8</v>
      </c>
      <c r="C52" s="203" t="s">
        <v>115</v>
      </c>
      <c r="D52" s="234">
        <v>425.98</v>
      </c>
      <c r="E52" s="81">
        <v>422.96000000000004</v>
      </c>
    </row>
    <row r="53" spans="2:7" ht="13.5" customHeight="1" thickBot="1">
      <c r="B53" s="206" t="s">
        <v>9</v>
      </c>
      <c r="C53" s="207" t="s">
        <v>41</v>
      </c>
      <c r="D53" s="235">
        <v>416.76</v>
      </c>
      <c r="E53" s="272">
        <v>422.43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222118.76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222118.76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222118.76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222118.76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="80" zoomScaleNormal="80" workbookViewId="0">
      <selection activeCell="J37" sqref="J3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272</v>
      </c>
      <c r="C6" s="497"/>
      <c r="D6" s="497"/>
      <c r="E6" s="497"/>
    </row>
    <row r="7" spans="2:12" ht="14.25">
      <c r="B7" s="242"/>
      <c r="C7" s="242"/>
      <c r="D7" s="242"/>
      <c r="E7" s="242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  <c r="G9" s="167"/>
    </row>
    <row r="10" spans="2:12" ht="13.5" thickBot="1">
      <c r="B10" s="241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51187.75</v>
      </c>
      <c r="E11" s="284">
        <f>SUM(E12:E14)</f>
        <v>51715.14</v>
      </c>
    </row>
    <row r="12" spans="2:12">
      <c r="B12" s="191" t="s">
        <v>4</v>
      </c>
      <c r="C12" s="192" t="s">
        <v>5</v>
      </c>
      <c r="D12" s="329">
        <v>51187.75</v>
      </c>
      <c r="E12" s="353">
        <v>51715.14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51187.75</v>
      </c>
      <c r="E21" s="155">
        <f>E11-E17</f>
        <v>51715.14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18128.2</v>
      </c>
      <c r="E26" s="270">
        <f>D21</f>
        <v>51187.75</v>
      </c>
      <c r="G26" s="80"/>
    </row>
    <row r="27" spans="2:11">
      <c r="B27" s="9" t="s">
        <v>17</v>
      </c>
      <c r="C27" s="10" t="s">
        <v>111</v>
      </c>
      <c r="D27" s="226">
        <v>35229.54</v>
      </c>
      <c r="E27" s="263">
        <f>E28-E32</f>
        <v>-1048.3799999999999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35229.54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35229.54</v>
      </c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0</v>
      </c>
      <c r="E32" s="264">
        <f>SUM(E33:E39)</f>
        <v>1048.3799999999999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/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/>
      <c r="E35" s="265">
        <v>344.77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/>
      <c r="E37" s="265">
        <v>678.41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>
        <v>25.2</v>
      </c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-1048.29</v>
      </c>
      <c r="E40" s="271">
        <v>1575.77</v>
      </c>
      <c r="G40" s="80"/>
    </row>
    <row r="41" spans="2:10" ht="13.5" thickBot="1">
      <c r="B41" s="106" t="s">
        <v>37</v>
      </c>
      <c r="C41" s="107" t="s">
        <v>38</v>
      </c>
      <c r="D41" s="230">
        <v>52309.450000000004</v>
      </c>
      <c r="E41" s="155">
        <f>E26+E27+E40</f>
        <v>51715.14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16.233000000000001</v>
      </c>
      <c r="E47" s="156">
        <v>46.682000000000002</v>
      </c>
      <c r="G47" s="76"/>
    </row>
    <row r="48" spans="2:10">
      <c r="B48" s="204" t="s">
        <v>6</v>
      </c>
      <c r="C48" s="205" t="s">
        <v>41</v>
      </c>
      <c r="D48" s="232">
        <v>47.165999999999997</v>
      </c>
      <c r="E48" s="156">
        <v>45.73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1116.75</v>
      </c>
      <c r="E50" s="156">
        <v>1096.52</v>
      </c>
      <c r="G50" s="190"/>
    </row>
    <row r="51" spans="2:7">
      <c r="B51" s="202" t="s">
        <v>6</v>
      </c>
      <c r="C51" s="203" t="s">
        <v>114</v>
      </c>
      <c r="D51" s="234">
        <v>1105.55</v>
      </c>
      <c r="E51" s="79">
        <v>1076.8600000000001</v>
      </c>
      <c r="G51" s="190"/>
    </row>
    <row r="52" spans="2:7">
      <c r="B52" s="202" t="s">
        <v>8</v>
      </c>
      <c r="C52" s="203" t="s">
        <v>115</v>
      </c>
      <c r="D52" s="234">
        <v>1183.78</v>
      </c>
      <c r="E52" s="79">
        <v>1140</v>
      </c>
    </row>
    <row r="53" spans="2:7" ht="13.5" customHeight="1" thickBot="1">
      <c r="B53" s="206" t="s">
        <v>9</v>
      </c>
      <c r="C53" s="207" t="s">
        <v>41</v>
      </c>
      <c r="D53" s="235">
        <v>1109.05</v>
      </c>
      <c r="E53" s="316">
        <v>1130.8800000000001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51715.14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51715.14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51715.14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51715.14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6"/>
  <dimension ref="A1:L81"/>
  <sheetViews>
    <sheetView zoomScale="80" zoomScaleNormal="80" workbookViewId="0">
      <selection activeCell="G18" sqref="G18:K4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1"/>
      <c r="C4" s="141"/>
      <c r="D4" s="141"/>
      <c r="E4" s="14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189</v>
      </c>
      <c r="C6" s="497"/>
      <c r="D6" s="497"/>
      <c r="E6" s="497"/>
    </row>
    <row r="7" spans="2:12" ht="14.25">
      <c r="B7" s="140"/>
      <c r="C7" s="140"/>
      <c r="D7" s="140"/>
      <c r="E7" s="14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231251.02</v>
      </c>
      <c r="E11" s="284">
        <f>SUM(E12:E14)</f>
        <v>224131.6</v>
      </c>
    </row>
    <row r="12" spans="2:12">
      <c r="B12" s="191" t="s">
        <v>4</v>
      </c>
      <c r="C12" s="192" t="s">
        <v>5</v>
      </c>
      <c r="D12" s="329">
        <v>231251.02</v>
      </c>
      <c r="E12" s="353">
        <f>224133.42-1.82</f>
        <v>224131.6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231251.02</v>
      </c>
      <c r="E21" s="155">
        <f>E11-E17</f>
        <v>224131.6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430340.52</v>
      </c>
      <c r="E26" s="270">
        <f>D21</f>
        <v>231251.02</v>
      </c>
      <c r="G26" s="80"/>
    </row>
    <row r="27" spans="2:11">
      <c r="B27" s="9" t="s">
        <v>17</v>
      </c>
      <c r="C27" s="10" t="s">
        <v>111</v>
      </c>
      <c r="D27" s="226">
        <v>-78857.5</v>
      </c>
      <c r="E27" s="263">
        <f>E28-E32</f>
        <v>-19170.900000000001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15625.51</v>
      </c>
      <c r="E28" s="264">
        <f>SUM(E29:E31)</f>
        <v>14866.849999999999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4896.92</v>
      </c>
      <c r="E29" s="265">
        <v>6075.45</v>
      </c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10728.59</v>
      </c>
      <c r="E31" s="265">
        <v>8791.4</v>
      </c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94483.01</v>
      </c>
      <c r="E32" s="264">
        <f>SUM(E33:E39)</f>
        <v>34037.75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37273.24</v>
      </c>
      <c r="E33" s="265">
        <v>30948.85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578.29999999999995</v>
      </c>
      <c r="E35" s="265">
        <v>519.99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3369.52</v>
      </c>
      <c r="E37" s="265">
        <v>2144.7199999999998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53261.95</v>
      </c>
      <c r="E39" s="266">
        <v>424.19</v>
      </c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-38064.1</v>
      </c>
      <c r="E40" s="271">
        <v>12051.48</v>
      </c>
      <c r="G40" s="80"/>
    </row>
    <row r="41" spans="2:10" ht="13.5" thickBot="1">
      <c r="B41" s="106" t="s">
        <v>37</v>
      </c>
      <c r="C41" s="107" t="s">
        <v>38</v>
      </c>
      <c r="D41" s="230">
        <v>313418.92000000004</v>
      </c>
      <c r="E41" s="155">
        <f>E26+E27+E40</f>
        <v>224131.6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1055.37699</v>
      </c>
      <c r="E47" s="156">
        <v>670.11800000000005</v>
      </c>
      <c r="G47" s="76"/>
    </row>
    <row r="48" spans="2:10">
      <c r="B48" s="204" t="s">
        <v>6</v>
      </c>
      <c r="C48" s="205" t="s">
        <v>41</v>
      </c>
      <c r="D48" s="232">
        <v>861.04098999999997</v>
      </c>
      <c r="E48" s="156">
        <f>E21/E53</f>
        <v>616</v>
      </c>
      <c r="G48" s="210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407.76</v>
      </c>
      <c r="E50" s="156">
        <v>345.09</v>
      </c>
      <c r="G50" s="190"/>
    </row>
    <row r="51" spans="2:7">
      <c r="B51" s="202" t="s">
        <v>6</v>
      </c>
      <c r="C51" s="203" t="s">
        <v>114</v>
      </c>
      <c r="D51" s="234">
        <v>360.35</v>
      </c>
      <c r="E51" s="156">
        <v>343.78000000000003</v>
      </c>
      <c r="G51" s="190"/>
    </row>
    <row r="52" spans="2:7">
      <c r="B52" s="202" t="s">
        <v>8</v>
      </c>
      <c r="C52" s="203" t="s">
        <v>115</v>
      </c>
      <c r="D52" s="234">
        <v>427.16</v>
      </c>
      <c r="E52" s="81">
        <v>366.82</v>
      </c>
    </row>
    <row r="53" spans="2:7" ht="13.5" customHeight="1" thickBot="1">
      <c r="B53" s="206" t="s">
        <v>9</v>
      </c>
      <c r="C53" s="207" t="s">
        <v>41</v>
      </c>
      <c r="D53" s="235">
        <v>364</v>
      </c>
      <c r="E53" s="272">
        <v>363.85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224131.6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224131.6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224131.6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224131.6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7"/>
  <dimension ref="A1:L81"/>
  <sheetViews>
    <sheetView zoomScale="80" zoomScaleNormal="80" workbookViewId="0">
      <selection activeCell="J38" sqref="J3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1"/>
      <c r="C4" s="141"/>
      <c r="D4" s="141"/>
      <c r="E4" s="141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190</v>
      </c>
      <c r="C6" s="497"/>
      <c r="D6" s="497"/>
      <c r="E6" s="497"/>
    </row>
    <row r="7" spans="2:12" ht="14.25">
      <c r="B7" s="140"/>
      <c r="C7" s="140"/>
      <c r="D7" s="140"/>
      <c r="E7" s="140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2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767355.0199999999</v>
      </c>
      <c r="E11" s="284">
        <f>SUM(E12:E14)</f>
        <v>722865.1</v>
      </c>
    </row>
    <row r="12" spans="2:12">
      <c r="B12" s="191" t="s">
        <v>4</v>
      </c>
      <c r="C12" s="192" t="s">
        <v>5</v>
      </c>
      <c r="D12" s="329">
        <v>767355.0199999999</v>
      </c>
      <c r="E12" s="353">
        <f>723762.58-897.48</f>
        <v>722865.1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767355.0199999999</v>
      </c>
      <c r="E21" s="155">
        <f>E11-E17</f>
        <v>722865.1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  <c r="K22" s="70"/>
    </row>
    <row r="23" spans="2:11" ht="13.5">
      <c r="B23" s="499" t="s">
        <v>104</v>
      </c>
      <c r="C23" s="509"/>
      <c r="D23" s="509"/>
      <c r="E23" s="509"/>
      <c r="G23" s="167"/>
      <c r="H23" s="167"/>
    </row>
    <row r="24" spans="2:11" ht="15.75" customHeight="1" thickBot="1">
      <c r="B24" s="498" t="s">
        <v>105</v>
      </c>
      <c r="C24" s="510"/>
      <c r="D24" s="510"/>
      <c r="E24" s="510"/>
      <c r="G24" s="76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1745381.86</v>
      </c>
      <c r="E26" s="270">
        <f>D21</f>
        <v>767355.0199999999</v>
      </c>
      <c r="G26" s="80"/>
    </row>
    <row r="27" spans="2:11">
      <c r="B27" s="9" t="s">
        <v>17</v>
      </c>
      <c r="C27" s="10" t="s">
        <v>111</v>
      </c>
      <c r="D27" s="226">
        <v>-970460.14999999991</v>
      </c>
      <c r="E27" s="263">
        <f>E28-E32</f>
        <v>-55547.5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12583.54</v>
      </c>
      <c r="E28" s="264">
        <f>SUM(E29:E31)</f>
        <v>9732.32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4267.8500000000004</v>
      </c>
      <c r="E29" s="265">
        <v>3805.58</v>
      </c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8315.69</v>
      </c>
      <c r="E31" s="265">
        <v>5926.74</v>
      </c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983043.69</v>
      </c>
      <c r="E32" s="264">
        <f>SUM(E33:E39)</f>
        <v>65279.82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968647.61</v>
      </c>
      <c r="E33" s="265">
        <v>51921.84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793.73</v>
      </c>
      <c r="E35" s="265">
        <v>651.86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9755.69</v>
      </c>
      <c r="E37" s="265">
        <v>6596.65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3846.66</v>
      </c>
      <c r="E39" s="266">
        <v>6109.47</v>
      </c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3787.11</v>
      </c>
      <c r="E40" s="271">
        <v>11057.58</v>
      </c>
      <c r="G40" s="80"/>
    </row>
    <row r="41" spans="2:10" ht="13.5" thickBot="1">
      <c r="B41" s="106" t="s">
        <v>37</v>
      </c>
      <c r="C41" s="107" t="s">
        <v>38</v>
      </c>
      <c r="D41" s="230">
        <v>778708.82000000018</v>
      </c>
      <c r="E41" s="155">
        <f>E26+E27+E40</f>
        <v>722865.09999999986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6167.6450000000004</v>
      </c>
      <c r="E47" s="156">
        <v>2640.9520200000002</v>
      </c>
      <c r="G47" s="76"/>
    </row>
    <row r="48" spans="2:10">
      <c r="B48" s="204" t="s">
        <v>6</v>
      </c>
      <c r="C48" s="205" t="s">
        <v>41</v>
      </c>
      <c r="D48" s="232">
        <v>2727.431</v>
      </c>
      <c r="E48" s="156">
        <f>E21/E53</f>
        <v>2450.1410026099043</v>
      </c>
      <c r="G48" s="210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282.99</v>
      </c>
      <c r="E50" s="156">
        <v>290.56</v>
      </c>
      <c r="G50" s="190"/>
    </row>
    <row r="51" spans="2:7">
      <c r="B51" s="202" t="s">
        <v>6</v>
      </c>
      <c r="C51" s="203" t="s">
        <v>114</v>
      </c>
      <c r="D51" s="234">
        <v>281.64999999999998</v>
      </c>
      <c r="E51" s="81">
        <v>289.67</v>
      </c>
      <c r="G51" s="190"/>
    </row>
    <row r="52" spans="2:7">
      <c r="B52" s="202" t="s">
        <v>8</v>
      </c>
      <c r="C52" s="203" t="s">
        <v>115</v>
      </c>
      <c r="D52" s="234">
        <v>287.44</v>
      </c>
      <c r="E52" s="81">
        <v>295.70999999999998</v>
      </c>
    </row>
    <row r="53" spans="2:7" ht="14.25" customHeight="1" thickBot="1">
      <c r="B53" s="206" t="s">
        <v>9</v>
      </c>
      <c r="C53" s="207" t="s">
        <v>41</v>
      </c>
      <c r="D53" s="235">
        <v>285.51</v>
      </c>
      <c r="E53" s="272">
        <v>295.02999999999997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722865.1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722865.1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722865.1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722865.1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5000000000000004" right="0.75" top="0.56000000000000005" bottom="0.47" header="0.5" footer="0.5"/>
  <pageSetup paperSize="9" scale="70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8"/>
  <dimension ref="A1:L81"/>
  <sheetViews>
    <sheetView zoomScale="80" zoomScaleNormal="80" workbookViewId="0">
      <selection activeCell="G18" sqref="G18:K3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0.42578125" customWidth="1"/>
    <col min="9" max="9" width="13.28515625" customWidth="1"/>
    <col min="10" max="10" width="13.5703125" customWidth="1"/>
    <col min="11" max="11" width="13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5"/>
      <c r="C4" s="145"/>
      <c r="D4" s="145"/>
      <c r="E4" s="145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273</v>
      </c>
      <c r="C6" s="497"/>
      <c r="D6" s="497"/>
      <c r="E6" s="497"/>
    </row>
    <row r="7" spans="2:12" ht="14.25">
      <c r="B7" s="143"/>
      <c r="C7" s="143"/>
      <c r="D7" s="143"/>
      <c r="E7" s="143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4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416807.74000000005</v>
      </c>
      <c r="E11" s="284">
        <f>SUM(E12:E14)</f>
        <v>295320.32000000001</v>
      </c>
    </row>
    <row r="12" spans="2:12">
      <c r="B12" s="191" t="s">
        <v>4</v>
      </c>
      <c r="C12" s="192" t="s">
        <v>5</v>
      </c>
      <c r="D12" s="329">
        <v>416807.74000000005</v>
      </c>
      <c r="E12" s="353">
        <f>296295.43-975.11</f>
        <v>295320.32000000001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416807.74000000005</v>
      </c>
      <c r="E21" s="155">
        <f>E11-E17</f>
        <v>295320.32000000001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430933.32</v>
      </c>
      <c r="E26" s="270">
        <f>D21</f>
        <v>416807.74000000005</v>
      </c>
      <c r="G26" s="80"/>
    </row>
    <row r="27" spans="2:11">
      <c r="B27" s="9" t="s">
        <v>17</v>
      </c>
      <c r="C27" s="10" t="s">
        <v>111</v>
      </c>
      <c r="D27" s="226">
        <v>12420.410000000003</v>
      </c>
      <c r="E27" s="263">
        <f>E28-E32</f>
        <v>-123111.34999999999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135763.53</v>
      </c>
      <c r="E28" s="264">
        <f>SUM(E29:E31)</f>
        <v>13922.99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13907.47</v>
      </c>
      <c r="E29" s="265">
        <v>13922.99</v>
      </c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121856.06</v>
      </c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123343.12</v>
      </c>
      <c r="E32" s="264">
        <f>SUM(E33:E39)</f>
        <v>137034.34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116275.91</v>
      </c>
      <c r="E33" s="265">
        <v>132646.09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1613.65</v>
      </c>
      <c r="E35" s="265">
        <v>1562.84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3440.12</v>
      </c>
      <c r="E37" s="265">
        <v>2825.41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2013.44</v>
      </c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4784.2700000000004</v>
      </c>
      <c r="E40" s="271">
        <v>1623.93</v>
      </c>
      <c r="G40" s="80"/>
    </row>
    <row r="41" spans="2:10" ht="13.5" thickBot="1">
      <c r="B41" s="106" t="s">
        <v>37</v>
      </c>
      <c r="C41" s="107" t="s">
        <v>38</v>
      </c>
      <c r="D41" s="230">
        <v>448138</v>
      </c>
      <c r="E41" s="155">
        <f>E26+E27+E40</f>
        <v>295320.32000000007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1590.5119999999999</v>
      </c>
      <c r="E47" s="156">
        <v>1509.298</v>
      </c>
      <c r="G47" s="76"/>
    </row>
    <row r="48" spans="2:10">
      <c r="B48" s="130" t="s">
        <v>6</v>
      </c>
      <c r="C48" s="22" t="s">
        <v>41</v>
      </c>
      <c r="D48" s="232">
        <v>1636.4359999999999</v>
      </c>
      <c r="E48" s="156">
        <f>E21/E53</f>
        <v>1063.9489858414095</v>
      </c>
      <c r="G48" s="16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109" t="s">
        <v>4</v>
      </c>
      <c r="C50" s="15" t="s">
        <v>40</v>
      </c>
      <c r="D50" s="231">
        <v>270.94</v>
      </c>
      <c r="E50" s="156">
        <v>276.16000000000003</v>
      </c>
      <c r="G50" s="190"/>
    </row>
    <row r="51" spans="2:7">
      <c r="B51" s="109" t="s">
        <v>6</v>
      </c>
      <c r="C51" s="15" t="s">
        <v>114</v>
      </c>
      <c r="D51" s="234">
        <v>270.91000000000003</v>
      </c>
      <c r="E51" s="156">
        <v>275.78000000000003</v>
      </c>
      <c r="G51" s="190"/>
    </row>
    <row r="52" spans="2:7">
      <c r="B52" s="109" t="s">
        <v>8</v>
      </c>
      <c r="C52" s="15" t="s">
        <v>115</v>
      </c>
      <c r="D52" s="234">
        <v>273.93</v>
      </c>
      <c r="E52" s="81">
        <v>277.61</v>
      </c>
    </row>
    <row r="53" spans="2:7" ht="13.5" customHeight="1" thickBot="1">
      <c r="B53" s="110" t="s">
        <v>9</v>
      </c>
      <c r="C53" s="17" t="s">
        <v>41</v>
      </c>
      <c r="D53" s="235">
        <v>273.85000000000002</v>
      </c>
      <c r="E53" s="272">
        <v>277.57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295320.32000000001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E12</f>
        <v>295320.32000000001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7" t="s">
        <v>64</v>
      </c>
      <c r="C74" s="128" t="s">
        <v>66</v>
      </c>
      <c r="D74" s="129">
        <f>D58-D73</f>
        <v>295320.32000000001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295320.32000000001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9"/>
  <dimension ref="A1:L81"/>
  <sheetViews>
    <sheetView zoomScale="80" zoomScaleNormal="80" workbookViewId="0">
      <selection activeCell="G20" sqref="G20:K3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5"/>
      <c r="C4" s="145"/>
      <c r="D4" s="145"/>
      <c r="E4" s="145"/>
    </row>
    <row r="5" spans="2:12" ht="21" customHeight="1">
      <c r="B5" s="496" t="s">
        <v>1</v>
      </c>
      <c r="C5" s="496"/>
      <c r="D5" s="496"/>
      <c r="E5" s="496"/>
      <c r="H5" s="167"/>
      <c r="I5" s="167"/>
      <c r="J5" s="167"/>
    </row>
    <row r="6" spans="2:12" ht="14.25">
      <c r="B6" s="497" t="s">
        <v>191</v>
      </c>
      <c r="C6" s="497"/>
      <c r="D6" s="497"/>
      <c r="E6" s="497"/>
    </row>
    <row r="7" spans="2:12" ht="14.25">
      <c r="B7" s="143"/>
      <c r="C7" s="143"/>
      <c r="D7" s="143"/>
      <c r="E7" s="143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4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111648.58</v>
      </c>
      <c r="E11" s="284">
        <f>SUM(E12:E14)</f>
        <v>89327.98</v>
      </c>
    </row>
    <row r="12" spans="2:12">
      <c r="B12" s="191" t="s">
        <v>4</v>
      </c>
      <c r="C12" s="192" t="s">
        <v>5</v>
      </c>
      <c r="D12" s="329">
        <v>111648.58</v>
      </c>
      <c r="E12" s="353">
        <f>89327.98</f>
        <v>89327.98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111648.58</v>
      </c>
      <c r="E21" s="155">
        <f>E11-E17</f>
        <v>89327.98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  <c r="H22" s="167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199320.57</v>
      </c>
      <c r="E26" s="270">
        <f>D21</f>
        <v>111648.58</v>
      </c>
      <c r="G26" s="80"/>
    </row>
    <row r="27" spans="2:11">
      <c r="B27" s="9" t="s">
        <v>17</v>
      </c>
      <c r="C27" s="10" t="s">
        <v>111</v>
      </c>
      <c r="D27" s="226">
        <v>-64625.25</v>
      </c>
      <c r="E27" s="263">
        <f>E28-E32</f>
        <v>-28800.010000000002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3754.55</v>
      </c>
      <c r="E28" s="264">
        <f>SUM(E29:E31)</f>
        <v>12507.85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3754.55</v>
      </c>
      <c r="E29" s="265">
        <v>3735.19</v>
      </c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>
        <v>8772.66</v>
      </c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68379.8</v>
      </c>
      <c r="E32" s="264">
        <f>SUM(E33:E39)</f>
        <v>41307.86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66538.990000000005</v>
      </c>
      <c r="E33" s="265">
        <v>40279.57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282</v>
      </c>
      <c r="E35" s="265">
        <v>264.8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1558.81</v>
      </c>
      <c r="E37" s="265">
        <v>763.49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-11753.68</v>
      </c>
      <c r="E40" s="271">
        <v>6479.41</v>
      </c>
      <c r="G40" s="80"/>
    </row>
    <row r="41" spans="2:10" ht="13.5" thickBot="1">
      <c r="B41" s="106" t="s">
        <v>37</v>
      </c>
      <c r="C41" s="107" t="s">
        <v>38</v>
      </c>
      <c r="D41" s="230">
        <v>122941.64000000001</v>
      </c>
      <c r="E41" s="155">
        <f>E26+E27+E40</f>
        <v>89327.98000000001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884.88599999999997</v>
      </c>
      <c r="E47" s="156">
        <v>552.25098000000003</v>
      </c>
      <c r="G47" s="76"/>
    </row>
    <row r="48" spans="2:10">
      <c r="B48" s="204" t="s">
        <v>6</v>
      </c>
      <c r="C48" s="205" t="s">
        <v>41</v>
      </c>
      <c r="D48" s="232">
        <v>585.10203999999999</v>
      </c>
      <c r="E48" s="156">
        <f>E21/E53</f>
        <v>414.51498839907191</v>
      </c>
      <c r="G48" s="210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225.25</v>
      </c>
      <c r="E50" s="156">
        <v>202.17</v>
      </c>
      <c r="G50" s="190"/>
    </row>
    <row r="51" spans="2:7">
      <c r="B51" s="202" t="s">
        <v>6</v>
      </c>
      <c r="C51" s="203" t="s">
        <v>114</v>
      </c>
      <c r="D51" s="234">
        <v>207.5</v>
      </c>
      <c r="E51" s="81">
        <v>200.74</v>
      </c>
      <c r="G51" s="190"/>
    </row>
    <row r="52" spans="2:7">
      <c r="B52" s="202" t="s">
        <v>8</v>
      </c>
      <c r="C52" s="203" t="s">
        <v>115</v>
      </c>
      <c r="D52" s="234">
        <v>234.42</v>
      </c>
      <c r="E52" s="81">
        <v>216.62</v>
      </c>
    </row>
    <row r="53" spans="2:7" ht="13.5" thickBot="1">
      <c r="B53" s="206" t="s">
        <v>9</v>
      </c>
      <c r="C53" s="207" t="s">
        <v>41</v>
      </c>
      <c r="D53" s="235">
        <v>210.12</v>
      </c>
      <c r="E53" s="272">
        <v>215.5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89327.98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24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89327.98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89327.98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89327.98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000000000000005" right="0.75" top="0.53" bottom="0.55000000000000004" header="0.5" footer="0.5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L81"/>
  <sheetViews>
    <sheetView zoomScale="80" zoomScaleNormal="80" workbookViewId="0">
      <selection activeCell="G21" sqref="G21:K4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0.7109375" customWidth="1"/>
    <col min="9" max="9" width="13.28515625" customWidth="1"/>
    <col min="10" max="10" width="14.140625" customWidth="1"/>
    <col min="11" max="11" width="15.8554687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2"/>
      <c r="C4" s="92"/>
      <c r="D4" s="92"/>
      <c r="E4" s="92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99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282"/>
      <c r="C10" s="246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70524437.230000004</v>
      </c>
      <c r="E11" s="284">
        <f>SUM(E12:E14)</f>
        <v>74665864.930000007</v>
      </c>
    </row>
    <row r="12" spans="2:12">
      <c r="B12" s="191" t="s">
        <v>4</v>
      </c>
      <c r="C12" s="192" t="s">
        <v>5</v>
      </c>
      <c r="D12" s="329">
        <v>70218656.609999999</v>
      </c>
      <c r="E12" s="353">
        <f>75542014.32+340808.67+9.34-1442234.41</f>
        <v>74440597.920000002</v>
      </c>
    </row>
    <row r="13" spans="2:12">
      <c r="B13" s="191" t="s">
        <v>6</v>
      </c>
      <c r="C13" s="193" t="s">
        <v>7</v>
      </c>
      <c r="D13" s="322"/>
      <c r="E13" s="354">
        <v>7.06</v>
      </c>
    </row>
    <row r="14" spans="2:12">
      <c r="B14" s="191" t="s">
        <v>8</v>
      </c>
      <c r="C14" s="193" t="s">
        <v>10</v>
      </c>
      <c r="D14" s="322">
        <v>305780.62</v>
      </c>
      <c r="E14" s="354">
        <f>E15</f>
        <v>225259.95</v>
      </c>
    </row>
    <row r="15" spans="2:12">
      <c r="B15" s="191" t="s">
        <v>106</v>
      </c>
      <c r="C15" s="193" t="s">
        <v>11</v>
      </c>
      <c r="D15" s="322">
        <v>305780.62</v>
      </c>
      <c r="E15" s="354">
        <v>225259.95</v>
      </c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>
        <v>38993.769999999997</v>
      </c>
      <c r="E17" s="356">
        <f>E18</f>
        <v>34086.770000000004</v>
      </c>
    </row>
    <row r="18" spans="2:11">
      <c r="B18" s="191" t="s">
        <v>4</v>
      </c>
      <c r="C18" s="192" t="s">
        <v>11</v>
      </c>
      <c r="D18" s="324">
        <v>38993.769999999997</v>
      </c>
      <c r="E18" s="355">
        <v>34086.770000000004</v>
      </c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70485443.460000008</v>
      </c>
      <c r="E21" s="155">
        <f>E11-E17</f>
        <v>74631778.160000011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7"/>
      <c r="D23" s="507"/>
      <c r="E23" s="507"/>
      <c r="G23" s="76"/>
    </row>
    <row r="24" spans="2:11" ht="17.25" customHeight="1" thickBot="1">
      <c r="B24" s="498" t="s">
        <v>105</v>
      </c>
      <c r="C24" s="508"/>
      <c r="D24" s="508"/>
      <c r="E24" s="508"/>
    </row>
    <row r="25" spans="2:11" ht="13.5" thickBot="1">
      <c r="B25" s="93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63399502.130000003</v>
      </c>
      <c r="E26" s="270">
        <f>D21</f>
        <v>70485443.460000008</v>
      </c>
      <c r="G26" s="80"/>
    </row>
    <row r="27" spans="2:11">
      <c r="B27" s="9" t="s">
        <v>17</v>
      </c>
      <c r="C27" s="10" t="s">
        <v>111</v>
      </c>
      <c r="D27" s="226">
        <v>1872814.7199999988</v>
      </c>
      <c r="E27" s="263">
        <f>E28-E32</f>
        <v>3817743.2799999975</v>
      </c>
      <c r="F27" s="76"/>
      <c r="G27" s="160"/>
      <c r="H27" s="359"/>
      <c r="I27" s="359"/>
      <c r="J27" s="359"/>
    </row>
    <row r="28" spans="2:11">
      <c r="B28" s="9" t="s">
        <v>18</v>
      </c>
      <c r="C28" s="10" t="s">
        <v>19</v>
      </c>
      <c r="D28" s="226">
        <v>10396958.539999999</v>
      </c>
      <c r="E28" s="264">
        <f>SUM(E29:E31)</f>
        <v>10402542.169999998</v>
      </c>
      <c r="F28" s="76"/>
      <c r="G28" s="160"/>
      <c r="H28" s="359"/>
      <c r="I28" s="359"/>
      <c r="J28" s="359"/>
    </row>
    <row r="29" spans="2:11">
      <c r="B29" s="111" t="s">
        <v>4</v>
      </c>
      <c r="C29" s="6" t="s">
        <v>20</v>
      </c>
      <c r="D29" s="227">
        <v>9175341</v>
      </c>
      <c r="E29" s="265">
        <v>9320640.8099999987</v>
      </c>
      <c r="F29" s="76"/>
      <c r="G29" s="160"/>
      <c r="H29" s="359"/>
      <c r="I29" s="359"/>
      <c r="J29" s="359"/>
    </row>
    <row r="30" spans="2:11">
      <c r="B30" s="111" t="s">
        <v>6</v>
      </c>
      <c r="C30" s="6" t="s">
        <v>21</v>
      </c>
      <c r="D30" s="227"/>
      <c r="E30" s="265"/>
      <c r="F30" s="76"/>
      <c r="G30" s="160"/>
      <c r="H30" s="359"/>
      <c r="I30" s="359"/>
      <c r="J30" s="359"/>
    </row>
    <row r="31" spans="2:11">
      <c r="B31" s="111" t="s">
        <v>8</v>
      </c>
      <c r="C31" s="6" t="s">
        <v>22</v>
      </c>
      <c r="D31" s="227">
        <v>1221617.54</v>
      </c>
      <c r="E31" s="265">
        <v>1081901.3599999999</v>
      </c>
      <c r="F31" s="76"/>
      <c r="G31" s="160"/>
      <c r="H31" s="359"/>
      <c r="I31" s="359"/>
      <c r="J31" s="359"/>
    </row>
    <row r="32" spans="2:11">
      <c r="B32" s="99" t="s">
        <v>23</v>
      </c>
      <c r="C32" s="11" t="s">
        <v>24</v>
      </c>
      <c r="D32" s="226">
        <v>8524143.8200000003</v>
      </c>
      <c r="E32" s="264">
        <f>SUM(E33:E39)</f>
        <v>6584798.8900000006</v>
      </c>
      <c r="F32" s="76"/>
      <c r="G32" s="160"/>
      <c r="H32" s="359"/>
      <c r="I32" s="359"/>
      <c r="J32" s="359"/>
    </row>
    <row r="33" spans="2:10">
      <c r="B33" s="111" t="s">
        <v>4</v>
      </c>
      <c r="C33" s="6" t="s">
        <v>25</v>
      </c>
      <c r="D33" s="227">
        <v>6497737.7999999998</v>
      </c>
      <c r="E33" s="265">
        <f>5371212.36-398217.38</f>
        <v>4972994.9800000004</v>
      </c>
      <c r="F33" s="76"/>
      <c r="G33" s="160"/>
      <c r="H33" s="359"/>
      <c r="I33" s="359"/>
      <c r="J33" s="359"/>
    </row>
    <row r="34" spans="2:10">
      <c r="B34" s="111" t="s">
        <v>6</v>
      </c>
      <c r="C34" s="6" t="s">
        <v>26</v>
      </c>
      <c r="D34" s="227"/>
      <c r="E34" s="265"/>
      <c r="F34" s="76"/>
      <c r="G34" s="160"/>
      <c r="H34" s="359"/>
      <c r="I34" s="359"/>
      <c r="J34" s="359"/>
    </row>
    <row r="35" spans="2:10">
      <c r="B35" s="111" t="s">
        <v>8</v>
      </c>
      <c r="C35" s="6" t="s">
        <v>27</v>
      </c>
      <c r="D35" s="227">
        <v>654656.16</v>
      </c>
      <c r="E35" s="265">
        <v>720809.29</v>
      </c>
      <c r="F35" s="76"/>
      <c r="G35" s="160"/>
      <c r="H35" s="359"/>
      <c r="I35" s="359"/>
      <c r="J35" s="359"/>
    </row>
    <row r="36" spans="2:10">
      <c r="B36" s="111" t="s">
        <v>9</v>
      </c>
      <c r="C36" s="6" t="s">
        <v>28</v>
      </c>
      <c r="D36" s="227"/>
      <c r="E36" s="265"/>
      <c r="F36" s="76"/>
      <c r="G36" s="160"/>
      <c r="H36" s="359"/>
      <c r="I36" s="359"/>
      <c r="J36" s="359"/>
    </row>
    <row r="37" spans="2:10" ht="25.5">
      <c r="B37" s="111" t="s">
        <v>29</v>
      </c>
      <c r="C37" s="6" t="s">
        <v>30</v>
      </c>
      <c r="D37" s="227"/>
      <c r="E37" s="265"/>
      <c r="F37" s="76"/>
      <c r="G37" s="160"/>
      <c r="H37" s="359"/>
      <c r="I37" s="359"/>
      <c r="J37" s="359"/>
    </row>
    <row r="38" spans="2:10">
      <c r="B38" s="111" t="s">
        <v>31</v>
      </c>
      <c r="C38" s="6" t="s">
        <v>32</v>
      </c>
      <c r="D38" s="227"/>
      <c r="E38" s="265"/>
      <c r="F38" s="76"/>
      <c r="G38" s="160"/>
      <c r="H38" s="359"/>
      <c r="I38" s="359"/>
      <c r="J38" s="359"/>
    </row>
    <row r="39" spans="2:10">
      <c r="B39" s="112" t="s">
        <v>33</v>
      </c>
      <c r="C39" s="12" t="s">
        <v>34</v>
      </c>
      <c r="D39" s="228">
        <v>1371749.86</v>
      </c>
      <c r="E39" s="266">
        <v>890994.62</v>
      </c>
      <c r="F39" s="76"/>
      <c r="G39" s="160"/>
      <c r="H39" s="359"/>
      <c r="I39" s="359"/>
      <c r="J39" s="359"/>
    </row>
    <row r="40" spans="2:10" ht="13.5" thickBot="1">
      <c r="B40" s="104" t="s">
        <v>35</v>
      </c>
      <c r="C40" s="105" t="s">
        <v>36</v>
      </c>
      <c r="D40" s="229">
        <v>-169073.14</v>
      </c>
      <c r="E40" s="271">
        <v>328591.42</v>
      </c>
      <c r="G40" s="80"/>
    </row>
    <row r="41" spans="2:10" ht="13.5" thickBot="1">
      <c r="B41" s="106" t="s">
        <v>37</v>
      </c>
      <c r="C41" s="107" t="s">
        <v>38</v>
      </c>
      <c r="D41" s="230">
        <v>65103243.710000001</v>
      </c>
      <c r="E41" s="155">
        <f>E26+E27+E40</f>
        <v>74631778.160000011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7.25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3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5647151.1624999996</v>
      </c>
      <c r="E47" s="79">
        <v>6267415.9493199997</v>
      </c>
      <c r="G47" s="210"/>
    </row>
    <row r="48" spans="2:10">
      <c r="B48" s="130" t="s">
        <v>6</v>
      </c>
      <c r="C48" s="22" t="s">
        <v>41</v>
      </c>
      <c r="D48" s="232">
        <v>5813074.9473599996</v>
      </c>
      <c r="E48" s="317">
        <v>6606803.8951151725</v>
      </c>
      <c r="G48" s="213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11.2268115914646</v>
      </c>
      <c r="E50" s="79">
        <v>11.2463324645959</v>
      </c>
      <c r="G50" s="239"/>
    </row>
    <row r="51" spans="2:7">
      <c r="B51" s="109" t="s">
        <v>6</v>
      </c>
      <c r="C51" s="15" t="s">
        <v>114</v>
      </c>
      <c r="D51" s="311">
        <v>11.187200000000001</v>
      </c>
      <c r="E51" s="318">
        <v>11.2463</v>
      </c>
      <c r="G51" s="190"/>
    </row>
    <row r="52" spans="2:7" ht="12.75" customHeight="1">
      <c r="B52" s="109" t="s">
        <v>8</v>
      </c>
      <c r="C52" s="15" t="s">
        <v>115</v>
      </c>
      <c r="D52" s="311">
        <v>11.2768</v>
      </c>
      <c r="E52" s="318">
        <v>11.299200000000001</v>
      </c>
    </row>
    <row r="53" spans="2:7" ht="13.5" thickBot="1">
      <c r="B53" s="110" t="s">
        <v>9</v>
      </c>
      <c r="C53" s="17" t="s">
        <v>41</v>
      </c>
      <c r="D53" s="235">
        <v>11.1994502564465</v>
      </c>
      <c r="E53" s="319">
        <v>11.296200000000001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SUM(D59:D70)</f>
        <v>74440597.920000002</v>
      </c>
      <c r="E58" s="32">
        <f>D58/E21</f>
        <v>0.99743835341039111</v>
      </c>
    </row>
    <row r="59" spans="2:7" ht="25.5">
      <c r="B59" s="21" t="s">
        <v>4</v>
      </c>
      <c r="C59" s="22" t="s">
        <v>44</v>
      </c>
      <c r="D59" s="86">
        <v>0</v>
      </c>
      <c r="E59" s="87">
        <v>0</v>
      </c>
    </row>
    <row r="60" spans="2:7" ht="24" customHeight="1">
      <c r="B60" s="14" t="s">
        <v>6</v>
      </c>
      <c r="C60" s="15" t="s">
        <v>45</v>
      </c>
      <c r="D60" s="84">
        <v>0</v>
      </c>
      <c r="E60" s="85">
        <v>0</v>
      </c>
    </row>
    <row r="61" spans="2:7">
      <c r="B61" s="14" t="s">
        <v>8</v>
      </c>
      <c r="C61" s="15" t="s">
        <v>46</v>
      </c>
      <c r="D61" s="84">
        <v>0</v>
      </c>
      <c r="E61" s="85">
        <v>0</v>
      </c>
    </row>
    <row r="62" spans="2:7">
      <c r="B62" s="14" t="s">
        <v>9</v>
      </c>
      <c r="C62" s="15" t="s">
        <v>47</v>
      </c>
      <c r="D62" s="84">
        <v>0</v>
      </c>
      <c r="E62" s="85">
        <v>0</v>
      </c>
    </row>
    <row r="63" spans="2:7">
      <c r="B63" s="14" t="s">
        <v>29</v>
      </c>
      <c r="C63" s="15" t="s">
        <v>48</v>
      </c>
      <c r="D63" s="84">
        <v>0</v>
      </c>
      <c r="E63" s="85">
        <v>0</v>
      </c>
    </row>
    <row r="64" spans="2:7">
      <c r="B64" s="21" t="s">
        <v>31</v>
      </c>
      <c r="C64" s="22" t="s">
        <v>49</v>
      </c>
      <c r="D64" s="314">
        <f>75542014.32-1442234.41</f>
        <v>74099779.909999996</v>
      </c>
      <c r="E64" s="87">
        <f>D64/E21</f>
        <v>0.99287169268753739</v>
      </c>
    </row>
    <row r="65" spans="2:5">
      <c r="B65" s="21" t="s">
        <v>33</v>
      </c>
      <c r="C65" s="22" t="s">
        <v>118</v>
      </c>
      <c r="D65" s="86">
        <v>0</v>
      </c>
      <c r="E65" s="87">
        <v>0</v>
      </c>
    </row>
    <row r="66" spans="2:5">
      <c r="B66" s="21" t="s">
        <v>50</v>
      </c>
      <c r="C66" s="22" t="s">
        <v>51</v>
      </c>
      <c r="D66" s="86">
        <v>0</v>
      </c>
      <c r="E66" s="87">
        <v>0</v>
      </c>
    </row>
    <row r="67" spans="2:5">
      <c r="B67" s="14" t="s">
        <v>52</v>
      </c>
      <c r="C67" s="15" t="s">
        <v>53</v>
      </c>
      <c r="D67" s="84">
        <v>0</v>
      </c>
      <c r="E67" s="85">
        <v>0</v>
      </c>
    </row>
    <row r="68" spans="2:5">
      <c r="B68" s="14" t="s">
        <v>54</v>
      </c>
      <c r="C68" s="15" t="s">
        <v>55</v>
      </c>
      <c r="D68" s="84">
        <v>0</v>
      </c>
      <c r="E68" s="85">
        <v>0</v>
      </c>
    </row>
    <row r="69" spans="2:5">
      <c r="B69" s="14" t="s">
        <v>56</v>
      </c>
      <c r="C69" s="15" t="s">
        <v>57</v>
      </c>
      <c r="D69" s="334">
        <v>340818.01</v>
      </c>
      <c r="E69" s="85">
        <f>D69/E21</f>
        <v>4.5666607228536651E-3</v>
      </c>
    </row>
    <row r="70" spans="2:5">
      <c r="B70" s="119" t="s">
        <v>58</v>
      </c>
      <c r="C70" s="120" t="s">
        <v>59</v>
      </c>
      <c r="D70" s="121">
        <v>0</v>
      </c>
      <c r="E70" s="122">
        <v>0</v>
      </c>
    </row>
    <row r="71" spans="2:5">
      <c r="B71" s="127" t="s">
        <v>23</v>
      </c>
      <c r="C71" s="128" t="s">
        <v>61</v>
      </c>
      <c r="D71" s="129">
        <f>E13</f>
        <v>7.06</v>
      </c>
      <c r="E71" s="69">
        <v>0</v>
      </c>
    </row>
    <row r="72" spans="2:5">
      <c r="B72" s="123" t="s">
        <v>60</v>
      </c>
      <c r="C72" s="124" t="s">
        <v>63</v>
      </c>
      <c r="D72" s="125">
        <f>E14</f>
        <v>225259.95</v>
      </c>
      <c r="E72" s="126">
        <f>D72/E21</f>
        <v>3.0182846443384268E-3</v>
      </c>
    </row>
    <row r="73" spans="2:5">
      <c r="B73" s="23" t="s">
        <v>62</v>
      </c>
      <c r="C73" s="24" t="s">
        <v>65</v>
      </c>
      <c r="D73" s="25">
        <f>E17</f>
        <v>34086.770000000004</v>
      </c>
      <c r="E73" s="26">
        <f>D73/E21</f>
        <v>4.5673265250256766E-4</v>
      </c>
    </row>
    <row r="74" spans="2:5">
      <c r="B74" s="127" t="s">
        <v>64</v>
      </c>
      <c r="C74" s="128" t="s">
        <v>66</v>
      </c>
      <c r="D74" s="129">
        <f>D58+D71+D72-D73</f>
        <v>74631778.160000011</v>
      </c>
      <c r="E74" s="69">
        <f>E58+E72-E73</f>
        <v>0.99999990540222694</v>
      </c>
    </row>
    <row r="75" spans="2:5">
      <c r="B75" s="14" t="s">
        <v>4</v>
      </c>
      <c r="C75" s="15" t="s">
        <v>67</v>
      </c>
      <c r="D75" s="84">
        <f>D74</f>
        <v>74631778.160000011</v>
      </c>
      <c r="E75" s="85">
        <f>E74</f>
        <v>0.99999990540222694</v>
      </c>
    </row>
    <row r="76" spans="2:5">
      <c r="B76" s="14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6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" right="0.75" top="0.61" bottom="0.55000000000000004" header="0.5" footer="0.5"/>
  <pageSetup paperSize="9" scale="70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0"/>
  <dimension ref="A1:L81"/>
  <sheetViews>
    <sheetView zoomScale="80" zoomScaleNormal="80" workbookViewId="0">
      <selection activeCell="G15" sqref="G15:L3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2.28515625" customWidth="1"/>
    <col min="9" max="9" width="13.28515625" customWidth="1"/>
    <col min="10" max="10" width="13.5703125" customWidth="1"/>
    <col min="11" max="11" width="17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5"/>
      <c r="C4" s="145"/>
      <c r="D4" s="145"/>
      <c r="E4" s="145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77</v>
      </c>
      <c r="C6" s="497"/>
      <c r="D6" s="497"/>
      <c r="E6" s="497"/>
    </row>
    <row r="7" spans="2:12" ht="14.25">
      <c r="B7" s="143"/>
      <c r="C7" s="143"/>
      <c r="D7" s="143"/>
      <c r="E7" s="143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4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26020525.09</v>
      </c>
      <c r="E11" s="284">
        <f>SUM(E12:E14)</f>
        <v>26626292.280000001</v>
      </c>
    </row>
    <row r="12" spans="2:12">
      <c r="B12" s="191" t="s">
        <v>4</v>
      </c>
      <c r="C12" s="192" t="s">
        <v>5</v>
      </c>
      <c r="D12" s="329">
        <v>26020525.09</v>
      </c>
      <c r="E12" s="353">
        <f>26662187.89-35895.61</f>
        <v>26626292.280000001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26020525.09</v>
      </c>
      <c r="E21" s="155">
        <f>E11-E17</f>
        <v>26626292.280000001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  <c r="H22" s="167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189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30808873.649999999</v>
      </c>
      <c r="E26" s="270">
        <f>D21</f>
        <v>26020525.09</v>
      </c>
      <c r="G26" s="80"/>
    </row>
    <row r="27" spans="2:11">
      <c r="B27" s="9" t="s">
        <v>17</v>
      </c>
      <c r="C27" s="10" t="s">
        <v>111</v>
      </c>
      <c r="D27" s="226">
        <v>-732707.77</v>
      </c>
      <c r="E27" s="263">
        <f>E28-E32</f>
        <v>-1856767.85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1352701.93</v>
      </c>
      <c r="E28" s="264">
        <f>SUM(E29:E31)</f>
        <v>1149687.3700000001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1352701.93</v>
      </c>
      <c r="E29" s="265">
        <v>1149687.3700000001</v>
      </c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2085409.7</v>
      </c>
      <c r="E32" s="264">
        <f>SUM(E33:E39)</f>
        <v>3006455.22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2085409.7</v>
      </c>
      <c r="E33" s="265">
        <v>3006455.22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/>
      <c r="E35" s="265"/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/>
      <c r="E37" s="265"/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-2746503.11</v>
      </c>
      <c r="E40" s="271">
        <v>2462535.04</v>
      </c>
      <c r="G40" s="80"/>
    </row>
    <row r="41" spans="2:10" ht="13.5" thickBot="1">
      <c r="B41" s="106" t="s">
        <v>37</v>
      </c>
      <c r="C41" s="107" t="s">
        <v>38</v>
      </c>
      <c r="D41" s="230">
        <v>27329662.77</v>
      </c>
      <c r="E41" s="155">
        <f>E26+E27+E40</f>
        <v>26626292.279999997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1503025.8537999999</v>
      </c>
      <c r="E47" s="156">
        <v>1452208.4110999999</v>
      </c>
      <c r="G47" s="76"/>
    </row>
    <row r="48" spans="2:10">
      <c r="B48" s="130" t="s">
        <v>6</v>
      </c>
      <c r="C48" s="22" t="s">
        <v>41</v>
      </c>
      <c r="D48" s="232">
        <v>1467033.6232</v>
      </c>
      <c r="E48" s="156">
        <f>E21/E53</f>
        <v>1352199.3326934504</v>
      </c>
      <c r="G48" s="16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109" t="s">
        <v>4</v>
      </c>
      <c r="C50" s="15" t="s">
        <v>40</v>
      </c>
      <c r="D50" s="231">
        <v>20.497900000000001</v>
      </c>
      <c r="E50" s="156">
        <v>17.917899999999999</v>
      </c>
      <c r="G50" s="190"/>
    </row>
    <row r="51" spans="2:7">
      <c r="B51" s="109" t="s">
        <v>6</v>
      </c>
      <c r="C51" s="15" t="s">
        <v>114</v>
      </c>
      <c r="D51" s="234">
        <v>18.566199999999998</v>
      </c>
      <c r="E51" s="81">
        <v>17.882999999999999</v>
      </c>
      <c r="G51" s="190"/>
    </row>
    <row r="52" spans="2:7">
      <c r="B52" s="109" t="s">
        <v>8</v>
      </c>
      <c r="C52" s="15" t="s">
        <v>115</v>
      </c>
      <c r="D52" s="234">
        <v>21.9465</v>
      </c>
      <c r="E52" s="81">
        <v>19.803800000000003</v>
      </c>
    </row>
    <row r="53" spans="2:7" ht="13.5" customHeight="1" thickBot="1">
      <c r="B53" s="110" t="s">
        <v>9</v>
      </c>
      <c r="C53" s="17" t="s">
        <v>41</v>
      </c>
      <c r="D53" s="235">
        <v>18.629200000000001</v>
      </c>
      <c r="E53" s="272">
        <v>19.691099999999999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26626292.280000001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26626292.280000001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26626292.280000001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26626292.280000001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000000000000005" right="0.75" top="0.62" bottom="0.52" header="0.5" footer="0.5"/>
  <pageSetup paperSize="9" scale="70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1"/>
  <dimension ref="A1:L81"/>
  <sheetViews>
    <sheetView zoomScale="80" zoomScaleNormal="80" workbookViewId="0">
      <selection activeCell="G18" sqref="G18:K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7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5"/>
      <c r="C4" s="145"/>
      <c r="D4" s="145"/>
      <c r="E4" s="145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78</v>
      </c>
      <c r="C6" s="497"/>
      <c r="D6" s="497"/>
      <c r="E6" s="497"/>
    </row>
    <row r="7" spans="2:12" ht="14.25">
      <c r="B7" s="143"/>
      <c r="C7" s="143"/>
      <c r="D7" s="143"/>
      <c r="E7" s="143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4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37733841.700000003</v>
      </c>
      <c r="E11" s="284">
        <f>SUM(E12:E14)</f>
        <v>37070333.969999999</v>
      </c>
    </row>
    <row r="12" spans="2:12">
      <c r="B12" s="191" t="s">
        <v>4</v>
      </c>
      <c r="C12" s="192" t="s">
        <v>5</v>
      </c>
      <c r="D12" s="329">
        <v>37733841.700000003</v>
      </c>
      <c r="E12" s="353">
        <f>37091312.66-20978.69</f>
        <v>37070333.969999999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37733841.700000003</v>
      </c>
      <c r="E21" s="155">
        <f>E11-E17</f>
        <v>37070333.969999999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  <c r="H22" s="167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43851822.480000004</v>
      </c>
      <c r="E26" s="270">
        <f>D21</f>
        <v>37733841.700000003</v>
      </c>
      <c r="G26" s="80"/>
    </row>
    <row r="27" spans="2:11">
      <c r="B27" s="9" t="s">
        <v>17</v>
      </c>
      <c r="C27" s="10" t="s">
        <v>111</v>
      </c>
      <c r="D27" s="226">
        <v>-1553178.5400000003</v>
      </c>
      <c r="E27" s="263">
        <f>E28-E32</f>
        <v>-2074753.6899999997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1886191.51</v>
      </c>
      <c r="E28" s="264">
        <f>SUM(E29:E31)</f>
        <v>1650447.09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1886191.51</v>
      </c>
      <c r="E29" s="265">
        <v>1650447.09</v>
      </c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3439370.0500000003</v>
      </c>
      <c r="E32" s="264">
        <f>SUM(E33:E39)</f>
        <v>3725200.78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3439370.0500000003</v>
      </c>
      <c r="E33" s="265">
        <v>3725200.78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/>
      <c r="E35" s="265"/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/>
      <c r="E37" s="265"/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-2216497.2400000002</v>
      </c>
      <c r="E40" s="271">
        <v>1411245.96</v>
      </c>
      <c r="G40" s="80"/>
    </row>
    <row r="41" spans="2:10" ht="13.5" thickBot="1">
      <c r="B41" s="106" t="s">
        <v>37</v>
      </c>
      <c r="C41" s="107" t="s">
        <v>38</v>
      </c>
      <c r="D41" s="230">
        <v>40082146.700000003</v>
      </c>
      <c r="E41" s="155">
        <f>E26+E27+E40</f>
        <v>37070333.970000006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856683.36618600006</v>
      </c>
      <c r="E47" s="156">
        <v>828481.25842600001</v>
      </c>
      <c r="G47" s="76"/>
    </row>
    <row r="48" spans="2:10">
      <c r="B48" s="130" t="s">
        <v>6</v>
      </c>
      <c r="C48" s="22" t="s">
        <v>41</v>
      </c>
      <c r="D48" s="232">
        <v>825860.46640000003</v>
      </c>
      <c r="E48" s="156">
        <f>E21/E53</f>
        <v>784016.40286278666</v>
      </c>
      <c r="G48" s="212"/>
    </row>
    <row r="49" spans="2:7">
      <c r="B49" s="127" t="s">
        <v>23</v>
      </c>
      <c r="C49" s="131" t="s">
        <v>113</v>
      </c>
      <c r="D49" s="233"/>
      <c r="E49" s="156"/>
      <c r="G49" s="212"/>
    </row>
    <row r="50" spans="2:7">
      <c r="B50" s="109" t="s">
        <v>4</v>
      </c>
      <c r="C50" s="15" t="s">
        <v>40</v>
      </c>
      <c r="D50" s="231">
        <v>51.187899999999999</v>
      </c>
      <c r="E50" s="156">
        <v>45.5458</v>
      </c>
      <c r="G50" s="190"/>
    </row>
    <row r="51" spans="2:7">
      <c r="B51" s="109" t="s">
        <v>6</v>
      </c>
      <c r="C51" s="15" t="s">
        <v>114</v>
      </c>
      <c r="D51" s="234">
        <v>48.512799999999999</v>
      </c>
      <c r="E51" s="81">
        <v>45.451799999999999</v>
      </c>
      <c r="G51" s="190"/>
    </row>
    <row r="52" spans="2:7">
      <c r="B52" s="109" t="s">
        <v>8</v>
      </c>
      <c r="C52" s="15" t="s">
        <v>115</v>
      </c>
      <c r="D52" s="234">
        <v>54.7348</v>
      </c>
      <c r="E52" s="81">
        <v>47.490300000000005</v>
      </c>
    </row>
    <row r="53" spans="2:7" ht="12.75" customHeight="1" thickBot="1">
      <c r="B53" s="110" t="s">
        <v>9</v>
      </c>
      <c r="C53" s="17" t="s">
        <v>41</v>
      </c>
      <c r="D53" s="235">
        <v>48.533799999999999</v>
      </c>
      <c r="E53" s="272">
        <v>47.282600000000002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37070333.969999999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E12</f>
        <v>37070333.969999999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7" t="s">
        <v>64</v>
      </c>
      <c r="C74" s="128" t="s">
        <v>66</v>
      </c>
      <c r="D74" s="129">
        <f>D58-D73</f>
        <v>37070333.969999999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37070333.969999999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62" bottom="0.61" header="0.5" footer="0.5"/>
  <pageSetup paperSize="9" scale="70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2"/>
  <dimension ref="A1:L81"/>
  <sheetViews>
    <sheetView zoomScale="80" zoomScaleNormal="80" workbookViewId="0">
      <selection activeCell="G17" sqref="G17:K3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1.28515625" customWidth="1"/>
    <col min="9" max="9" width="13.28515625" customWidth="1"/>
    <col min="10" max="10" width="13.5703125" customWidth="1"/>
    <col min="11" max="11" width="17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21" customHeight="1">
      <c r="B5" s="496" t="s">
        <v>1</v>
      </c>
      <c r="C5" s="496"/>
      <c r="D5" s="496"/>
      <c r="E5" s="496"/>
    </row>
    <row r="6" spans="2:12" ht="14.25" customHeight="1">
      <c r="B6" s="497" t="s">
        <v>79</v>
      </c>
      <c r="C6" s="497"/>
      <c r="D6" s="497"/>
      <c r="E6" s="497"/>
    </row>
    <row r="7" spans="2:12" ht="14.25">
      <c r="B7" s="281"/>
      <c r="C7" s="281"/>
      <c r="D7" s="281"/>
      <c r="E7" s="281"/>
    </row>
    <row r="8" spans="2:12" ht="13.5" customHeight="1">
      <c r="B8" s="499" t="s">
        <v>18</v>
      </c>
      <c r="C8" s="499"/>
      <c r="D8" s="499"/>
      <c r="E8" s="499"/>
    </row>
    <row r="9" spans="2:12" ht="16.5" customHeight="1" thickBot="1">
      <c r="B9" s="498" t="s">
        <v>103</v>
      </c>
      <c r="C9" s="498"/>
      <c r="D9" s="498"/>
      <c r="E9" s="498"/>
    </row>
    <row r="10" spans="2:12" ht="13.5" thickBot="1">
      <c r="B10" s="282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31352304.68</v>
      </c>
      <c r="E11" s="284">
        <f>SUM(E12:E14)</f>
        <v>30978475.559999999</v>
      </c>
    </row>
    <row r="12" spans="2:12">
      <c r="B12" s="191" t="s">
        <v>4</v>
      </c>
      <c r="C12" s="192" t="s">
        <v>5</v>
      </c>
      <c r="D12" s="329">
        <v>31352304.68</v>
      </c>
      <c r="E12" s="353">
        <f>31021347.88-42872.32</f>
        <v>30978475.559999999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customHeight="1" thickBot="1">
      <c r="B21" s="503" t="s">
        <v>110</v>
      </c>
      <c r="C21" s="529"/>
      <c r="D21" s="287">
        <v>31352304.68</v>
      </c>
      <c r="E21" s="155">
        <f>E11-E17</f>
        <v>30978475.559999999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  <c r="H22" s="167"/>
    </row>
    <row r="23" spans="2:11" ht="13.5" customHeight="1">
      <c r="B23" s="499" t="s">
        <v>104</v>
      </c>
      <c r="C23" s="499"/>
      <c r="D23" s="499"/>
      <c r="E23" s="499"/>
      <c r="G23" s="76"/>
    </row>
    <row r="24" spans="2:11" ht="15.75" customHeight="1" thickBot="1">
      <c r="B24" s="498" t="s">
        <v>105</v>
      </c>
      <c r="C24" s="498"/>
      <c r="D24" s="498"/>
      <c r="E24" s="498"/>
    </row>
    <row r="25" spans="2:11" ht="13.5" thickBot="1">
      <c r="B25" s="282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37772087.049999997</v>
      </c>
      <c r="E26" s="270">
        <f>D21</f>
        <v>31352304.68</v>
      </c>
      <c r="G26" s="80"/>
    </row>
    <row r="27" spans="2:11">
      <c r="B27" s="9" t="s">
        <v>17</v>
      </c>
      <c r="C27" s="10" t="s">
        <v>111</v>
      </c>
      <c r="D27" s="226">
        <v>-2034270.96</v>
      </c>
      <c r="E27" s="263">
        <f>E28-E32</f>
        <v>-1737487.24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1560099.98</v>
      </c>
      <c r="E28" s="264">
        <f>SUM(E29:E31)</f>
        <v>1359516.51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1560099.98</v>
      </c>
      <c r="E29" s="265">
        <v>1359516.51</v>
      </c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3594370.94</v>
      </c>
      <c r="E32" s="264">
        <f>SUM(E33:E39)</f>
        <v>3097003.75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3594370.94</v>
      </c>
      <c r="E33" s="265">
        <v>3097003.75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/>
      <c r="E35" s="265"/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/>
      <c r="E37" s="265"/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-1876840.31</v>
      </c>
      <c r="E40" s="271">
        <v>1363658.12</v>
      </c>
      <c r="G40" s="80"/>
    </row>
    <row r="41" spans="2:10" ht="13.5" thickBot="1">
      <c r="B41" s="106" t="s">
        <v>37</v>
      </c>
      <c r="C41" s="107" t="s">
        <v>38</v>
      </c>
      <c r="D41" s="230">
        <v>33860975.779999994</v>
      </c>
      <c r="E41" s="155">
        <f>E26+E27+E40</f>
        <v>30978475.560000002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 customHeight="1">
      <c r="B43" s="500" t="s">
        <v>60</v>
      </c>
      <c r="C43" s="500"/>
      <c r="D43" s="500"/>
      <c r="E43" s="500"/>
      <c r="G43" s="76"/>
    </row>
    <row r="44" spans="2:10" ht="18" customHeight="1" thickBot="1">
      <c r="B44" s="498" t="s">
        <v>121</v>
      </c>
      <c r="C44" s="498"/>
      <c r="D44" s="498"/>
      <c r="E44" s="498"/>
      <c r="G44" s="76"/>
    </row>
    <row r="45" spans="2:10" ht="13.5" thickBot="1">
      <c r="B45" s="282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706206.44039999996</v>
      </c>
      <c r="E47" s="156">
        <v>667678.32579000003</v>
      </c>
      <c r="G47" s="76"/>
    </row>
    <row r="48" spans="2:10">
      <c r="B48" s="204" t="s">
        <v>6</v>
      </c>
      <c r="C48" s="205" t="s">
        <v>41</v>
      </c>
      <c r="D48" s="232">
        <v>667362.57042999996</v>
      </c>
      <c r="E48" s="156">
        <f>E21/E53</f>
        <v>631787.0083678168</v>
      </c>
      <c r="G48" s="210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53.485900000000001</v>
      </c>
      <c r="E50" s="156">
        <v>46.9572</v>
      </c>
      <c r="G50" s="190"/>
    </row>
    <row r="51" spans="2:7">
      <c r="B51" s="202" t="s">
        <v>6</v>
      </c>
      <c r="C51" s="203" t="s">
        <v>114</v>
      </c>
      <c r="D51" s="234">
        <v>50.714599999999997</v>
      </c>
      <c r="E51" s="81">
        <v>46.864200000000004</v>
      </c>
      <c r="G51" s="190"/>
    </row>
    <row r="52" spans="2:7">
      <c r="B52" s="202" t="s">
        <v>8</v>
      </c>
      <c r="C52" s="203" t="s">
        <v>115</v>
      </c>
      <c r="D52" s="234">
        <v>57.652299999999997</v>
      </c>
      <c r="E52" s="81">
        <v>49.315200000000004</v>
      </c>
    </row>
    <row r="53" spans="2:7" ht="13.5" customHeight="1" thickBot="1">
      <c r="B53" s="206" t="s">
        <v>9</v>
      </c>
      <c r="C53" s="207" t="s">
        <v>41</v>
      </c>
      <c r="D53" s="235">
        <v>50.738500000000002</v>
      </c>
      <c r="E53" s="272">
        <v>49.033099999999997</v>
      </c>
    </row>
    <row r="54" spans="2:7">
      <c r="B54" s="116"/>
      <c r="C54" s="117"/>
      <c r="D54" s="118"/>
      <c r="E54" s="118"/>
    </row>
    <row r="55" spans="2:7" ht="13.5" customHeight="1">
      <c r="B55" s="500" t="s">
        <v>62</v>
      </c>
      <c r="C55" s="500"/>
      <c r="D55" s="500"/>
      <c r="E55" s="500"/>
    </row>
    <row r="56" spans="2:7" ht="18" customHeight="1" thickBot="1">
      <c r="B56" s="498" t="s">
        <v>116</v>
      </c>
      <c r="C56" s="498"/>
      <c r="D56" s="498"/>
      <c r="E56" s="498"/>
    </row>
    <row r="57" spans="2:7" ht="23.25" customHeight="1" thickBot="1">
      <c r="B57" s="527" t="s">
        <v>42</v>
      </c>
      <c r="C57" s="528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30978475.559999999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E12</f>
        <v>30978475.559999999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7" t="s">
        <v>64</v>
      </c>
      <c r="C74" s="128" t="s">
        <v>66</v>
      </c>
      <c r="D74" s="129">
        <f>D58-D73</f>
        <v>30978475.559999999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30978475.559999999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75" right="0.75" top="0.71" bottom="0.63" header="0.5" footer="0.5"/>
  <pageSetup paperSize="9" scale="70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3"/>
  <dimension ref="A1:L81"/>
  <sheetViews>
    <sheetView zoomScale="80" zoomScaleNormal="80" workbookViewId="0">
      <selection activeCell="G19" sqref="G19:K3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7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21" customHeight="1">
      <c r="B5" s="496" t="s">
        <v>1</v>
      </c>
      <c r="C5" s="496"/>
      <c r="D5" s="496"/>
      <c r="E5" s="496"/>
    </row>
    <row r="6" spans="2:12" ht="14.25" customHeight="1">
      <c r="B6" s="497" t="s">
        <v>80</v>
      </c>
      <c r="C6" s="497"/>
      <c r="D6" s="497"/>
      <c r="E6" s="497"/>
    </row>
    <row r="7" spans="2:12" ht="14.25">
      <c r="B7" s="281"/>
      <c r="C7" s="281"/>
      <c r="D7" s="281"/>
      <c r="E7" s="281"/>
    </row>
    <row r="8" spans="2:12" ht="13.5" customHeight="1">
      <c r="B8" s="499" t="s">
        <v>18</v>
      </c>
      <c r="C8" s="499"/>
      <c r="D8" s="499"/>
      <c r="E8" s="499"/>
    </row>
    <row r="9" spans="2:12" ht="16.5" customHeight="1" thickBot="1">
      <c r="B9" s="498" t="s">
        <v>103</v>
      </c>
      <c r="C9" s="498"/>
      <c r="D9" s="498"/>
      <c r="E9" s="498"/>
    </row>
    <row r="10" spans="2:12" ht="13.5" thickBot="1">
      <c r="B10" s="282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29619334.02</v>
      </c>
      <c r="E11" s="284">
        <f>SUM(E12:E14)</f>
        <v>29890195.140000001</v>
      </c>
    </row>
    <row r="12" spans="2:12">
      <c r="B12" s="113" t="s">
        <v>4</v>
      </c>
      <c r="C12" s="6" t="s">
        <v>5</v>
      </c>
      <c r="D12" s="329">
        <v>29619334.02</v>
      </c>
      <c r="E12" s="353">
        <f>29890500.32-305.18</f>
        <v>29890195.140000001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customHeight="1" thickBot="1">
      <c r="B21" s="503" t="s">
        <v>110</v>
      </c>
      <c r="C21" s="529"/>
      <c r="D21" s="287">
        <v>29619334.02</v>
      </c>
      <c r="E21" s="155">
        <f>E11-E17</f>
        <v>29890195.140000001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  <c r="H22" s="167"/>
    </row>
    <row r="23" spans="2:11" ht="13.5" customHeight="1">
      <c r="B23" s="499" t="s">
        <v>104</v>
      </c>
      <c r="C23" s="499"/>
      <c r="D23" s="499"/>
      <c r="E23" s="499"/>
      <c r="G23" s="76"/>
    </row>
    <row r="24" spans="2:11" ht="15.75" customHeight="1" thickBot="1">
      <c r="B24" s="498" t="s">
        <v>105</v>
      </c>
      <c r="C24" s="498"/>
      <c r="D24" s="498"/>
      <c r="E24" s="498"/>
    </row>
    <row r="25" spans="2:11" ht="13.5" thickBot="1">
      <c r="B25" s="282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34368672.130000003</v>
      </c>
      <c r="E26" s="270">
        <f>D21</f>
        <v>29619334.02</v>
      </c>
      <c r="G26" s="80"/>
    </row>
    <row r="27" spans="2:11">
      <c r="B27" s="9" t="s">
        <v>17</v>
      </c>
      <c r="C27" s="10" t="s">
        <v>111</v>
      </c>
      <c r="D27" s="226">
        <v>-563944.09000000008</v>
      </c>
      <c r="E27" s="263">
        <f>E28-E32</f>
        <v>-1019472.4299999999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1472687.98</v>
      </c>
      <c r="E28" s="264">
        <f>SUM(E29:E31)</f>
        <v>1309505.28</v>
      </c>
      <c r="F28" s="76"/>
      <c r="G28" s="76"/>
      <c r="H28" s="76"/>
      <c r="I28" s="76"/>
      <c r="J28" s="76"/>
    </row>
    <row r="29" spans="2:11">
      <c r="B29" s="111" t="s">
        <v>4</v>
      </c>
      <c r="C29" s="6" t="s">
        <v>20</v>
      </c>
      <c r="D29" s="227">
        <v>1472687.98</v>
      </c>
      <c r="E29" s="265">
        <v>1309505.28</v>
      </c>
      <c r="F29" s="76"/>
      <c r="G29" s="76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11" t="s">
        <v>8</v>
      </c>
      <c r="C31" s="6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2036632.07</v>
      </c>
      <c r="E32" s="264">
        <f>SUM(E33:E39)</f>
        <v>2328977.71</v>
      </c>
      <c r="F32" s="76"/>
      <c r="G32" s="80"/>
      <c r="H32" s="76"/>
      <c r="I32" s="76"/>
      <c r="J32" s="76"/>
    </row>
    <row r="33" spans="2:10">
      <c r="B33" s="111" t="s">
        <v>4</v>
      </c>
      <c r="C33" s="6" t="s">
        <v>25</v>
      </c>
      <c r="D33" s="227">
        <v>2036632.07</v>
      </c>
      <c r="E33" s="265">
        <v>2328977.71</v>
      </c>
      <c r="F33" s="76"/>
      <c r="G33" s="76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11" t="s">
        <v>8</v>
      </c>
      <c r="C35" s="6" t="s">
        <v>27</v>
      </c>
      <c r="D35" s="227"/>
      <c r="E35" s="265"/>
      <c r="F35" s="76"/>
      <c r="G35" s="76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11" t="s">
        <v>29</v>
      </c>
      <c r="C37" s="6" t="s">
        <v>30</v>
      </c>
      <c r="D37" s="227"/>
      <c r="E37" s="265"/>
      <c r="F37" s="76"/>
      <c r="G37" s="76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112" t="s">
        <v>33</v>
      </c>
      <c r="C39" s="12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-1777593.96</v>
      </c>
      <c r="E40" s="271">
        <v>1290333.55</v>
      </c>
      <c r="G40" s="80"/>
    </row>
    <row r="41" spans="2:10" ht="13.5" thickBot="1">
      <c r="B41" s="106" t="s">
        <v>37</v>
      </c>
      <c r="C41" s="107" t="s">
        <v>38</v>
      </c>
      <c r="D41" s="230">
        <v>32027134.079999998</v>
      </c>
      <c r="E41" s="155">
        <f>E26+E27+E40</f>
        <v>29890195.140000001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 customHeight="1">
      <c r="B43" s="500" t="s">
        <v>60</v>
      </c>
      <c r="C43" s="500"/>
      <c r="D43" s="500"/>
      <c r="E43" s="500"/>
      <c r="G43" s="76"/>
    </row>
    <row r="44" spans="2:10" ht="18" customHeight="1" thickBot="1">
      <c r="B44" s="498" t="s">
        <v>121</v>
      </c>
      <c r="C44" s="498"/>
      <c r="D44" s="498"/>
      <c r="E44" s="498"/>
      <c r="G44" s="76"/>
    </row>
    <row r="45" spans="2:10" ht="13.5" thickBot="1">
      <c r="B45" s="282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641234.08522999997</v>
      </c>
      <c r="E47" s="156">
        <v>628289.66501999996</v>
      </c>
      <c r="G47" s="76"/>
    </row>
    <row r="48" spans="2:10">
      <c r="B48" s="130" t="s">
        <v>6</v>
      </c>
      <c r="C48" s="22" t="s">
        <v>41</v>
      </c>
      <c r="D48" s="232">
        <v>630144.04457999999</v>
      </c>
      <c r="E48" s="156">
        <f>E21/E53</f>
        <v>607639.15008324746</v>
      </c>
      <c r="G48" s="210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109" t="s">
        <v>4</v>
      </c>
      <c r="C50" s="15" t="s">
        <v>40</v>
      </c>
      <c r="D50" s="231">
        <v>53.597700000000003</v>
      </c>
      <c r="E50" s="156">
        <v>47.142800000000001</v>
      </c>
      <c r="G50" s="190"/>
    </row>
    <row r="51" spans="2:7">
      <c r="B51" s="109" t="s">
        <v>6</v>
      </c>
      <c r="C51" s="15" t="s">
        <v>114</v>
      </c>
      <c r="D51" s="234">
        <v>50.800699999999999</v>
      </c>
      <c r="E51" s="156">
        <v>47.043900000000001</v>
      </c>
      <c r="G51" s="190"/>
    </row>
    <row r="52" spans="2:7">
      <c r="B52" s="109" t="s">
        <v>8</v>
      </c>
      <c r="C52" s="15" t="s">
        <v>115</v>
      </c>
      <c r="D52" s="234">
        <v>57.401200000000003</v>
      </c>
      <c r="E52" s="81">
        <v>49.4253</v>
      </c>
    </row>
    <row r="53" spans="2:7" ht="13.5" customHeight="1" thickBot="1">
      <c r="B53" s="110" t="s">
        <v>9</v>
      </c>
      <c r="C53" s="17" t="s">
        <v>41</v>
      </c>
      <c r="D53" s="235">
        <v>50.825099999999999</v>
      </c>
      <c r="E53" s="272">
        <v>49.1907</v>
      </c>
    </row>
    <row r="54" spans="2:7">
      <c r="B54" s="116"/>
      <c r="C54" s="117"/>
      <c r="D54" s="118"/>
      <c r="E54" s="118"/>
    </row>
    <row r="55" spans="2:7" ht="13.5" customHeight="1">
      <c r="B55" s="500" t="s">
        <v>62</v>
      </c>
      <c r="C55" s="500"/>
      <c r="D55" s="500"/>
      <c r="E55" s="500"/>
    </row>
    <row r="56" spans="2:7" ht="15.75" customHeight="1" thickBot="1">
      <c r="B56" s="498" t="s">
        <v>116</v>
      </c>
      <c r="C56" s="498"/>
      <c r="D56" s="498"/>
      <c r="E56" s="498"/>
    </row>
    <row r="57" spans="2:7" ht="23.25" customHeight="1" thickBot="1">
      <c r="B57" s="527" t="s">
        <v>42</v>
      </c>
      <c r="C57" s="528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29890195.140000001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E12</f>
        <v>29890195.140000001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7" t="s">
        <v>64</v>
      </c>
      <c r="C74" s="128" t="s">
        <v>66</v>
      </c>
      <c r="D74" s="129">
        <f>D58-D73</f>
        <v>29890195.140000001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29890195.140000001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56000000000000005" bottom="0.5" header="0.5" footer="0.5"/>
  <pageSetup paperSize="9" scale="70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4"/>
  <dimension ref="A1:L81"/>
  <sheetViews>
    <sheetView zoomScale="80" zoomScaleNormal="80" workbookViewId="0">
      <selection activeCell="G20" sqref="G20:L3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5"/>
      <c r="C4" s="145"/>
      <c r="D4" s="145"/>
      <c r="E4" s="145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81</v>
      </c>
      <c r="C6" s="497"/>
      <c r="D6" s="497"/>
      <c r="E6" s="497"/>
    </row>
    <row r="7" spans="2:12" ht="14.25">
      <c r="B7" s="143"/>
      <c r="C7" s="143"/>
      <c r="D7" s="143"/>
      <c r="E7" s="143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4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23196988.809999999</v>
      </c>
      <c r="E11" s="284">
        <f>SUM(E12:E14)</f>
        <v>24992146.850000001</v>
      </c>
    </row>
    <row r="12" spans="2:12">
      <c r="B12" s="191" t="s">
        <v>4</v>
      </c>
      <c r="C12" s="192" t="s">
        <v>5</v>
      </c>
      <c r="D12" s="329">
        <v>23196988.809999999</v>
      </c>
      <c r="E12" s="353">
        <v>24992146.850000001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>
        <f>E15</f>
        <v>0</v>
      </c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>
        <f>E18</f>
        <v>0</v>
      </c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23196988.809999999</v>
      </c>
      <c r="E21" s="155">
        <f>E11-E17</f>
        <v>24992146.850000001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  <c r="H22" s="167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189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28695907.140000001</v>
      </c>
      <c r="E26" s="270">
        <f>D21</f>
        <v>23196988.809999999</v>
      </c>
      <c r="G26" s="80"/>
    </row>
    <row r="27" spans="2:11">
      <c r="B27" s="9" t="s">
        <v>17</v>
      </c>
      <c r="C27" s="10" t="s">
        <v>111</v>
      </c>
      <c r="D27" s="226">
        <v>-1264685.3799999999</v>
      </c>
      <c r="E27" s="263">
        <f>E28-E32</f>
        <v>-783531.60000000009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1242192.3999999999</v>
      </c>
      <c r="E28" s="264">
        <f>SUM(E29:E31)</f>
        <v>1079836.42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1242192.3999999999</v>
      </c>
      <c r="E29" s="265">
        <v>1079836.42</v>
      </c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2506877.7799999998</v>
      </c>
      <c r="E32" s="264">
        <f>SUM(E33:E39)</f>
        <v>1863368.02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2506877.7799999998</v>
      </c>
      <c r="E33" s="265">
        <v>1863368.02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/>
      <c r="E35" s="265"/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/>
      <c r="E37" s="265"/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-3003475.1</v>
      </c>
      <c r="E40" s="271">
        <v>2578689.64</v>
      </c>
      <c r="G40" s="80"/>
    </row>
    <row r="41" spans="2:10" ht="13.5" thickBot="1">
      <c r="B41" s="106" t="s">
        <v>37</v>
      </c>
      <c r="C41" s="107" t="s">
        <v>38</v>
      </c>
      <c r="D41" s="230">
        <v>24427746.66</v>
      </c>
      <c r="E41" s="155">
        <f>E26+E27+E40</f>
        <v>24992146.849999998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1243231.9602000001</v>
      </c>
      <c r="E47" s="156">
        <v>1180923.0116000001</v>
      </c>
      <c r="G47" s="76"/>
    </row>
    <row r="48" spans="2:10">
      <c r="B48" s="130" t="s">
        <v>6</v>
      </c>
      <c r="C48" s="22" t="s">
        <v>41</v>
      </c>
      <c r="D48" s="232">
        <v>1183824.57911</v>
      </c>
      <c r="E48" s="156">
        <v>1143580.2956000001</v>
      </c>
      <c r="G48" s="210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109" t="s">
        <v>4</v>
      </c>
      <c r="C50" s="15" t="s">
        <v>40</v>
      </c>
      <c r="D50" s="231">
        <v>23.081700000000001</v>
      </c>
      <c r="E50" s="156">
        <v>19.6431</v>
      </c>
      <c r="G50" s="190"/>
    </row>
    <row r="51" spans="2:7">
      <c r="B51" s="109" t="s">
        <v>6</v>
      </c>
      <c r="C51" s="15" t="s">
        <v>114</v>
      </c>
      <c r="D51" s="234">
        <v>20.634599999999999</v>
      </c>
      <c r="E51" s="156">
        <v>19.622700000000002</v>
      </c>
      <c r="G51" s="190"/>
    </row>
    <row r="52" spans="2:7">
      <c r="B52" s="109" t="s">
        <v>8</v>
      </c>
      <c r="C52" s="15" t="s">
        <v>115</v>
      </c>
      <c r="D52" s="234">
        <v>24.869499999999999</v>
      </c>
      <c r="E52" s="81">
        <v>21.979500000000002</v>
      </c>
    </row>
    <row r="53" spans="2:7" ht="12.75" customHeight="1" thickBot="1">
      <c r="B53" s="110" t="s">
        <v>9</v>
      </c>
      <c r="C53" s="17" t="s">
        <v>41</v>
      </c>
      <c r="D53" s="235">
        <v>20.634599999999999</v>
      </c>
      <c r="E53" s="272">
        <v>21.854299999999999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24992146.850000001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E12</f>
        <v>24992146.850000001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7" t="s">
        <v>64</v>
      </c>
      <c r="C74" s="128" t="s">
        <v>66</v>
      </c>
      <c r="D74" s="129">
        <f>D58-D73</f>
        <v>24992146.850000001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24992146.850000001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9" right="0.75" top="0.61" bottom="0.51" header="0.5" footer="0.5"/>
  <pageSetup paperSize="9" scale="70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5"/>
  <dimension ref="A1:L81"/>
  <sheetViews>
    <sheetView zoomScale="80" zoomScaleNormal="80" workbookViewId="0">
      <selection activeCell="G17" sqref="G17:M4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.85546875" customWidth="1"/>
    <col min="9" max="9" width="13.28515625" customWidth="1"/>
    <col min="10" max="10" width="13.5703125" customWidth="1"/>
    <col min="11" max="11" width="13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5"/>
      <c r="C4" s="145"/>
      <c r="D4" s="145"/>
      <c r="E4" s="145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82</v>
      </c>
      <c r="C6" s="497"/>
      <c r="D6" s="497"/>
      <c r="E6" s="497"/>
    </row>
    <row r="7" spans="2:12" ht="14.25">
      <c r="B7" s="143"/>
      <c r="C7" s="143"/>
      <c r="D7" s="143"/>
      <c r="E7" s="143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4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17650084.16</v>
      </c>
      <c r="E11" s="284">
        <f>SUM(E12:E14)</f>
        <v>18746491.630000003</v>
      </c>
    </row>
    <row r="12" spans="2:12">
      <c r="B12" s="113" t="s">
        <v>4</v>
      </c>
      <c r="C12" s="6" t="s">
        <v>5</v>
      </c>
      <c r="D12" s="329">
        <v>17650084.16</v>
      </c>
      <c r="E12" s="353">
        <f>18782266.76-35775.13</f>
        <v>18746491.630000003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/>
      <c r="E14" s="354"/>
      <c r="G14" s="70"/>
    </row>
    <row r="15" spans="2:12">
      <c r="B15" s="113" t="s">
        <v>106</v>
      </c>
      <c r="C15" s="71" t="s">
        <v>11</v>
      </c>
      <c r="D15" s="322"/>
      <c r="E15" s="354"/>
    </row>
    <row r="16" spans="2:12">
      <c r="B16" s="114" t="s">
        <v>107</v>
      </c>
      <c r="C16" s="98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13" t="s">
        <v>4</v>
      </c>
      <c r="C18" s="6" t="s">
        <v>11</v>
      </c>
      <c r="D18" s="324"/>
      <c r="E18" s="355"/>
    </row>
    <row r="19" spans="2:11" ht="15" customHeight="1">
      <c r="B19" s="113" t="s">
        <v>6</v>
      </c>
      <c r="C19" s="71" t="s">
        <v>108</v>
      </c>
      <c r="D19" s="322"/>
      <c r="E19" s="354"/>
    </row>
    <row r="20" spans="2:11" ht="13.5" thickBot="1">
      <c r="B20" s="115" t="s">
        <v>8</v>
      </c>
      <c r="C20" s="72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17650084.16</v>
      </c>
      <c r="E21" s="155">
        <f>E11-E17</f>
        <v>18746491.630000003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  <c r="H22" s="167"/>
    </row>
    <row r="23" spans="2:11" ht="13.5">
      <c r="B23" s="499" t="s">
        <v>104</v>
      </c>
      <c r="C23" s="507"/>
      <c r="D23" s="507"/>
      <c r="E23" s="507"/>
      <c r="G23" s="76"/>
    </row>
    <row r="24" spans="2:11" ht="15.75" customHeight="1" thickBot="1">
      <c r="B24" s="498" t="s">
        <v>105</v>
      </c>
      <c r="C24" s="508"/>
      <c r="D24" s="508"/>
      <c r="E24" s="508"/>
    </row>
    <row r="25" spans="2:11" ht="13.5" thickBot="1">
      <c r="B25" s="144"/>
      <c r="C25" s="5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21615083.59</v>
      </c>
      <c r="E26" s="270">
        <f>D21</f>
        <v>17650084.16</v>
      </c>
      <c r="G26" s="80"/>
    </row>
    <row r="27" spans="2:11">
      <c r="B27" s="9" t="s">
        <v>17</v>
      </c>
      <c r="C27" s="10" t="s">
        <v>111</v>
      </c>
      <c r="D27" s="226">
        <v>-354054.64</v>
      </c>
      <c r="E27" s="263">
        <f>E28-E32</f>
        <v>-882803.18000000017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963233.67</v>
      </c>
      <c r="E28" s="264">
        <f>SUM(E29:E31)</f>
        <v>824902.19</v>
      </c>
      <c r="F28" s="76"/>
      <c r="G28" s="76"/>
      <c r="H28" s="76"/>
      <c r="I28" s="76"/>
      <c r="J28" s="76"/>
    </row>
    <row r="29" spans="2:11">
      <c r="B29" s="111" t="s">
        <v>4</v>
      </c>
      <c r="C29" s="6" t="s">
        <v>20</v>
      </c>
      <c r="D29" s="227">
        <v>963233.67</v>
      </c>
      <c r="E29" s="265">
        <v>824902.19</v>
      </c>
      <c r="F29" s="76"/>
      <c r="G29" s="76"/>
      <c r="H29" s="76"/>
      <c r="I29" s="76"/>
      <c r="J29" s="76"/>
    </row>
    <row r="30" spans="2:11">
      <c r="B30" s="111" t="s">
        <v>6</v>
      </c>
      <c r="C30" s="6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11" t="s">
        <v>8</v>
      </c>
      <c r="C31" s="6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1317288.31</v>
      </c>
      <c r="E32" s="264">
        <f>SUM(E33:E39)</f>
        <v>1707705.37</v>
      </c>
      <c r="F32" s="76"/>
      <c r="G32" s="80"/>
      <c r="H32" s="76"/>
      <c r="I32" s="76"/>
      <c r="J32" s="76"/>
    </row>
    <row r="33" spans="2:10">
      <c r="B33" s="111" t="s">
        <v>4</v>
      </c>
      <c r="C33" s="6" t="s">
        <v>25</v>
      </c>
      <c r="D33" s="227">
        <v>1317288.31</v>
      </c>
      <c r="E33" s="265">
        <v>1707705.37</v>
      </c>
      <c r="F33" s="76"/>
      <c r="G33" s="76"/>
      <c r="H33" s="76"/>
      <c r="I33" s="76"/>
      <c r="J33" s="76"/>
    </row>
    <row r="34" spans="2:10">
      <c r="B34" s="111" t="s">
        <v>6</v>
      </c>
      <c r="C34" s="6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11" t="s">
        <v>8</v>
      </c>
      <c r="C35" s="6" t="s">
        <v>27</v>
      </c>
      <c r="D35" s="227"/>
      <c r="E35" s="265"/>
      <c r="F35" s="76"/>
      <c r="G35" s="76"/>
      <c r="H35" s="76"/>
      <c r="I35" s="76"/>
      <c r="J35" s="76"/>
    </row>
    <row r="36" spans="2:10">
      <c r="B36" s="111" t="s">
        <v>9</v>
      </c>
      <c r="C36" s="6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11" t="s">
        <v>29</v>
      </c>
      <c r="C37" s="6" t="s">
        <v>30</v>
      </c>
      <c r="D37" s="227"/>
      <c r="E37" s="265"/>
      <c r="F37" s="76"/>
      <c r="G37" s="76"/>
      <c r="H37" s="76"/>
      <c r="I37" s="76"/>
      <c r="J37" s="76"/>
    </row>
    <row r="38" spans="2:10">
      <c r="B38" s="111" t="s">
        <v>31</v>
      </c>
      <c r="C38" s="6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112" t="s">
        <v>33</v>
      </c>
      <c r="C39" s="12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-2203637.85</v>
      </c>
      <c r="E40" s="271">
        <v>1979210.65</v>
      </c>
      <c r="G40" s="80"/>
    </row>
    <row r="41" spans="2:10" ht="13.5" thickBot="1">
      <c r="B41" s="106" t="s">
        <v>37</v>
      </c>
      <c r="C41" s="107" t="s">
        <v>38</v>
      </c>
      <c r="D41" s="230">
        <v>19057391.099999998</v>
      </c>
      <c r="E41" s="155">
        <f>E26+E27+E40</f>
        <v>18746491.629999999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8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1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109" t="s">
        <v>4</v>
      </c>
      <c r="C47" s="15" t="s">
        <v>40</v>
      </c>
      <c r="D47" s="231">
        <v>1006106.1348999999</v>
      </c>
      <c r="E47" s="156">
        <v>961663.54249999998</v>
      </c>
      <c r="G47" s="76"/>
    </row>
    <row r="48" spans="2:10">
      <c r="B48" s="130" t="s">
        <v>6</v>
      </c>
      <c r="C48" s="22" t="s">
        <v>41</v>
      </c>
      <c r="D48" s="232">
        <v>987920.99179</v>
      </c>
      <c r="E48" s="156">
        <f>E21/E53</f>
        <v>916636.10461875482</v>
      </c>
      <c r="G48" s="210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109" t="s">
        <v>4</v>
      </c>
      <c r="C50" s="15" t="s">
        <v>40</v>
      </c>
      <c r="D50" s="231">
        <v>21.483899999999998</v>
      </c>
      <c r="E50" s="156">
        <v>18.3537</v>
      </c>
      <c r="G50" s="190"/>
    </row>
    <row r="51" spans="2:7">
      <c r="B51" s="109" t="s">
        <v>6</v>
      </c>
      <c r="C51" s="15" t="s">
        <v>114</v>
      </c>
      <c r="D51" s="234">
        <v>19.176200000000001</v>
      </c>
      <c r="E51" s="156">
        <v>18.3292</v>
      </c>
      <c r="G51" s="190"/>
    </row>
    <row r="52" spans="2:7">
      <c r="B52" s="109" t="s">
        <v>8</v>
      </c>
      <c r="C52" s="15" t="s">
        <v>115</v>
      </c>
      <c r="D52" s="234">
        <v>23.139600000000002</v>
      </c>
      <c r="E52" s="81">
        <v>20.571300000000001</v>
      </c>
    </row>
    <row r="53" spans="2:7" ht="13.5" customHeight="1" thickBot="1">
      <c r="B53" s="110" t="s">
        <v>9</v>
      </c>
      <c r="C53" s="17" t="s">
        <v>41</v>
      </c>
      <c r="D53" s="235">
        <v>19.290400000000002</v>
      </c>
      <c r="E53" s="272">
        <v>20.4514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18746491.630000003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E12</f>
        <v>18746491.630000003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7" t="s">
        <v>64</v>
      </c>
      <c r="C74" s="128" t="s">
        <v>66</v>
      </c>
      <c r="D74" s="129">
        <f>D58-D73</f>
        <v>18746491.630000003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18746491.630000003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68" bottom="0.65" header="0.5" footer="0.5"/>
  <pageSetup paperSize="9" scale="70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6"/>
  <dimension ref="A1:L81"/>
  <sheetViews>
    <sheetView zoomScale="80" zoomScaleNormal="80" workbookViewId="0">
      <selection activeCell="G47" sqref="G47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1" max="11" width="16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5"/>
      <c r="C4" s="145"/>
      <c r="D4" s="145"/>
      <c r="E4" s="145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83</v>
      </c>
      <c r="C6" s="497"/>
      <c r="D6" s="497"/>
      <c r="E6" s="497"/>
    </row>
    <row r="7" spans="2:12" ht="14.25">
      <c r="B7" s="143"/>
      <c r="C7" s="143"/>
      <c r="D7" s="143"/>
      <c r="E7" s="143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4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21472235.779999997</v>
      </c>
      <c r="E11" s="284">
        <f>SUM(E12:E14)</f>
        <v>23863214.030000001</v>
      </c>
    </row>
    <row r="12" spans="2:12">
      <c r="B12" s="191" t="s">
        <v>4</v>
      </c>
      <c r="C12" s="192" t="s">
        <v>5</v>
      </c>
      <c r="D12" s="329">
        <v>21472235.779999997</v>
      </c>
      <c r="E12" s="353">
        <f>23863214.03</f>
        <v>23863214.030000001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21472235.779999997</v>
      </c>
      <c r="E21" s="155">
        <f>E11-E17</f>
        <v>23863214.030000001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  <c r="H22" s="167"/>
    </row>
    <row r="23" spans="2:11" ht="13.5">
      <c r="B23" s="499" t="s">
        <v>104</v>
      </c>
      <c r="C23" s="509"/>
      <c r="D23" s="509"/>
      <c r="E23" s="509"/>
      <c r="G23" s="169"/>
      <c r="H23" s="167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25471190.969999999</v>
      </c>
      <c r="E26" s="270">
        <f>D21</f>
        <v>21472235.779999997</v>
      </c>
      <c r="G26" s="80"/>
    </row>
    <row r="27" spans="2:11">
      <c r="B27" s="9" t="s">
        <v>17</v>
      </c>
      <c r="C27" s="10" t="s">
        <v>111</v>
      </c>
      <c r="D27" s="226">
        <v>-174045.02000000002</v>
      </c>
      <c r="E27" s="263">
        <f>E28-E32</f>
        <v>-92991.469999999972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1178684.27</v>
      </c>
      <c r="E28" s="264">
        <f>SUM(E29:E31)</f>
        <v>1029293.97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1178684.27</v>
      </c>
      <c r="E29" s="265">
        <v>1029293.97</v>
      </c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1352729.29</v>
      </c>
      <c r="E32" s="264">
        <f>SUM(E33:E39)</f>
        <v>1122285.44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1352729.29</v>
      </c>
      <c r="E33" s="265">
        <v>1122285.44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/>
      <c r="E35" s="265"/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/>
      <c r="E37" s="265"/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-1842565.17</v>
      </c>
      <c r="E40" s="271">
        <v>2483969.7200000002</v>
      </c>
      <c r="G40" s="80"/>
    </row>
    <row r="41" spans="2:10" ht="13.5" thickBot="1">
      <c r="B41" s="106" t="s">
        <v>37</v>
      </c>
      <c r="C41" s="107" t="s">
        <v>38</v>
      </c>
      <c r="D41" s="230">
        <v>23454580.780000001</v>
      </c>
      <c r="E41" s="155">
        <f>E26+E27+E40</f>
        <v>23863214.029999997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343">
        <v>1172107.7614</v>
      </c>
      <c r="E47" s="156">
        <v>1117798.3581000001</v>
      </c>
      <c r="G47" s="76"/>
    </row>
    <row r="48" spans="2:10">
      <c r="B48" s="204" t="s">
        <v>6</v>
      </c>
      <c r="C48" s="205" t="s">
        <v>41</v>
      </c>
      <c r="D48" s="344">
        <v>1163444.7498999999</v>
      </c>
      <c r="E48" s="156">
        <f>E21/E53</f>
        <v>1113682.7332421725</v>
      </c>
      <c r="G48" s="166"/>
    </row>
    <row r="49" spans="2:7">
      <c r="B49" s="127" t="s">
        <v>23</v>
      </c>
      <c r="C49" s="131" t="s">
        <v>113</v>
      </c>
      <c r="D49" s="345"/>
      <c r="E49" s="156"/>
    </row>
    <row r="50" spans="2:7">
      <c r="B50" s="202" t="s">
        <v>4</v>
      </c>
      <c r="C50" s="203" t="s">
        <v>40</v>
      </c>
      <c r="D50" s="344">
        <v>21.731100000000001</v>
      </c>
      <c r="E50" s="156">
        <v>19.209399999999999</v>
      </c>
      <c r="G50" s="190"/>
    </row>
    <row r="51" spans="2:7">
      <c r="B51" s="202" t="s">
        <v>6</v>
      </c>
      <c r="C51" s="203" t="s">
        <v>114</v>
      </c>
      <c r="D51" s="344">
        <v>20.159600000000001</v>
      </c>
      <c r="E51" s="81">
        <v>19.1859</v>
      </c>
      <c r="G51" s="190"/>
    </row>
    <row r="52" spans="2:7">
      <c r="B52" s="202" t="s">
        <v>8</v>
      </c>
      <c r="C52" s="203" t="s">
        <v>115</v>
      </c>
      <c r="D52" s="344">
        <v>23.476800000000001</v>
      </c>
      <c r="E52" s="81">
        <v>21.565100000000001</v>
      </c>
    </row>
    <row r="53" spans="2:7" ht="13.5" customHeight="1" thickBot="1">
      <c r="B53" s="206" t="s">
        <v>9</v>
      </c>
      <c r="C53" s="207" t="s">
        <v>41</v>
      </c>
      <c r="D53" s="346">
        <v>20.159600000000001</v>
      </c>
      <c r="E53" s="272">
        <v>21.427299999999999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23863214.030000001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23863214.030000001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23863214.030000001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v>0</v>
      </c>
      <c r="E75" s="85">
        <v>0</v>
      </c>
    </row>
    <row r="76" spans="2:5">
      <c r="B76" s="109" t="s">
        <v>6</v>
      </c>
      <c r="C76" s="15" t="s">
        <v>119</v>
      </c>
      <c r="D76" s="84">
        <f>D74</f>
        <v>23863214.030000001</v>
      </c>
      <c r="E76" s="85">
        <f>E74</f>
        <v>1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1" right="0.75" top="0.56999999999999995" bottom="0.55000000000000004" header="0.5" footer="0.5"/>
  <pageSetup paperSize="9" scale="70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7"/>
  <dimension ref="A1:L81"/>
  <sheetViews>
    <sheetView zoomScale="80" zoomScaleNormal="80" workbookViewId="0">
      <selection activeCell="G16" sqref="G16:K3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7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5"/>
      <c r="C4" s="145"/>
      <c r="D4" s="145"/>
      <c r="E4" s="145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192</v>
      </c>
      <c r="C6" s="497"/>
      <c r="D6" s="497"/>
      <c r="E6" s="497"/>
    </row>
    <row r="7" spans="2:12" ht="14.25">
      <c r="B7" s="143"/>
      <c r="C7" s="143"/>
      <c r="D7" s="143"/>
      <c r="E7" s="143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4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2352660.69</v>
      </c>
      <c r="E11" s="284">
        <f>SUM(E12:E14)</f>
        <v>2152366.0499999998</v>
      </c>
    </row>
    <row r="12" spans="2:12">
      <c r="B12" s="191" t="s">
        <v>4</v>
      </c>
      <c r="C12" s="192" t="s">
        <v>5</v>
      </c>
      <c r="D12" s="329">
        <v>2352660.69</v>
      </c>
      <c r="E12" s="353">
        <f>2152494.75-128.7</f>
        <v>2152366.0499999998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2352660.69</v>
      </c>
      <c r="E21" s="155">
        <f>E11-E17</f>
        <v>2152366.0499999998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  <c r="H22" s="167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4431798.95</v>
      </c>
      <c r="E26" s="270">
        <f>D21</f>
        <v>2352660.69</v>
      </c>
      <c r="G26" s="80"/>
    </row>
    <row r="27" spans="2:11">
      <c r="B27" s="9" t="s">
        <v>17</v>
      </c>
      <c r="C27" s="10" t="s">
        <v>111</v>
      </c>
      <c r="D27" s="226">
        <v>-325149.65999999997</v>
      </c>
      <c r="E27" s="263">
        <f>E28-E32</f>
        <v>-279410.74000000005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11323.64</v>
      </c>
      <c r="E28" s="264">
        <f>SUM(E29:E31)</f>
        <v>16040.68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11323.64</v>
      </c>
      <c r="E29" s="265">
        <v>15802.02</v>
      </c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>
        <v>238.66</v>
      </c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336473.3</v>
      </c>
      <c r="E32" s="264">
        <f>SUM(E33:E39)</f>
        <v>295451.42000000004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143712.5</v>
      </c>
      <c r="E33" s="265">
        <v>272687.31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4356.3100000000004</v>
      </c>
      <c r="E35" s="265">
        <v>4552.08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31851.18</v>
      </c>
      <c r="E37" s="265">
        <v>18212.03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156553.31</v>
      </c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-619934.82999999996</v>
      </c>
      <c r="E40" s="271">
        <v>79116.100000000006</v>
      </c>
      <c r="G40" s="80"/>
    </row>
    <row r="41" spans="2:10" ht="13.5" thickBot="1">
      <c r="B41" s="106" t="s">
        <v>37</v>
      </c>
      <c r="C41" s="107" t="s">
        <v>38</v>
      </c>
      <c r="D41" s="230">
        <v>3486714.46</v>
      </c>
      <c r="E41" s="155">
        <f>E26+E27+E40</f>
        <v>2152366.0499999998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12651.438630000001</v>
      </c>
      <c r="E47" s="156">
        <v>7814.0716000000002</v>
      </c>
      <c r="G47" s="76"/>
    </row>
    <row r="48" spans="2:10">
      <c r="B48" s="204" t="s">
        <v>6</v>
      </c>
      <c r="C48" s="205" t="s">
        <v>41</v>
      </c>
      <c r="D48" s="232">
        <v>11668.66725</v>
      </c>
      <c r="E48" s="156">
        <f>E21/E53</f>
        <v>6905.0272689358699</v>
      </c>
      <c r="G48" s="210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350.3</v>
      </c>
      <c r="E50" s="156">
        <v>301.08</v>
      </c>
      <c r="G50" s="190"/>
    </row>
    <row r="51" spans="2:7">
      <c r="B51" s="202" t="s">
        <v>6</v>
      </c>
      <c r="C51" s="203" t="s">
        <v>114</v>
      </c>
      <c r="D51" s="234">
        <v>293.99</v>
      </c>
      <c r="E51" s="81">
        <v>292.57</v>
      </c>
      <c r="G51" s="190"/>
    </row>
    <row r="52" spans="2:7">
      <c r="B52" s="202" t="s">
        <v>8</v>
      </c>
      <c r="C52" s="203" t="s">
        <v>115</v>
      </c>
      <c r="D52" s="234">
        <v>371.03</v>
      </c>
      <c r="E52" s="81">
        <v>318.66000000000003</v>
      </c>
    </row>
    <row r="53" spans="2:7" ht="13.5" customHeight="1" thickBot="1">
      <c r="B53" s="206" t="s">
        <v>9</v>
      </c>
      <c r="C53" s="207" t="s">
        <v>41</v>
      </c>
      <c r="D53" s="235">
        <v>298.81</v>
      </c>
      <c r="E53" s="272">
        <v>311.70999999999998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8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2152366.0499999998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2152366.0499999998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2152366.0499999998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2152366.0499999998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6" right="0.75" top="0.65" bottom="0.33" header="0.5" footer="0.5"/>
  <pageSetup paperSize="9" scale="70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8"/>
  <dimension ref="A1:L81"/>
  <sheetViews>
    <sheetView zoomScale="80" zoomScaleNormal="80" workbookViewId="0">
      <selection activeCell="G18" sqref="G18:L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5"/>
      <c r="C4" s="145"/>
      <c r="D4" s="145"/>
      <c r="E4" s="145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193</v>
      </c>
      <c r="C6" s="497"/>
      <c r="D6" s="497"/>
      <c r="E6" s="497"/>
    </row>
    <row r="7" spans="2:12" ht="14.25">
      <c r="B7" s="143"/>
      <c r="C7" s="143"/>
      <c r="D7" s="143"/>
      <c r="E7" s="143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4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830081.62</v>
      </c>
      <c r="E11" s="284">
        <f>SUM(E12:E14)</f>
        <v>8107274.71</v>
      </c>
    </row>
    <row r="12" spans="2:12">
      <c r="B12" s="191" t="s">
        <v>4</v>
      </c>
      <c r="C12" s="192" t="s">
        <v>5</v>
      </c>
      <c r="D12" s="329">
        <v>830081.62</v>
      </c>
      <c r="E12" s="353">
        <v>8107274.71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830081.62</v>
      </c>
      <c r="E21" s="155">
        <f>E11-E17</f>
        <v>8107274.71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881620.21</v>
      </c>
      <c r="E26" s="270">
        <f>D21</f>
        <v>830081.62</v>
      </c>
      <c r="G26" s="80"/>
    </row>
    <row r="27" spans="2:11">
      <c r="B27" s="9" t="s">
        <v>17</v>
      </c>
      <c r="C27" s="10" t="s">
        <v>111</v>
      </c>
      <c r="D27" s="226">
        <v>197279.44000000003</v>
      </c>
      <c r="E27" s="263">
        <f>E28-E32</f>
        <v>7092689.4100000001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337980.71</v>
      </c>
      <c r="E28" s="264">
        <f>SUM(E29:E31)</f>
        <v>7179275.79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6511.46</v>
      </c>
      <c r="E29" s="265">
        <v>6064.6</v>
      </c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331469.25</v>
      </c>
      <c r="E31" s="265">
        <v>7173211.1900000004</v>
      </c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140701.26999999999</v>
      </c>
      <c r="E32" s="264">
        <f>SUM(E33:E39)</f>
        <v>86586.38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50650.51</v>
      </c>
      <c r="E33" s="265">
        <v>30174.14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2028.07</v>
      </c>
      <c r="E35" s="265">
        <v>2234.91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7415.99</v>
      </c>
      <c r="E37" s="265">
        <v>45439.15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80606.7</v>
      </c>
      <c r="E39" s="266">
        <v>8738.18</v>
      </c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13934.66</v>
      </c>
      <c r="E40" s="271">
        <v>184503.67999999999</v>
      </c>
      <c r="G40" s="80"/>
    </row>
    <row r="41" spans="2:10" ht="13.5" thickBot="1">
      <c r="B41" s="106" t="s">
        <v>37</v>
      </c>
      <c r="C41" s="107" t="s">
        <v>38</v>
      </c>
      <c r="D41" s="230">
        <v>1092834.3099999998</v>
      </c>
      <c r="E41" s="155">
        <f>E26+E27+E40</f>
        <v>8107274.71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2932.2830199999999</v>
      </c>
      <c r="E47" s="156">
        <v>2669.4160999999999</v>
      </c>
      <c r="G47" s="76"/>
    </row>
    <row r="48" spans="2:10">
      <c r="B48" s="204" t="s">
        <v>6</v>
      </c>
      <c r="C48" s="205" t="s">
        <v>41</v>
      </c>
      <c r="D48" s="232">
        <v>3576.9648900000002</v>
      </c>
      <c r="E48" s="156">
        <v>25459.34779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300.66000000000003</v>
      </c>
      <c r="E50" s="156">
        <v>310.95999999999998</v>
      </c>
      <c r="G50" s="190"/>
    </row>
    <row r="51" spans="2:7">
      <c r="B51" s="202" t="s">
        <v>6</v>
      </c>
      <c r="C51" s="203" t="s">
        <v>114</v>
      </c>
      <c r="D51" s="234">
        <v>300.51</v>
      </c>
      <c r="E51" s="81">
        <v>310.79000000000002</v>
      </c>
      <c r="G51" s="190"/>
    </row>
    <row r="52" spans="2:7">
      <c r="B52" s="202" t="s">
        <v>8</v>
      </c>
      <c r="C52" s="203" t="s">
        <v>115</v>
      </c>
      <c r="D52" s="234">
        <v>305.87</v>
      </c>
      <c r="E52" s="81">
        <v>319.14</v>
      </c>
    </row>
    <row r="53" spans="2:7" ht="12.75" customHeight="1" thickBot="1">
      <c r="B53" s="206" t="s">
        <v>9</v>
      </c>
      <c r="C53" s="207" t="s">
        <v>41</v>
      </c>
      <c r="D53" s="235">
        <v>305.52</v>
      </c>
      <c r="E53" s="272">
        <v>318.44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8107274.71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8107274.71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8107274.71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8107274.71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999999999999995" right="0.75" top="0.61" bottom="0.6" header="0.5" footer="0.5"/>
  <pageSetup paperSize="9" scale="70" orientation="portrait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9"/>
  <dimension ref="A1:L81"/>
  <sheetViews>
    <sheetView zoomScale="80" zoomScaleNormal="80" workbookViewId="0">
      <selection activeCell="G19" sqref="G19:K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5"/>
      <c r="C4" s="145"/>
      <c r="D4" s="145"/>
      <c r="E4" s="145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274</v>
      </c>
      <c r="C6" s="497"/>
      <c r="D6" s="497"/>
      <c r="E6" s="497"/>
    </row>
    <row r="7" spans="2:12" ht="14.25">
      <c r="B7" s="143"/>
      <c r="C7" s="143"/>
      <c r="D7" s="143"/>
      <c r="E7" s="143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4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105306.51999999999</v>
      </c>
      <c r="E11" s="284">
        <f>SUM(E12:E14)</f>
        <v>107978.04000000001</v>
      </c>
    </row>
    <row r="12" spans="2:12">
      <c r="B12" s="191" t="s">
        <v>4</v>
      </c>
      <c r="C12" s="192" t="s">
        <v>5</v>
      </c>
      <c r="D12" s="329">
        <v>105306.51999999999</v>
      </c>
      <c r="E12" s="353">
        <f>109544.33-1566.29</f>
        <v>107978.04000000001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105306.51999999999</v>
      </c>
      <c r="E21" s="155">
        <f>E11-E17</f>
        <v>107978.04000000001</v>
      </c>
      <c r="F21" s="83"/>
      <c r="G21" s="160"/>
      <c r="H21" s="176"/>
      <c r="J21" s="254"/>
      <c r="K21" s="70"/>
    </row>
    <row r="22" spans="2:11">
      <c r="B22" s="3"/>
      <c r="C22" s="7"/>
      <c r="D22" s="8"/>
      <c r="E22" s="8"/>
      <c r="G22" s="170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  <c r="G24" s="76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  <c r="G25" s="76"/>
    </row>
    <row r="26" spans="2:11">
      <c r="B26" s="102" t="s">
        <v>15</v>
      </c>
      <c r="C26" s="103" t="s">
        <v>16</v>
      </c>
      <c r="D26" s="225">
        <v>150604.94</v>
      </c>
      <c r="E26" s="270">
        <f>D21</f>
        <v>105306.51999999999</v>
      </c>
      <c r="G26" s="76"/>
    </row>
    <row r="27" spans="2:11">
      <c r="B27" s="9" t="s">
        <v>17</v>
      </c>
      <c r="C27" s="10" t="s">
        <v>111</v>
      </c>
      <c r="D27" s="226">
        <v>-14108.98</v>
      </c>
      <c r="E27" s="263">
        <f>E28-E32</f>
        <v>-1381.8700000000008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2266.52</v>
      </c>
      <c r="E28" s="264">
        <f>SUM(E29:E31)</f>
        <v>4528.6899999999996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>
        <v>2266.52</v>
      </c>
      <c r="E29" s="76">
        <v>4528.6899999999996</v>
      </c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16375.5</v>
      </c>
      <c r="E32" s="264">
        <f>SUM(E33:E39)</f>
        <v>5910.56</v>
      </c>
      <c r="F32" s="76"/>
      <c r="G32" s="76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3985.71</v>
      </c>
      <c r="E33" s="265">
        <v>4824.71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168.69</v>
      </c>
      <c r="E35" s="265">
        <v>119.93</v>
      </c>
      <c r="F35" s="76"/>
      <c r="G35" s="80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80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1125.54</v>
      </c>
      <c r="E37" s="265">
        <v>965.92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11095.56</v>
      </c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-21921.48</v>
      </c>
      <c r="E40" s="271">
        <v>4053.39</v>
      </c>
      <c r="G40" s="80"/>
    </row>
    <row r="41" spans="2:10" ht="13.5" thickBot="1">
      <c r="B41" s="106" t="s">
        <v>37</v>
      </c>
      <c r="C41" s="107" t="s">
        <v>38</v>
      </c>
      <c r="D41" s="230">
        <v>114574.48</v>
      </c>
      <c r="E41" s="155">
        <f>E26+E27+E40</f>
        <v>107978.04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830.55719999999997</v>
      </c>
      <c r="E47" s="156">
        <v>750.90216999999996</v>
      </c>
      <c r="G47" s="76"/>
    </row>
    <row r="48" spans="2:10">
      <c r="B48" s="204" t="s">
        <v>6</v>
      </c>
      <c r="C48" s="205" t="s">
        <v>41</v>
      </c>
      <c r="D48" s="232">
        <v>752.24528999999995</v>
      </c>
      <c r="E48" s="156">
        <f>E21/E53</f>
        <v>740.64092187392839</v>
      </c>
      <c r="G48" s="210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181.33</v>
      </c>
      <c r="E50" s="156">
        <v>140.24</v>
      </c>
      <c r="G50" s="190"/>
    </row>
    <row r="51" spans="2:7">
      <c r="B51" s="202" t="s">
        <v>6</v>
      </c>
      <c r="C51" s="203" t="s">
        <v>114</v>
      </c>
      <c r="D51" s="234">
        <v>147.32</v>
      </c>
      <c r="E51" s="81">
        <v>137.15</v>
      </c>
      <c r="G51" s="190"/>
    </row>
    <row r="52" spans="2:7">
      <c r="B52" s="202" t="s">
        <v>8</v>
      </c>
      <c r="C52" s="203" t="s">
        <v>115</v>
      </c>
      <c r="D52" s="234">
        <v>190.03</v>
      </c>
      <c r="E52" s="81">
        <v>154.70000000000002</v>
      </c>
    </row>
    <row r="53" spans="2:7" ht="13.5" customHeight="1" thickBot="1">
      <c r="B53" s="206" t="s">
        <v>9</v>
      </c>
      <c r="C53" s="207" t="s">
        <v>41</v>
      </c>
      <c r="D53" s="235">
        <v>152.31</v>
      </c>
      <c r="E53" s="272">
        <v>145.79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107978.04000000001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E12</f>
        <v>107978.04000000001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7" t="s">
        <v>64</v>
      </c>
      <c r="C74" s="128" t="s">
        <v>66</v>
      </c>
      <c r="D74" s="129">
        <f>D58-D73</f>
        <v>107978.04000000001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107978.04000000001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3" right="0.75" top="0.53" bottom="0.56000000000000005" header="0.5" footer="0.5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M81"/>
  <sheetViews>
    <sheetView zoomScale="80" zoomScaleNormal="80" workbookViewId="0">
      <selection activeCell="G21" sqref="G21:K39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6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92"/>
      <c r="C4" s="92"/>
      <c r="D4" s="92"/>
      <c r="E4" s="92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91</v>
      </c>
      <c r="C6" s="497"/>
      <c r="D6" s="497"/>
      <c r="E6" s="497"/>
    </row>
    <row r="7" spans="2:12" ht="14.25">
      <c r="B7" s="96"/>
      <c r="C7" s="96"/>
      <c r="D7" s="96"/>
      <c r="E7" s="96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93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59639856.25</v>
      </c>
      <c r="E11" s="284">
        <f>SUM(E12:E14)</f>
        <v>63560115.919999994</v>
      </c>
    </row>
    <row r="12" spans="2:12">
      <c r="B12" s="113" t="s">
        <v>4</v>
      </c>
      <c r="C12" s="6" t="s">
        <v>5</v>
      </c>
      <c r="D12" s="329">
        <v>59452478.960000001</v>
      </c>
      <c r="E12" s="353">
        <f>63856464.73+263421.75+7.22-712496.13</f>
        <v>63407397.569999993</v>
      </c>
    </row>
    <row r="13" spans="2:12">
      <c r="B13" s="113" t="s">
        <v>6</v>
      </c>
      <c r="C13" s="71" t="s">
        <v>7</v>
      </c>
      <c r="D13" s="322"/>
      <c r="E13" s="354"/>
    </row>
    <row r="14" spans="2:12">
      <c r="B14" s="113" t="s">
        <v>8</v>
      </c>
      <c r="C14" s="71" t="s">
        <v>10</v>
      </c>
      <c r="D14" s="322">
        <v>187377.28999999998</v>
      </c>
      <c r="E14" s="354">
        <f>E15</f>
        <v>152718.35</v>
      </c>
    </row>
    <row r="15" spans="2:12">
      <c r="B15" s="113" t="s">
        <v>106</v>
      </c>
      <c r="C15" s="71" t="s">
        <v>11</v>
      </c>
      <c r="D15" s="322">
        <v>187377.28999999998</v>
      </c>
      <c r="E15" s="354">
        <v>152718.35</v>
      </c>
    </row>
    <row r="16" spans="2:12">
      <c r="B16" s="114" t="s">
        <v>107</v>
      </c>
      <c r="C16" s="98" t="s">
        <v>12</v>
      </c>
      <c r="D16" s="324"/>
      <c r="E16" s="355"/>
    </row>
    <row r="17" spans="2:13">
      <c r="B17" s="9" t="s">
        <v>13</v>
      </c>
      <c r="C17" s="11" t="s">
        <v>65</v>
      </c>
      <c r="D17" s="325">
        <v>84673.8</v>
      </c>
      <c r="E17" s="356">
        <f>E18</f>
        <v>168930.86</v>
      </c>
    </row>
    <row r="18" spans="2:13">
      <c r="B18" s="113" t="s">
        <v>4</v>
      </c>
      <c r="C18" s="6" t="s">
        <v>11</v>
      </c>
      <c r="D18" s="324">
        <v>84673.8</v>
      </c>
      <c r="E18" s="355">
        <v>168930.86</v>
      </c>
      <c r="M18" s="70"/>
    </row>
    <row r="19" spans="2:13" ht="15" customHeight="1">
      <c r="B19" s="113" t="s">
        <v>6</v>
      </c>
      <c r="C19" s="71" t="s">
        <v>108</v>
      </c>
      <c r="D19" s="322"/>
      <c r="E19" s="354"/>
    </row>
    <row r="20" spans="2:13" ht="13.5" thickBot="1">
      <c r="B20" s="115" t="s">
        <v>8</v>
      </c>
      <c r="C20" s="72" t="s">
        <v>14</v>
      </c>
      <c r="D20" s="285"/>
      <c r="E20" s="286"/>
    </row>
    <row r="21" spans="2:13" ht="13.5" thickBot="1">
      <c r="B21" s="505" t="s">
        <v>110</v>
      </c>
      <c r="C21" s="506"/>
      <c r="D21" s="287">
        <v>59555182.450000003</v>
      </c>
      <c r="E21" s="155">
        <f>E11-E17</f>
        <v>63391185.059999995</v>
      </c>
      <c r="F21" s="83"/>
      <c r="G21" s="83"/>
      <c r="H21" s="176"/>
      <c r="J21" s="254"/>
      <c r="K21" s="70"/>
    </row>
    <row r="22" spans="2:13">
      <c r="B22" s="3"/>
      <c r="C22" s="7"/>
      <c r="D22" s="8"/>
      <c r="E22" s="8"/>
      <c r="G22" s="169"/>
    </row>
    <row r="23" spans="2:13" ht="13.5">
      <c r="B23" s="499" t="s">
        <v>104</v>
      </c>
      <c r="C23" s="507"/>
      <c r="D23" s="507"/>
      <c r="E23" s="507"/>
      <c r="G23" s="76"/>
    </row>
    <row r="24" spans="2:13" ht="15.75" customHeight="1" thickBot="1">
      <c r="B24" s="498" t="s">
        <v>105</v>
      </c>
      <c r="C24" s="508"/>
      <c r="D24" s="508"/>
      <c r="E24" s="508"/>
    </row>
    <row r="25" spans="2:13" ht="13.5" thickBot="1">
      <c r="B25" s="93"/>
      <c r="C25" s="5" t="s">
        <v>2</v>
      </c>
      <c r="D25" s="73" t="s">
        <v>125</v>
      </c>
      <c r="E25" s="29" t="s">
        <v>145</v>
      </c>
    </row>
    <row r="26" spans="2:13">
      <c r="B26" s="102" t="s">
        <v>15</v>
      </c>
      <c r="C26" s="103" t="s">
        <v>16</v>
      </c>
      <c r="D26" s="225">
        <v>52218827.07</v>
      </c>
      <c r="E26" s="270">
        <f>D21</f>
        <v>59555182.450000003</v>
      </c>
      <c r="G26" s="80"/>
    </row>
    <row r="27" spans="2:13">
      <c r="B27" s="9" t="s">
        <v>17</v>
      </c>
      <c r="C27" s="10" t="s">
        <v>111</v>
      </c>
      <c r="D27" s="226">
        <v>3101443.71</v>
      </c>
      <c r="E27" s="263">
        <f>E28-E32</f>
        <v>3158990.3500000006</v>
      </c>
      <c r="F27" s="76"/>
      <c r="G27" s="160"/>
      <c r="H27" s="359"/>
      <c r="I27" s="359"/>
      <c r="J27" s="359"/>
    </row>
    <row r="28" spans="2:13">
      <c r="B28" s="9" t="s">
        <v>18</v>
      </c>
      <c r="C28" s="10" t="s">
        <v>19</v>
      </c>
      <c r="D28" s="226">
        <v>8893518.3399999999</v>
      </c>
      <c r="E28" s="264">
        <f>SUM(E29:E31)</f>
        <v>8600379.6500000004</v>
      </c>
      <c r="F28" s="76"/>
      <c r="G28" s="160"/>
      <c r="H28" s="359"/>
      <c r="I28" s="359"/>
      <c r="J28" s="359"/>
    </row>
    <row r="29" spans="2:13">
      <c r="B29" s="111" t="s">
        <v>4</v>
      </c>
      <c r="C29" s="6" t="s">
        <v>20</v>
      </c>
      <c r="D29" s="227">
        <v>8418060.8000000007</v>
      </c>
      <c r="E29" s="265">
        <v>7940132.3600000003</v>
      </c>
      <c r="F29" s="76"/>
      <c r="G29" s="160"/>
      <c r="H29" s="359"/>
      <c r="I29" s="359"/>
      <c r="J29" s="359"/>
    </row>
    <row r="30" spans="2:13">
      <c r="B30" s="111" t="s">
        <v>6</v>
      </c>
      <c r="C30" s="6" t="s">
        <v>21</v>
      </c>
      <c r="D30" s="227"/>
      <c r="E30" s="265"/>
      <c r="F30" s="76"/>
      <c r="G30" s="160"/>
      <c r="H30" s="359"/>
      <c r="I30" s="359"/>
      <c r="J30" s="359"/>
    </row>
    <row r="31" spans="2:13">
      <c r="B31" s="111" t="s">
        <v>8</v>
      </c>
      <c r="C31" s="6" t="s">
        <v>22</v>
      </c>
      <c r="D31" s="227">
        <v>475457.54000000004</v>
      </c>
      <c r="E31" s="265">
        <v>660247.29</v>
      </c>
      <c r="F31" s="76"/>
      <c r="G31" s="160"/>
      <c r="H31" s="359"/>
      <c r="I31" s="359"/>
      <c r="J31" s="359"/>
    </row>
    <row r="32" spans="2:13">
      <c r="B32" s="99" t="s">
        <v>23</v>
      </c>
      <c r="C32" s="11" t="s">
        <v>24</v>
      </c>
      <c r="D32" s="226">
        <v>5792074.6299999999</v>
      </c>
      <c r="E32" s="264">
        <f>SUM(E33:E39)</f>
        <v>5441389.2999999998</v>
      </c>
      <c r="F32" s="76"/>
      <c r="G32" s="160"/>
      <c r="H32" s="359"/>
      <c r="I32" s="359"/>
      <c r="J32" s="359"/>
    </row>
    <row r="33" spans="2:10">
      <c r="B33" s="111" t="s">
        <v>4</v>
      </c>
      <c r="C33" s="6" t="s">
        <v>25</v>
      </c>
      <c r="D33" s="227">
        <v>4695052.78</v>
      </c>
      <c r="E33" s="265">
        <f>4643431.31-258650.68</f>
        <v>4384780.63</v>
      </c>
      <c r="F33" s="76"/>
      <c r="G33" s="160"/>
      <c r="H33" s="359"/>
      <c r="I33" s="359"/>
      <c r="J33" s="359"/>
    </row>
    <row r="34" spans="2:10">
      <c r="B34" s="111" t="s">
        <v>6</v>
      </c>
      <c r="C34" s="6" t="s">
        <v>26</v>
      </c>
      <c r="D34" s="227"/>
      <c r="E34" s="265"/>
      <c r="F34" s="76"/>
      <c r="G34" s="160"/>
      <c r="H34" s="359"/>
      <c r="I34" s="359"/>
      <c r="J34" s="359"/>
    </row>
    <row r="35" spans="2:10">
      <c r="B35" s="111" t="s">
        <v>8</v>
      </c>
      <c r="C35" s="6" t="s">
        <v>27</v>
      </c>
      <c r="D35" s="227">
        <v>693394.03999999992</v>
      </c>
      <c r="E35" s="265">
        <v>748878.14</v>
      </c>
      <c r="F35" s="76"/>
      <c r="G35" s="160"/>
      <c r="H35" s="359"/>
      <c r="I35" s="359"/>
      <c r="J35" s="359"/>
    </row>
    <row r="36" spans="2:10">
      <c r="B36" s="111" t="s">
        <v>9</v>
      </c>
      <c r="C36" s="6" t="s">
        <v>28</v>
      </c>
      <c r="D36" s="227"/>
      <c r="E36" s="265"/>
      <c r="F36" s="76"/>
      <c r="G36" s="160"/>
      <c r="H36" s="359"/>
      <c r="I36" s="359"/>
      <c r="J36" s="359"/>
    </row>
    <row r="37" spans="2:10" ht="25.5">
      <c r="B37" s="111" t="s">
        <v>29</v>
      </c>
      <c r="C37" s="6" t="s">
        <v>30</v>
      </c>
      <c r="D37" s="227"/>
      <c r="E37" s="265"/>
      <c r="F37" s="76"/>
      <c r="G37" s="160"/>
      <c r="H37" s="359"/>
      <c r="I37" s="359"/>
      <c r="J37" s="359"/>
    </row>
    <row r="38" spans="2:10">
      <c r="B38" s="111" t="s">
        <v>31</v>
      </c>
      <c r="C38" s="6" t="s">
        <v>32</v>
      </c>
      <c r="D38" s="227"/>
      <c r="E38" s="265"/>
      <c r="F38" s="76"/>
      <c r="G38" s="160"/>
      <c r="H38" s="359"/>
      <c r="I38" s="359"/>
      <c r="J38" s="359"/>
    </row>
    <row r="39" spans="2:10">
      <c r="B39" s="112" t="s">
        <v>33</v>
      </c>
      <c r="C39" s="12" t="s">
        <v>34</v>
      </c>
      <c r="D39" s="228">
        <v>403627.81</v>
      </c>
      <c r="E39" s="266">
        <v>307730.53000000003</v>
      </c>
      <c r="F39" s="76"/>
      <c r="G39" s="160"/>
      <c r="H39" s="359"/>
      <c r="I39" s="359"/>
      <c r="J39" s="359"/>
    </row>
    <row r="40" spans="2:10" ht="13.5" thickBot="1">
      <c r="B40" s="104" t="s">
        <v>35</v>
      </c>
      <c r="C40" s="105" t="s">
        <v>36</v>
      </c>
      <c r="D40" s="229">
        <v>-449837.74</v>
      </c>
      <c r="E40" s="271">
        <v>677012.26</v>
      </c>
      <c r="G40" s="80"/>
    </row>
    <row r="41" spans="2:10" ht="13.5" thickBot="1">
      <c r="B41" s="106" t="s">
        <v>37</v>
      </c>
      <c r="C41" s="107" t="s">
        <v>38</v>
      </c>
      <c r="D41" s="230">
        <v>54870433.039999999</v>
      </c>
      <c r="E41" s="155">
        <f>E26+E27+E40</f>
        <v>63391185.060000002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01"/>
      <c r="D43" s="501"/>
      <c r="E43" s="501"/>
      <c r="G43" s="76"/>
    </row>
    <row r="44" spans="2:10" ht="17.25" customHeight="1" thickBot="1">
      <c r="B44" s="498" t="s">
        <v>121</v>
      </c>
      <c r="C44" s="502"/>
      <c r="D44" s="502"/>
      <c r="E44" s="502"/>
      <c r="G44" s="76"/>
    </row>
    <row r="45" spans="2:10" ht="13.5" thickBot="1">
      <c r="B45" s="93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249"/>
      <c r="E46" s="28"/>
      <c r="G46" s="76"/>
    </row>
    <row r="47" spans="2:10">
      <c r="B47" s="109" t="s">
        <v>4</v>
      </c>
      <c r="C47" s="15" t="s">
        <v>40</v>
      </c>
      <c r="D47" s="231">
        <v>4308518.9522000002</v>
      </c>
      <c r="E47" s="79">
        <v>4861973.9389199996</v>
      </c>
      <c r="G47" s="210"/>
    </row>
    <row r="48" spans="2:10">
      <c r="B48" s="130" t="s">
        <v>6</v>
      </c>
      <c r="C48" s="22" t="s">
        <v>41</v>
      </c>
      <c r="D48" s="232">
        <v>4563586.3444800004</v>
      </c>
      <c r="E48" s="317">
        <v>5120037.5623939903</v>
      </c>
      <c r="G48" s="213"/>
    </row>
    <row r="49" spans="2:7">
      <c r="B49" s="127" t="s">
        <v>23</v>
      </c>
      <c r="C49" s="131" t="s">
        <v>113</v>
      </c>
      <c r="D49" s="233"/>
      <c r="E49" s="132"/>
    </row>
    <row r="50" spans="2:7">
      <c r="B50" s="109" t="s">
        <v>4</v>
      </c>
      <c r="C50" s="15" t="s">
        <v>40</v>
      </c>
      <c r="D50" s="231">
        <v>12.119901907902999</v>
      </c>
      <c r="E50" s="310">
        <v>12.2491776381711</v>
      </c>
      <c r="G50" s="239"/>
    </row>
    <row r="51" spans="2:7">
      <c r="B51" s="109" t="s">
        <v>6</v>
      </c>
      <c r="C51" s="15" t="s">
        <v>114</v>
      </c>
      <c r="D51" s="311">
        <v>12.01</v>
      </c>
      <c r="E51" s="312">
        <v>12.1929</v>
      </c>
      <c r="G51" s="190"/>
    </row>
    <row r="52" spans="2:7" ht="12" customHeight="1">
      <c r="B52" s="109" t="s">
        <v>8</v>
      </c>
      <c r="C52" s="15" t="s">
        <v>115</v>
      </c>
      <c r="D52" s="311">
        <v>12.2064</v>
      </c>
      <c r="E52" s="81">
        <v>12.4079</v>
      </c>
    </row>
    <row r="53" spans="2:7" ht="13.5" thickBot="1">
      <c r="B53" s="110" t="s">
        <v>9</v>
      </c>
      <c r="C53" s="17" t="s">
        <v>41</v>
      </c>
      <c r="D53" s="235">
        <v>12.0235334445672</v>
      </c>
      <c r="E53" s="272">
        <v>12.381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SUM(D59:D70)</f>
        <v>63407397.569999993</v>
      </c>
      <c r="E58" s="32">
        <f>D58/E21</f>
        <v>1.0002557533825034</v>
      </c>
    </row>
    <row r="59" spans="2:7" ht="25.5">
      <c r="B59" s="21" t="s">
        <v>4</v>
      </c>
      <c r="C59" s="22" t="s">
        <v>44</v>
      </c>
      <c r="D59" s="86">
        <v>0</v>
      </c>
      <c r="E59" s="87">
        <v>0</v>
      </c>
    </row>
    <row r="60" spans="2:7" ht="24" customHeight="1">
      <c r="B60" s="14" t="s">
        <v>6</v>
      </c>
      <c r="C60" s="15" t="s">
        <v>45</v>
      </c>
      <c r="D60" s="84">
        <v>0</v>
      </c>
      <c r="E60" s="85">
        <v>0</v>
      </c>
    </row>
    <row r="61" spans="2:7">
      <c r="B61" s="14" t="s">
        <v>8</v>
      </c>
      <c r="C61" s="15" t="s">
        <v>46</v>
      </c>
      <c r="D61" s="84">
        <v>0</v>
      </c>
      <c r="E61" s="85">
        <v>0</v>
      </c>
    </row>
    <row r="62" spans="2:7">
      <c r="B62" s="14" t="s">
        <v>9</v>
      </c>
      <c r="C62" s="15" t="s">
        <v>47</v>
      </c>
      <c r="D62" s="84">
        <v>0</v>
      </c>
      <c r="E62" s="85">
        <v>0</v>
      </c>
    </row>
    <row r="63" spans="2:7">
      <c r="B63" s="14" t="s">
        <v>29</v>
      </c>
      <c r="C63" s="15" t="s">
        <v>48</v>
      </c>
      <c r="D63" s="84">
        <v>0</v>
      </c>
      <c r="E63" s="85">
        <v>0</v>
      </c>
    </row>
    <row r="64" spans="2:7">
      <c r="B64" s="21" t="s">
        <v>31</v>
      </c>
      <c r="C64" s="22" t="s">
        <v>49</v>
      </c>
      <c r="D64" s="314">
        <f>63856464.73-712496.13</f>
        <v>63143968.599999994</v>
      </c>
      <c r="E64" s="87">
        <f>D64/E21</f>
        <v>0.99610014452693996</v>
      </c>
    </row>
    <row r="65" spans="2:5">
      <c r="B65" s="21" t="s">
        <v>33</v>
      </c>
      <c r="C65" s="22" t="s">
        <v>118</v>
      </c>
      <c r="D65" s="86">
        <v>0</v>
      </c>
      <c r="E65" s="87">
        <v>0</v>
      </c>
    </row>
    <row r="66" spans="2:5">
      <c r="B66" s="21" t="s">
        <v>50</v>
      </c>
      <c r="C66" s="22" t="s">
        <v>51</v>
      </c>
      <c r="D66" s="86">
        <v>0</v>
      </c>
      <c r="E66" s="87">
        <v>0</v>
      </c>
    </row>
    <row r="67" spans="2:5">
      <c r="B67" s="14" t="s">
        <v>52</v>
      </c>
      <c r="C67" s="15" t="s">
        <v>53</v>
      </c>
      <c r="D67" s="84">
        <v>0</v>
      </c>
      <c r="E67" s="85">
        <v>0</v>
      </c>
    </row>
    <row r="68" spans="2:5">
      <c r="B68" s="14" t="s">
        <v>54</v>
      </c>
      <c r="C68" s="15" t="s">
        <v>55</v>
      </c>
      <c r="D68" s="84">
        <v>0</v>
      </c>
      <c r="E68" s="85">
        <v>0</v>
      </c>
    </row>
    <row r="69" spans="2:5">
      <c r="B69" s="14" t="s">
        <v>56</v>
      </c>
      <c r="C69" s="15" t="s">
        <v>57</v>
      </c>
      <c r="D69" s="334">
        <v>263428.96999999997</v>
      </c>
      <c r="E69" s="85">
        <f>D69/E21</f>
        <v>4.1556088555634897E-3</v>
      </c>
    </row>
    <row r="70" spans="2:5">
      <c r="B70" s="119" t="s">
        <v>58</v>
      </c>
      <c r="C70" s="120" t="s">
        <v>59</v>
      </c>
      <c r="D70" s="121">
        <v>0</v>
      </c>
      <c r="E70" s="122">
        <v>0</v>
      </c>
    </row>
    <row r="71" spans="2:5">
      <c r="B71" s="127" t="s">
        <v>23</v>
      </c>
      <c r="C71" s="128" t="s">
        <v>61</v>
      </c>
      <c r="D71" s="129">
        <f>E13</f>
        <v>0</v>
      </c>
      <c r="E71" s="69">
        <v>0</v>
      </c>
    </row>
    <row r="72" spans="2:5">
      <c r="B72" s="123" t="s">
        <v>60</v>
      </c>
      <c r="C72" s="124" t="s">
        <v>63</v>
      </c>
      <c r="D72" s="125">
        <f>E14</f>
        <v>152718.35</v>
      </c>
      <c r="E72" s="126">
        <f>D72/E21</f>
        <v>2.4091417419543665E-3</v>
      </c>
    </row>
    <row r="73" spans="2:5">
      <c r="B73" s="23" t="s">
        <v>62</v>
      </c>
      <c r="C73" s="24" t="s">
        <v>65</v>
      </c>
      <c r="D73" s="25">
        <f>E17</f>
        <v>168930.86</v>
      </c>
      <c r="E73" s="26">
        <f>D73/E21</f>
        <v>2.6648951244578611E-3</v>
      </c>
    </row>
    <row r="74" spans="2:5">
      <c r="B74" s="127" t="s">
        <v>64</v>
      </c>
      <c r="C74" s="128" t="s">
        <v>66</v>
      </c>
      <c r="D74" s="129">
        <f>D58+D71+D72-D73</f>
        <v>63391185.059999995</v>
      </c>
      <c r="E74" s="69">
        <f>E58+E72-E73</f>
        <v>0.99999999999999978</v>
      </c>
    </row>
    <row r="75" spans="2:5">
      <c r="B75" s="14" t="s">
        <v>4</v>
      </c>
      <c r="C75" s="15" t="s">
        <v>67</v>
      </c>
      <c r="D75" s="84">
        <f>D74</f>
        <v>63391185.059999995</v>
      </c>
      <c r="E75" s="85">
        <f>E74</f>
        <v>0.99999999999999978</v>
      </c>
    </row>
    <row r="76" spans="2:5">
      <c r="B76" s="14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6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0"/>
  <dimension ref="A1:L81"/>
  <sheetViews>
    <sheetView zoomScale="80" zoomScaleNormal="80" workbookViewId="0">
      <selection activeCell="G16" sqref="G16:L4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5"/>
      <c r="C4" s="145"/>
      <c r="D4" s="145"/>
      <c r="E4" s="145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194</v>
      </c>
      <c r="C6" s="497"/>
      <c r="D6" s="497"/>
      <c r="E6" s="497"/>
    </row>
    <row r="7" spans="2:12" ht="14.25">
      <c r="B7" s="143"/>
      <c r="C7" s="143"/>
      <c r="D7" s="143"/>
      <c r="E7" s="143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4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16442.86</v>
      </c>
      <c r="E11" s="284">
        <f>SUM(E12:E14)</f>
        <v>16677.7</v>
      </c>
    </row>
    <row r="12" spans="2:12">
      <c r="B12" s="191" t="s">
        <v>4</v>
      </c>
      <c r="C12" s="192" t="s">
        <v>5</v>
      </c>
      <c r="D12" s="329">
        <v>16442.86</v>
      </c>
      <c r="E12" s="353">
        <f>17640.87-963.17</f>
        <v>16677.7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16442.86</v>
      </c>
      <c r="E21" s="155">
        <f>E11-E17</f>
        <v>16677.7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59887.72</v>
      </c>
      <c r="E26" s="270">
        <f>D21</f>
        <v>16442.86</v>
      </c>
      <c r="G26" s="80"/>
    </row>
    <row r="27" spans="2:11">
      <c r="B27" s="9" t="s">
        <v>17</v>
      </c>
      <c r="C27" s="10" t="s">
        <v>111</v>
      </c>
      <c r="D27" s="226">
        <v>-485.56</v>
      </c>
      <c r="E27" s="263">
        <f>E28-E32</f>
        <v>-1077.95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485.56</v>
      </c>
      <c r="E32" s="264">
        <f>SUM(E33:E39)</f>
        <v>1077.95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>
        <v>963.17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22.37</v>
      </c>
      <c r="E35" s="265">
        <v>16.09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463.19</v>
      </c>
      <c r="E37" s="265">
        <v>98.69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-6927.52</v>
      </c>
      <c r="E40" s="271">
        <v>1312.79</v>
      </c>
      <c r="G40" s="80"/>
    </row>
    <row r="41" spans="2:10" ht="13.5" thickBot="1">
      <c r="B41" s="106" t="s">
        <v>37</v>
      </c>
      <c r="C41" s="107" t="s">
        <v>38</v>
      </c>
      <c r="D41" s="230">
        <v>52474.64</v>
      </c>
      <c r="E41" s="155">
        <f>E26+E27+E40</f>
        <v>16677.7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267.12929000000003</v>
      </c>
      <c r="E47" s="156">
        <v>90.023899999999998</v>
      </c>
      <c r="G47" s="76"/>
    </row>
    <row r="48" spans="2:10">
      <c r="B48" s="204" t="s">
        <v>6</v>
      </c>
      <c r="C48" s="205" t="s">
        <v>41</v>
      </c>
      <c r="D48" s="232">
        <v>264.87630000000001</v>
      </c>
      <c r="E48" s="156">
        <f>E21/E53</f>
        <v>84.563938748605622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224.19</v>
      </c>
      <c r="E50" s="156">
        <v>182.65</v>
      </c>
      <c r="G50" s="190"/>
    </row>
    <row r="51" spans="2:7">
      <c r="B51" s="202" t="s">
        <v>6</v>
      </c>
      <c r="C51" s="203" t="s">
        <v>114</v>
      </c>
      <c r="D51" s="234">
        <v>196.08</v>
      </c>
      <c r="E51" s="81">
        <v>182.65</v>
      </c>
      <c r="G51" s="190"/>
    </row>
    <row r="52" spans="2:7">
      <c r="B52" s="202" t="s">
        <v>8</v>
      </c>
      <c r="C52" s="203" t="s">
        <v>115</v>
      </c>
      <c r="D52" s="234">
        <v>233.45</v>
      </c>
      <c r="E52" s="81">
        <v>200.97</v>
      </c>
    </row>
    <row r="53" spans="2:7" ht="14.25" customHeight="1" thickBot="1">
      <c r="B53" s="206" t="s">
        <v>9</v>
      </c>
      <c r="C53" s="207" t="s">
        <v>41</v>
      </c>
      <c r="D53" s="235">
        <v>198.11</v>
      </c>
      <c r="E53" s="272">
        <v>197.22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16677.7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16677.7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16677.7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16677.7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1">
    <pageSetUpPr fitToPage="1"/>
  </sheetPr>
  <dimension ref="A1:L81"/>
  <sheetViews>
    <sheetView zoomScale="80" zoomScaleNormal="80" workbookViewId="0">
      <selection activeCell="G43" sqref="G43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5"/>
      <c r="C4" s="145"/>
      <c r="D4" s="145"/>
      <c r="E4" s="145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195</v>
      </c>
      <c r="C6" s="497"/>
      <c r="D6" s="497"/>
      <c r="E6" s="497"/>
    </row>
    <row r="7" spans="2:12" ht="14.25">
      <c r="B7" s="143"/>
      <c r="C7" s="143"/>
      <c r="D7" s="143"/>
      <c r="E7" s="143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4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5339211.8</v>
      </c>
      <c r="E11" s="284">
        <f>SUM(E12:E14)</f>
        <v>4722316.7</v>
      </c>
    </row>
    <row r="12" spans="2:12">
      <c r="B12" s="191" t="s">
        <v>4</v>
      </c>
      <c r="C12" s="192" t="s">
        <v>5</v>
      </c>
      <c r="D12" s="329">
        <v>5339211.8</v>
      </c>
      <c r="E12" s="353">
        <v>4722316.7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5339211.8</v>
      </c>
      <c r="E21" s="155">
        <f>E11-E17</f>
        <v>4722316.7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7798710.8200000003</v>
      </c>
      <c r="E26" s="270">
        <f>D21</f>
        <v>5339211.8</v>
      </c>
      <c r="G26" s="80"/>
    </row>
    <row r="27" spans="2:11">
      <c r="B27" s="9" t="s">
        <v>17</v>
      </c>
      <c r="C27" s="10" t="s">
        <v>111</v>
      </c>
      <c r="D27" s="226">
        <v>-393784.32000000001</v>
      </c>
      <c r="E27" s="263">
        <f>E28-E32</f>
        <v>-1245897.1099999999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393784.32000000001</v>
      </c>
      <c r="E32" s="264">
        <f>SUM(E33:E39)</f>
        <v>1245897.1099999999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275232.58</v>
      </c>
      <c r="E33" s="265">
        <v>45690.69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8635.58</v>
      </c>
      <c r="E35" s="265">
        <v>12052.68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60392.17</v>
      </c>
      <c r="E37" s="265">
        <v>37667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49523.99</v>
      </c>
      <c r="E39" s="266">
        <v>1150486.74</v>
      </c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-119057.12</v>
      </c>
      <c r="E40" s="271">
        <v>629002.01</v>
      </c>
      <c r="G40" s="80"/>
    </row>
    <row r="41" spans="2:10" ht="13.5" thickBot="1">
      <c r="B41" s="106" t="s">
        <v>37</v>
      </c>
      <c r="C41" s="107" t="s">
        <v>38</v>
      </c>
      <c r="D41" s="230">
        <v>7285869.3799999999</v>
      </c>
      <c r="E41" s="155">
        <f>E26+E27+E40</f>
        <v>4722316.7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46086.223989999999</v>
      </c>
      <c r="E47" s="156">
        <v>36024.639300000003</v>
      </c>
      <c r="G47" s="76"/>
    </row>
    <row r="48" spans="2:10">
      <c r="B48" s="204" t="s">
        <v>6</v>
      </c>
      <c r="C48" s="205" t="s">
        <v>41</v>
      </c>
      <c r="D48" s="232">
        <v>43732.709369999997</v>
      </c>
      <c r="E48" s="156">
        <v>27750.582969999999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169.22</v>
      </c>
      <c r="E50" s="156">
        <v>148.21</v>
      </c>
      <c r="G50" s="190"/>
    </row>
    <row r="51" spans="2:7">
      <c r="B51" s="202" t="s">
        <v>6</v>
      </c>
      <c r="C51" s="203" t="s">
        <v>114</v>
      </c>
      <c r="D51" s="234">
        <v>158.06</v>
      </c>
      <c r="E51" s="81">
        <v>147.83000000000001</v>
      </c>
      <c r="G51" s="190"/>
    </row>
    <row r="52" spans="2:7">
      <c r="B52" s="202" t="s">
        <v>8</v>
      </c>
      <c r="C52" s="203" t="s">
        <v>115</v>
      </c>
      <c r="D52" s="234">
        <v>175.39</v>
      </c>
      <c r="E52" s="81">
        <v>173.26</v>
      </c>
    </row>
    <row r="53" spans="2:7" ht="12.75" customHeight="1" thickBot="1">
      <c r="B53" s="206" t="s">
        <v>9</v>
      </c>
      <c r="C53" s="207" t="s">
        <v>41</v>
      </c>
      <c r="D53" s="235">
        <v>166.6</v>
      </c>
      <c r="E53" s="272">
        <v>170.17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4722316.7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4722316.7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4722316.7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4722316.7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2"/>
  <dimension ref="A1:L81"/>
  <sheetViews>
    <sheetView zoomScale="80" zoomScaleNormal="80" workbookViewId="0">
      <selection activeCell="G15" sqref="G15:L4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5"/>
      <c r="C4" s="145"/>
      <c r="D4" s="145"/>
      <c r="E4" s="145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196</v>
      </c>
      <c r="C6" s="497"/>
      <c r="D6" s="497"/>
      <c r="E6" s="497"/>
    </row>
    <row r="7" spans="2:12" ht="14.25">
      <c r="B7" s="143"/>
      <c r="C7" s="143"/>
      <c r="D7" s="143"/>
      <c r="E7" s="143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4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12495527.130000001</v>
      </c>
      <c r="E11" s="284">
        <f>SUM(E12:E14)</f>
        <v>8128349.3600000003</v>
      </c>
    </row>
    <row r="12" spans="2:12">
      <c r="B12" s="191" t="s">
        <v>4</v>
      </c>
      <c r="C12" s="192" t="s">
        <v>5</v>
      </c>
      <c r="D12" s="329">
        <v>12495527.130000001</v>
      </c>
      <c r="E12" s="353">
        <v>8128349.3600000003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12495527.130000001</v>
      </c>
      <c r="E21" s="155">
        <f>E11-E17</f>
        <v>8128349.3600000003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16368771.6</v>
      </c>
      <c r="E26" s="270">
        <f>D21</f>
        <v>12495527.130000001</v>
      </c>
      <c r="G26" s="80"/>
    </row>
    <row r="27" spans="2:11">
      <c r="B27" s="9" t="s">
        <v>17</v>
      </c>
      <c r="C27" s="10" t="s">
        <v>111</v>
      </c>
      <c r="D27" s="226">
        <v>-822696.55</v>
      </c>
      <c r="E27" s="263">
        <f>E28-E32</f>
        <v>-5146493.4700000007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822696.55</v>
      </c>
      <c r="E32" s="264">
        <f>SUM(E33:E39)</f>
        <v>5146493.4700000007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243562.13</v>
      </c>
      <c r="E33" s="265">
        <v>213466.68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3719.03</v>
      </c>
      <c r="E35" s="265">
        <v>8818.16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126730.22</v>
      </c>
      <c r="E37" s="265">
        <v>75481.929999999993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448685.17</v>
      </c>
      <c r="E39" s="266">
        <v>4848726.7</v>
      </c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-164993</v>
      </c>
      <c r="E40" s="271">
        <v>779315.7</v>
      </c>
      <c r="G40" s="80"/>
    </row>
    <row r="41" spans="2:10" ht="13.5" thickBot="1">
      <c r="B41" s="106" t="s">
        <v>37</v>
      </c>
      <c r="C41" s="107" t="s">
        <v>38</v>
      </c>
      <c r="D41" s="230">
        <v>15381082.049999999</v>
      </c>
      <c r="E41" s="155">
        <f>E26+E27+E40</f>
        <v>8128349.3600000003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91892.278649999993</v>
      </c>
      <c r="E47" s="156">
        <v>73339.166200000007</v>
      </c>
      <c r="G47" s="76"/>
    </row>
    <row r="48" spans="2:10">
      <c r="B48" s="204" t="s">
        <v>6</v>
      </c>
      <c r="C48" s="205" t="s">
        <v>41</v>
      </c>
      <c r="D48" s="232">
        <v>87273.502340000006</v>
      </c>
      <c r="E48" s="156">
        <v>44322.75129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178.13</v>
      </c>
      <c r="E50" s="156">
        <v>170.38</v>
      </c>
      <c r="G50" s="190"/>
    </row>
    <row r="51" spans="2:7">
      <c r="B51" s="202" t="s">
        <v>6</v>
      </c>
      <c r="C51" s="203" t="s">
        <v>114</v>
      </c>
      <c r="D51" s="234">
        <v>175.37</v>
      </c>
      <c r="E51" s="156">
        <v>170.36</v>
      </c>
      <c r="G51" s="190"/>
    </row>
    <row r="52" spans="2:7">
      <c r="B52" s="202" t="s">
        <v>8</v>
      </c>
      <c r="C52" s="203" t="s">
        <v>115</v>
      </c>
      <c r="D52" s="234">
        <v>179.64</v>
      </c>
      <c r="E52" s="81">
        <v>183.83</v>
      </c>
    </row>
    <row r="53" spans="2:7" ht="13.5" customHeight="1" thickBot="1">
      <c r="B53" s="206" t="s">
        <v>9</v>
      </c>
      <c r="C53" s="207" t="s">
        <v>41</v>
      </c>
      <c r="D53" s="235">
        <v>176.24</v>
      </c>
      <c r="E53" s="272">
        <v>183.39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8128349.3600000003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8128349.3600000003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8128349.3600000003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8128349.3600000003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3"/>
  <dimension ref="A1:L81"/>
  <sheetViews>
    <sheetView zoomScale="80" zoomScaleNormal="80" workbookViewId="0">
      <selection activeCell="G17" sqref="G17:K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5"/>
      <c r="C4" s="145"/>
      <c r="D4" s="145"/>
      <c r="E4" s="145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197</v>
      </c>
      <c r="C6" s="497"/>
      <c r="D6" s="497"/>
      <c r="E6" s="497"/>
    </row>
    <row r="7" spans="2:12" ht="14.25">
      <c r="B7" s="143"/>
      <c r="C7" s="143"/>
      <c r="D7" s="143"/>
      <c r="E7" s="143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4"/>
      <c r="C10" s="82" t="s">
        <v>2</v>
      </c>
      <c r="D10" s="73" t="s">
        <v>127</v>
      </c>
      <c r="E10" s="29" t="s">
        <v>145</v>
      </c>
      <c r="G10" s="76"/>
    </row>
    <row r="11" spans="2:12">
      <c r="B11" s="97" t="s">
        <v>3</v>
      </c>
      <c r="C11" s="135" t="s">
        <v>109</v>
      </c>
      <c r="D11" s="283">
        <v>6626092.6600000001</v>
      </c>
      <c r="E11" s="284">
        <f>SUM(E12:E14)</f>
        <v>6880329.6200000001</v>
      </c>
    </row>
    <row r="12" spans="2:12">
      <c r="B12" s="191" t="s">
        <v>4</v>
      </c>
      <c r="C12" s="192" t="s">
        <v>5</v>
      </c>
      <c r="D12" s="329">
        <v>6626092.6600000001</v>
      </c>
      <c r="E12" s="353">
        <f>6880343.41-13.79</f>
        <v>6880329.6200000001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6626092.6600000001</v>
      </c>
      <c r="E21" s="155">
        <f>E11-E17</f>
        <v>6880329.6200000001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10413724.82</v>
      </c>
      <c r="E26" s="270">
        <f>D21</f>
        <v>6626092.6600000001</v>
      </c>
      <c r="G26" s="80"/>
    </row>
    <row r="27" spans="2:11">
      <c r="B27" s="9" t="s">
        <v>17</v>
      </c>
      <c r="C27" s="10" t="s">
        <v>111</v>
      </c>
      <c r="D27" s="226">
        <v>-2833207.56</v>
      </c>
      <c r="E27" s="263">
        <f>E28-E32</f>
        <v>-665401.23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118770.43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>
        <v>118770.43</v>
      </c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2833207.56</v>
      </c>
      <c r="E32" s="264">
        <f>SUM(E33:E39)</f>
        <v>784171.66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1807093.6</v>
      </c>
      <c r="E33" s="265">
        <v>469740.44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11757.74</v>
      </c>
      <c r="E35" s="265">
        <v>7970.25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66505.59</v>
      </c>
      <c r="E37" s="265">
        <v>55578.12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947850.63</v>
      </c>
      <c r="E39" s="266">
        <v>250882.85</v>
      </c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-91586.65</v>
      </c>
      <c r="E40" s="271">
        <v>919638.19</v>
      </c>
      <c r="G40" s="80"/>
    </row>
    <row r="41" spans="2:10" ht="13.5" thickBot="1">
      <c r="B41" s="106" t="s">
        <v>37</v>
      </c>
      <c r="C41" s="107" t="s">
        <v>38</v>
      </c>
      <c r="D41" s="230">
        <v>7488930.6099999994</v>
      </c>
      <c r="E41" s="155">
        <f>E26+E27+E40</f>
        <v>6880329.6199999992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46425.593240000002</v>
      </c>
      <c r="E47" s="156">
        <v>32159.253830000001</v>
      </c>
      <c r="G47" s="76"/>
    </row>
    <row r="48" spans="2:10">
      <c r="B48" s="204" t="s">
        <v>6</v>
      </c>
      <c r="C48" s="205" t="s">
        <v>41</v>
      </c>
      <c r="D48" s="232">
        <v>33816.177230000001</v>
      </c>
      <c r="E48" s="156">
        <f>E21/E53</f>
        <v>29263.055546104119</v>
      </c>
      <c r="G48" s="210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224.31</v>
      </c>
      <c r="E50" s="156">
        <v>206.04</v>
      </c>
      <c r="G50" s="190"/>
    </row>
    <row r="51" spans="2:7">
      <c r="B51" s="202" t="s">
        <v>6</v>
      </c>
      <c r="C51" s="203" t="s">
        <v>114</v>
      </c>
      <c r="D51" s="234">
        <v>207.44</v>
      </c>
      <c r="E51" s="81">
        <v>205.27</v>
      </c>
      <c r="G51" s="190"/>
    </row>
    <row r="52" spans="2:7">
      <c r="B52" s="202" t="s">
        <v>8</v>
      </c>
      <c r="C52" s="203" t="s">
        <v>115</v>
      </c>
      <c r="D52" s="234">
        <v>230.95</v>
      </c>
      <c r="E52" s="81">
        <v>241.1</v>
      </c>
    </row>
    <row r="53" spans="2:7" ht="13.5" customHeight="1" thickBot="1">
      <c r="B53" s="206" t="s">
        <v>9</v>
      </c>
      <c r="C53" s="207" t="s">
        <v>41</v>
      </c>
      <c r="D53" s="235">
        <v>221.46</v>
      </c>
      <c r="E53" s="272">
        <v>235.12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6880329.6200000001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3.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E12</f>
        <v>6880329.6200000001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f>E17</f>
        <v>0</v>
      </c>
      <c r="E73" s="26">
        <f>D73/E21</f>
        <v>0</v>
      </c>
    </row>
    <row r="74" spans="2:5">
      <c r="B74" s="137" t="s">
        <v>64</v>
      </c>
      <c r="C74" s="128" t="s">
        <v>66</v>
      </c>
      <c r="D74" s="129">
        <f>D58-D73</f>
        <v>6880329.6200000001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6880329.6200000001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4"/>
  <dimension ref="A1:L81"/>
  <sheetViews>
    <sheetView zoomScale="80" zoomScaleNormal="80" workbookViewId="0">
      <selection activeCell="G16" sqref="G16:K44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6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5"/>
      <c r="C4" s="145"/>
      <c r="D4" s="145"/>
      <c r="E4" s="145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198</v>
      </c>
      <c r="C6" s="497"/>
      <c r="D6" s="497"/>
      <c r="E6" s="497"/>
    </row>
    <row r="7" spans="2:12" ht="14.25">
      <c r="B7" s="143"/>
      <c r="C7" s="143"/>
      <c r="D7" s="143"/>
      <c r="E7" s="143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4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3323449.45</v>
      </c>
      <c r="E11" s="284">
        <f>SUM(E12:E14)</f>
        <v>3375652.28</v>
      </c>
    </row>
    <row r="12" spans="2:12">
      <c r="B12" s="191" t="s">
        <v>4</v>
      </c>
      <c r="C12" s="192" t="s">
        <v>5</v>
      </c>
      <c r="D12" s="329">
        <v>3323449.45</v>
      </c>
      <c r="E12" s="353">
        <f>3376483.76-831.48</f>
        <v>3375652.28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3323449.45</v>
      </c>
      <c r="E21" s="155">
        <f>E11-E17</f>
        <v>3375652.28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  <c r="H22" s="167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4987681.6399999997</v>
      </c>
      <c r="E26" s="270">
        <f>D21</f>
        <v>3323449.45</v>
      </c>
      <c r="G26" s="80"/>
    </row>
    <row r="27" spans="2:11">
      <c r="B27" s="9" t="s">
        <v>17</v>
      </c>
      <c r="C27" s="10" t="s">
        <v>111</v>
      </c>
      <c r="D27" s="226">
        <v>-57494.130000000005</v>
      </c>
      <c r="E27" s="263">
        <f>E28-E32</f>
        <v>-115850.87000000002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521722.03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521722.03</v>
      </c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579216.16</v>
      </c>
      <c r="E32" s="264">
        <f>SUM(E33:E39)</f>
        <v>115850.87000000002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436832.68</v>
      </c>
      <c r="E33" s="265">
        <v>42987.73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2877.62</v>
      </c>
      <c r="E35" s="265">
        <v>1610.23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37988.22</v>
      </c>
      <c r="E37" s="265">
        <v>27444.9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101517.64</v>
      </c>
      <c r="E39" s="266">
        <v>43808.01</v>
      </c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-316707.7</v>
      </c>
      <c r="E40" s="271">
        <v>168053.7</v>
      </c>
      <c r="G40" s="80"/>
    </row>
    <row r="41" spans="2:10" ht="13.5" thickBot="1">
      <c r="B41" s="106" t="s">
        <v>37</v>
      </c>
      <c r="C41" s="107" t="s">
        <v>38</v>
      </c>
      <c r="D41" s="230">
        <v>4613479.8099999996</v>
      </c>
      <c r="E41" s="155">
        <f>E26+E27+E40</f>
        <v>3375652.2800000003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22984.74639</v>
      </c>
      <c r="E47" s="156">
        <v>18916.55444</v>
      </c>
      <c r="G47" s="76"/>
    </row>
    <row r="48" spans="2:10">
      <c r="B48" s="204" t="s">
        <v>6</v>
      </c>
      <c r="C48" s="205" t="s">
        <v>41</v>
      </c>
      <c r="D48" s="232">
        <v>22584.099300000002</v>
      </c>
      <c r="E48" s="156">
        <f>E21/E53</f>
        <v>18295.226708579481</v>
      </c>
      <c r="G48" s="210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217</v>
      </c>
      <c r="E50" s="156">
        <v>175.69</v>
      </c>
      <c r="G50" s="190"/>
    </row>
    <row r="51" spans="2:7">
      <c r="B51" s="202" t="s">
        <v>6</v>
      </c>
      <c r="C51" s="203" t="s">
        <v>114</v>
      </c>
      <c r="D51" s="234">
        <v>195.92</v>
      </c>
      <c r="E51" s="81">
        <v>173.83</v>
      </c>
      <c r="G51" s="190"/>
    </row>
    <row r="52" spans="2:7">
      <c r="B52" s="202" t="s">
        <v>8</v>
      </c>
      <c r="C52" s="203" t="s">
        <v>115</v>
      </c>
      <c r="D52" s="234">
        <v>228.07</v>
      </c>
      <c r="E52" s="81">
        <v>195.18</v>
      </c>
    </row>
    <row r="53" spans="2:7" ht="12.75" customHeight="1" thickBot="1">
      <c r="B53" s="206" t="s">
        <v>9</v>
      </c>
      <c r="C53" s="207" t="s">
        <v>41</v>
      </c>
      <c r="D53" s="235">
        <v>204.28</v>
      </c>
      <c r="E53" s="272">
        <v>184.51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7.2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3375652.28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 ht="12.75" customHeight="1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3375652.28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3375652.28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3375652.28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9" type="noConversion"/>
  <pageMargins left="0.56999999999999995" right="0.75" top="0.6" bottom="0.49" header="0.5" footer="0.5"/>
  <pageSetup paperSize="9" scale="70" orientation="portrait" r:id="rId1"/>
  <headerFooter alignWithMargins="0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5"/>
  <dimension ref="A1:L81"/>
  <sheetViews>
    <sheetView zoomScale="80" zoomScaleNormal="80" workbookViewId="0">
      <selection activeCell="G17" sqref="G17:L41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5"/>
      <c r="C4" s="145"/>
      <c r="D4" s="145"/>
      <c r="E4" s="145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199</v>
      </c>
      <c r="C6" s="497"/>
      <c r="D6" s="497"/>
      <c r="E6" s="497"/>
    </row>
    <row r="7" spans="2:12" ht="14.25">
      <c r="B7" s="143"/>
      <c r="C7" s="143"/>
      <c r="D7" s="143"/>
      <c r="E7" s="143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4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243859.62</v>
      </c>
      <c r="E11" s="284">
        <f>SUM(E12:E14)</f>
        <v>228701.37</v>
      </c>
    </row>
    <row r="12" spans="2:12">
      <c r="B12" s="191" t="s">
        <v>4</v>
      </c>
      <c r="C12" s="192" t="s">
        <v>5</v>
      </c>
      <c r="D12" s="329">
        <v>243859.62</v>
      </c>
      <c r="E12" s="353">
        <v>228701.37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243859.62</v>
      </c>
      <c r="E21" s="155">
        <f>E11-E17</f>
        <v>228701.37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1206746.97</v>
      </c>
      <c r="E26" s="270">
        <f>D21</f>
        <v>243859.62</v>
      </c>
      <c r="G26" s="80"/>
    </row>
    <row r="27" spans="2:11">
      <c r="B27" s="9" t="s">
        <v>17</v>
      </c>
      <c r="C27" s="10" t="s">
        <v>111</v>
      </c>
      <c r="D27" s="226">
        <v>-850631.52</v>
      </c>
      <c r="E27" s="263">
        <f>E28-E32</f>
        <v>-33212.649999999994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850631.52</v>
      </c>
      <c r="E32" s="264">
        <f>SUM(E33:E39)</f>
        <v>33212.649999999994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83138.509999999995</v>
      </c>
      <c r="E33" s="265">
        <v>31256.69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875.21</v>
      </c>
      <c r="E35" s="265">
        <v>19.62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8429.65</v>
      </c>
      <c r="E37" s="265">
        <v>1936.34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>
        <v>758188.15</v>
      </c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-34471.53</v>
      </c>
      <c r="E40" s="271">
        <v>18054.400000000001</v>
      </c>
      <c r="G40" s="80"/>
    </row>
    <row r="41" spans="2:10" ht="13.5" thickBot="1">
      <c r="B41" s="106" t="s">
        <v>37</v>
      </c>
      <c r="C41" s="107" t="s">
        <v>38</v>
      </c>
      <c r="D41" s="230">
        <v>321643.91999999993</v>
      </c>
      <c r="E41" s="155">
        <f>E26+E27+E40</f>
        <v>228701.37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8875.0972600000005</v>
      </c>
      <c r="E47" s="156">
        <v>2055.2854000000002</v>
      </c>
      <c r="G47" s="76"/>
    </row>
    <row r="48" spans="2:10">
      <c r="B48" s="204" t="s">
        <v>6</v>
      </c>
      <c r="C48" s="205" t="s">
        <v>41</v>
      </c>
      <c r="D48" s="232">
        <v>2525.0739600000002</v>
      </c>
      <c r="E48" s="156">
        <v>1797.11906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135.97</v>
      </c>
      <c r="E50" s="156">
        <v>118.65</v>
      </c>
      <c r="G50" s="190"/>
    </row>
    <row r="51" spans="2:7">
      <c r="B51" s="202" t="s">
        <v>6</v>
      </c>
      <c r="C51" s="203" t="s">
        <v>114</v>
      </c>
      <c r="D51" s="234">
        <v>125.63</v>
      </c>
      <c r="E51" s="81">
        <v>115.46000000000001</v>
      </c>
      <c r="G51" s="190"/>
    </row>
    <row r="52" spans="2:7">
      <c r="B52" s="202" t="s">
        <v>8</v>
      </c>
      <c r="C52" s="203" t="s">
        <v>115</v>
      </c>
      <c r="D52" s="234">
        <v>141.52000000000001</v>
      </c>
      <c r="E52" s="81">
        <v>135.11000000000001</v>
      </c>
    </row>
    <row r="53" spans="2:7" ht="13.5" customHeight="1" thickBot="1">
      <c r="B53" s="206" t="s">
        <v>9</v>
      </c>
      <c r="C53" s="207" t="s">
        <v>41</v>
      </c>
      <c r="D53" s="235">
        <v>127.38</v>
      </c>
      <c r="E53" s="272">
        <v>127.26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5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228701.37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228701.37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228701.37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228701.37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6"/>
  <dimension ref="A1:L81"/>
  <sheetViews>
    <sheetView zoomScale="80" zoomScaleNormal="80" workbookViewId="0">
      <selection activeCell="G16" sqref="G16:M45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5"/>
      <c r="C4" s="145"/>
      <c r="D4" s="145"/>
      <c r="E4" s="145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200</v>
      </c>
      <c r="C6" s="497"/>
      <c r="D6" s="497"/>
      <c r="E6" s="497"/>
    </row>
    <row r="7" spans="2:12" ht="14.25">
      <c r="B7" s="143"/>
      <c r="C7" s="143"/>
      <c r="D7" s="143"/>
      <c r="E7" s="143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4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3172633.79</v>
      </c>
      <c r="E11" s="284">
        <f>SUM(E12:E14)</f>
        <v>2169507.2800000003</v>
      </c>
    </row>
    <row r="12" spans="2:12">
      <c r="B12" s="191" t="s">
        <v>4</v>
      </c>
      <c r="C12" s="192" t="s">
        <v>5</v>
      </c>
      <c r="D12" s="329">
        <v>3172633.79</v>
      </c>
      <c r="E12" s="353">
        <f>2569938.02-400430.74</f>
        <v>2169507.2800000003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3172633.79</v>
      </c>
      <c r="E21" s="155">
        <f>E11-E17</f>
        <v>2169507.2800000003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3448197.9</v>
      </c>
      <c r="E26" s="270">
        <f>D21</f>
        <v>3172633.79</v>
      </c>
      <c r="G26" s="80"/>
    </row>
    <row r="27" spans="2:11">
      <c r="B27" s="9" t="s">
        <v>17</v>
      </c>
      <c r="C27" s="10" t="s">
        <v>111</v>
      </c>
      <c r="D27" s="226">
        <v>650179.48</v>
      </c>
      <c r="E27" s="263">
        <f>E28-E32</f>
        <v>-1195278.6599999999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763719.46</v>
      </c>
      <c r="E28" s="264">
        <f>SUM(E29:E31)</f>
        <v>226911.35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763719.46</v>
      </c>
      <c r="E31" s="265">
        <v>226911.35</v>
      </c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113539.98</v>
      </c>
      <c r="E32" s="264">
        <f>SUM(E33:E39)</f>
        <v>1422190.01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83177.350000000006</v>
      </c>
      <c r="E33" s="265">
        <v>1395214.87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1519.93</v>
      </c>
      <c r="E35" s="265">
        <v>2578.89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28842.7</v>
      </c>
      <c r="E37" s="265">
        <v>24396.25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-361239.4</v>
      </c>
      <c r="E40" s="271">
        <v>192152.15</v>
      </c>
      <c r="G40" s="80"/>
    </row>
    <row r="41" spans="2:10" ht="13.5" thickBot="1">
      <c r="B41" s="106" t="s">
        <v>37</v>
      </c>
      <c r="C41" s="107" t="s">
        <v>38</v>
      </c>
      <c r="D41" s="230">
        <v>3737137.98</v>
      </c>
      <c r="E41" s="155">
        <f>E26+E27+E40</f>
        <v>2169507.2800000003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35754.851690000003</v>
      </c>
      <c r="E47" s="156">
        <v>37193.830999999998</v>
      </c>
      <c r="G47" s="76"/>
    </row>
    <row r="48" spans="2:10">
      <c r="B48" s="204" t="s">
        <v>6</v>
      </c>
      <c r="C48" s="205" t="s">
        <v>41</v>
      </c>
      <c r="D48" s="232">
        <v>42308.819020000003</v>
      </c>
      <c r="E48" s="156">
        <f>E21/E53</f>
        <v>23830.264499121266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96.44</v>
      </c>
      <c r="E50" s="156">
        <v>85.3</v>
      </c>
      <c r="G50" s="190"/>
    </row>
    <row r="51" spans="2:7">
      <c r="B51" s="202" t="s">
        <v>6</v>
      </c>
      <c r="C51" s="203" t="s">
        <v>114</v>
      </c>
      <c r="D51" s="234">
        <v>87.68</v>
      </c>
      <c r="E51" s="156">
        <v>85.37</v>
      </c>
      <c r="G51" s="190"/>
    </row>
    <row r="52" spans="2:7">
      <c r="B52" s="202" t="s">
        <v>8</v>
      </c>
      <c r="C52" s="203" t="s">
        <v>115</v>
      </c>
      <c r="D52" s="234">
        <v>101.41</v>
      </c>
      <c r="E52" s="81">
        <v>91.26</v>
      </c>
    </row>
    <row r="53" spans="2:7" ht="12.75" customHeight="1" thickBot="1">
      <c r="B53" s="206" t="s">
        <v>9</v>
      </c>
      <c r="C53" s="207" t="s">
        <v>41</v>
      </c>
      <c r="D53" s="235">
        <v>88.33</v>
      </c>
      <c r="E53" s="272">
        <v>91.04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2169507.2800000003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2169507.2800000003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2169507.2800000003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2169507.2800000003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7"/>
  <dimension ref="A1:L81"/>
  <sheetViews>
    <sheetView zoomScale="80" zoomScaleNormal="80" workbookViewId="0">
      <selection activeCell="G16" sqref="G16:M38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5"/>
      <c r="C4" s="145"/>
      <c r="D4" s="145"/>
      <c r="E4" s="145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201</v>
      </c>
      <c r="C6" s="497"/>
      <c r="D6" s="497"/>
      <c r="E6" s="497"/>
    </row>
    <row r="7" spans="2:12" ht="14.25">
      <c r="B7" s="143"/>
      <c r="C7" s="143"/>
      <c r="D7" s="143"/>
      <c r="E7" s="143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4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620886.81000000006</v>
      </c>
      <c r="E11" s="284">
        <f>SUM(E12:E14)</f>
        <v>810778.04</v>
      </c>
    </row>
    <row r="12" spans="2:12">
      <c r="B12" s="191" t="s">
        <v>4</v>
      </c>
      <c r="C12" s="192" t="s">
        <v>5</v>
      </c>
      <c r="D12" s="329">
        <v>620886.81000000006</v>
      </c>
      <c r="E12" s="353">
        <v>810778.04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620886.81000000006</v>
      </c>
      <c r="E21" s="155">
        <f>E11-E17</f>
        <v>810778.04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1563677.38</v>
      </c>
      <c r="E26" s="270">
        <f>D21</f>
        <v>620886.81000000006</v>
      </c>
      <c r="G26" s="80"/>
    </row>
    <row r="27" spans="2:11">
      <c r="B27" s="9" t="s">
        <v>17</v>
      </c>
      <c r="C27" s="10" t="s">
        <v>111</v>
      </c>
      <c r="D27" s="226">
        <v>-126382.69</v>
      </c>
      <c r="E27" s="263">
        <f>E28-E32</f>
        <v>88742.24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94975.63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>
        <v>94975.63</v>
      </c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126382.69</v>
      </c>
      <c r="E32" s="264">
        <f>SUM(E33:E39)</f>
        <v>6233.39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113803.66</v>
      </c>
      <c r="E33" s="265"/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377</v>
      </c>
      <c r="E35" s="265">
        <v>283.05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12202.03</v>
      </c>
      <c r="E37" s="265">
        <v>5950.34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-10416.64</v>
      </c>
      <c r="E40" s="271">
        <v>101148.99</v>
      </c>
      <c r="G40" s="80"/>
    </row>
    <row r="41" spans="2:10" ht="13.5" thickBot="1">
      <c r="B41" s="106" t="s">
        <v>37</v>
      </c>
      <c r="C41" s="107" t="s">
        <v>38</v>
      </c>
      <c r="D41" s="230">
        <v>1426878.05</v>
      </c>
      <c r="E41" s="155">
        <f>E26+E27+E40</f>
        <v>810778.04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7552.9023999999999</v>
      </c>
      <c r="E47" s="156">
        <v>3346.9182999999998</v>
      </c>
      <c r="G47" s="76"/>
    </row>
    <row r="48" spans="2:10">
      <c r="B48" s="204" t="s">
        <v>6</v>
      </c>
      <c r="C48" s="205" t="s">
        <v>41</v>
      </c>
      <c r="D48" s="232">
        <v>6934.6716999999999</v>
      </c>
      <c r="E48" s="156">
        <v>3782.6725700000002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207.03</v>
      </c>
      <c r="E50" s="156">
        <v>185.51</v>
      </c>
      <c r="G50" s="190"/>
    </row>
    <row r="51" spans="2:7">
      <c r="B51" s="202" t="s">
        <v>6</v>
      </c>
      <c r="C51" s="203" t="s">
        <v>114</v>
      </c>
      <c r="D51" s="234">
        <v>196.97</v>
      </c>
      <c r="E51" s="81">
        <v>184.16</v>
      </c>
      <c r="G51" s="190"/>
    </row>
    <row r="52" spans="2:7">
      <c r="B52" s="202" t="s">
        <v>8</v>
      </c>
      <c r="C52" s="203" t="s">
        <v>115</v>
      </c>
      <c r="D52" s="234">
        <v>218.44</v>
      </c>
      <c r="E52" s="81">
        <v>215.45000000000002</v>
      </c>
    </row>
    <row r="53" spans="2:7" ht="12.75" customHeight="1" thickBot="1">
      <c r="B53" s="206" t="s">
        <v>9</v>
      </c>
      <c r="C53" s="207" t="s">
        <v>41</v>
      </c>
      <c r="D53" s="235">
        <v>205.76</v>
      </c>
      <c r="E53" s="272">
        <v>214.34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6.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810778.04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810778.04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810778.04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810778.04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8"/>
  <dimension ref="A1:L81"/>
  <sheetViews>
    <sheetView zoomScale="80" zoomScaleNormal="80" workbookViewId="0">
      <selection activeCell="G18" sqref="G18:K40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45"/>
      <c r="C4" s="145"/>
      <c r="D4" s="145"/>
      <c r="E4" s="145"/>
    </row>
    <row r="5" spans="2:12" ht="21" customHeight="1">
      <c r="B5" s="496" t="s">
        <v>1</v>
      </c>
      <c r="C5" s="496"/>
      <c r="D5" s="496"/>
      <c r="E5" s="496"/>
    </row>
    <row r="6" spans="2:12" ht="14.25">
      <c r="B6" s="497" t="s">
        <v>202</v>
      </c>
      <c r="C6" s="497"/>
      <c r="D6" s="497"/>
      <c r="E6" s="497"/>
    </row>
    <row r="7" spans="2:12" ht="14.25">
      <c r="B7" s="143"/>
      <c r="C7" s="143"/>
      <c r="D7" s="143"/>
      <c r="E7" s="143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44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>
        <v>57250.65</v>
      </c>
      <c r="E11" s="284">
        <f>SUM(E12:E14)</f>
        <v>52253.93</v>
      </c>
    </row>
    <row r="12" spans="2:12">
      <c r="B12" s="191" t="s">
        <v>4</v>
      </c>
      <c r="C12" s="192" t="s">
        <v>5</v>
      </c>
      <c r="D12" s="329">
        <v>57250.65</v>
      </c>
      <c r="E12" s="353">
        <v>52253.93</v>
      </c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>
        <v>57250.65</v>
      </c>
      <c r="E21" s="155">
        <f>E11-E17</f>
        <v>52253.93</v>
      </c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85953.39</v>
      </c>
      <c r="E26" s="270">
        <f>D21</f>
        <v>57250.65</v>
      </c>
      <c r="G26" s="80"/>
    </row>
    <row r="27" spans="2:11">
      <c r="B27" s="9" t="s">
        <v>17</v>
      </c>
      <c r="C27" s="10" t="s">
        <v>111</v>
      </c>
      <c r="D27" s="226">
        <v>-24611.360000000001</v>
      </c>
      <c r="E27" s="263">
        <f>E28-E32</f>
        <v>-6502.3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0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/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24611.360000000001</v>
      </c>
      <c r="E32" s="264">
        <f>SUM(E33:E39)</f>
        <v>6502.3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>
        <v>23841.08</v>
      </c>
      <c r="E33" s="265">
        <v>5948.42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>
        <v>221.68</v>
      </c>
      <c r="E35" s="265">
        <v>171.08</v>
      </c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>
        <v>548.6</v>
      </c>
      <c r="E37" s="265">
        <v>382.8</v>
      </c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-758.21</v>
      </c>
      <c r="E40" s="271">
        <v>1505.58</v>
      </c>
      <c r="G40" s="80"/>
    </row>
    <row r="41" spans="2:10" ht="13.5" thickBot="1">
      <c r="B41" s="106" t="s">
        <v>37</v>
      </c>
      <c r="C41" s="107" t="s">
        <v>38</v>
      </c>
      <c r="D41" s="230">
        <v>60583.82</v>
      </c>
      <c r="E41" s="155">
        <f>E26+E27+E40</f>
        <v>52253.93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>
        <v>711.24027999999998</v>
      </c>
      <c r="E47" s="156">
        <v>487.94549999999998</v>
      </c>
      <c r="G47" s="76"/>
    </row>
    <row r="48" spans="2:10">
      <c r="B48" s="204" t="s">
        <v>6</v>
      </c>
      <c r="C48" s="205" t="s">
        <v>41</v>
      </c>
      <c r="D48" s="232">
        <v>505.75027</v>
      </c>
      <c r="E48" s="156">
        <v>433.82256000000001</v>
      </c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>
        <v>120.85</v>
      </c>
      <c r="E50" s="156">
        <v>117.33</v>
      </c>
      <c r="G50" s="190"/>
    </row>
    <row r="51" spans="2:7">
      <c r="B51" s="202" t="s">
        <v>6</v>
      </c>
      <c r="C51" s="203" t="s">
        <v>114</v>
      </c>
      <c r="D51" s="234">
        <v>118.05</v>
      </c>
      <c r="E51" s="156">
        <v>117.02</v>
      </c>
      <c r="G51" s="190"/>
    </row>
    <row r="52" spans="2:7">
      <c r="B52" s="202" t="s">
        <v>8</v>
      </c>
      <c r="C52" s="203" t="s">
        <v>115</v>
      </c>
      <c r="D52" s="234">
        <v>122.31</v>
      </c>
      <c r="E52" s="81">
        <v>121.19</v>
      </c>
    </row>
    <row r="53" spans="2:7" ht="13.5" customHeight="1" thickBot="1">
      <c r="B53" s="206" t="s">
        <v>9</v>
      </c>
      <c r="C53" s="207" t="s">
        <v>41</v>
      </c>
      <c r="D53" s="235">
        <v>119.79</v>
      </c>
      <c r="E53" s="272">
        <v>120.45</v>
      </c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8.75" customHeight="1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52253.93</v>
      </c>
      <c r="E58" s="32">
        <f>D58/E21</f>
        <v>1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52253.93</v>
      </c>
      <c r="E64" s="87">
        <f>E58</f>
        <v>1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52253.93</v>
      </c>
      <c r="E74" s="69">
        <f>E58+E72-E73</f>
        <v>1</v>
      </c>
    </row>
    <row r="75" spans="2:5">
      <c r="B75" s="109" t="s">
        <v>4</v>
      </c>
      <c r="C75" s="15" t="s">
        <v>67</v>
      </c>
      <c r="D75" s="84">
        <f>D74</f>
        <v>52253.93</v>
      </c>
      <c r="E75" s="85">
        <f>E74</f>
        <v>1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9"/>
  <dimension ref="A1:L81"/>
  <sheetViews>
    <sheetView zoomScale="80" zoomScaleNormal="80" workbookViewId="0">
      <selection activeCell="G18" sqref="G18:L42"/>
    </sheetView>
  </sheetViews>
  <sheetFormatPr defaultRowHeight="12.75"/>
  <cols>
    <col min="1" max="1" width="9.140625" style="27"/>
    <col min="2" max="2" width="5.28515625" style="27" bestFit="1" customWidth="1"/>
    <col min="3" max="3" width="75.42578125" style="27" customWidth="1"/>
    <col min="4" max="5" width="17.85546875" style="90" customWidth="1"/>
    <col min="6" max="6" width="7.42578125" customWidth="1"/>
    <col min="7" max="7" width="17.28515625" customWidth="1"/>
    <col min="8" max="8" width="21.28515625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495" t="s">
        <v>0</v>
      </c>
      <c r="C2" s="495"/>
      <c r="D2" s="495"/>
      <c r="E2" s="495"/>
      <c r="L2" s="76"/>
    </row>
    <row r="3" spans="2:12" ht="15.75">
      <c r="B3" s="495" t="s">
        <v>144</v>
      </c>
      <c r="C3" s="495"/>
      <c r="D3" s="495"/>
      <c r="E3" s="495"/>
    </row>
    <row r="4" spans="2:12" ht="15">
      <c r="B4" s="154"/>
      <c r="C4" s="154"/>
      <c r="D4" s="154"/>
      <c r="E4" s="154"/>
    </row>
    <row r="5" spans="2:12" ht="14.25">
      <c r="B5" s="496" t="s">
        <v>1</v>
      </c>
      <c r="C5" s="496"/>
      <c r="D5" s="496"/>
      <c r="E5" s="496"/>
    </row>
    <row r="6" spans="2:12" ht="14.25">
      <c r="B6" s="497" t="s">
        <v>203</v>
      </c>
      <c r="C6" s="497"/>
      <c r="D6" s="497"/>
      <c r="E6" s="497"/>
    </row>
    <row r="7" spans="2:12" ht="14.25">
      <c r="B7" s="179"/>
      <c r="C7" s="179"/>
      <c r="D7" s="179"/>
      <c r="E7" s="179"/>
    </row>
    <row r="8" spans="2:12" ht="13.5">
      <c r="B8" s="499" t="s">
        <v>18</v>
      </c>
      <c r="C8" s="501"/>
      <c r="D8" s="501"/>
      <c r="E8" s="501"/>
    </row>
    <row r="9" spans="2:12" ht="16.5" thickBot="1">
      <c r="B9" s="498" t="s">
        <v>103</v>
      </c>
      <c r="C9" s="498"/>
      <c r="D9" s="498"/>
      <c r="E9" s="498"/>
    </row>
    <row r="10" spans="2:12" ht="13.5" thickBot="1">
      <c r="B10" s="180"/>
      <c r="C10" s="82" t="s">
        <v>2</v>
      </c>
      <c r="D10" s="73" t="s">
        <v>127</v>
      </c>
      <c r="E10" s="29" t="s">
        <v>145</v>
      </c>
    </row>
    <row r="11" spans="2:12">
      <c r="B11" s="97" t="s">
        <v>3</v>
      </c>
      <c r="C11" s="135" t="s">
        <v>109</v>
      </c>
      <c r="D11" s="283"/>
      <c r="E11" s="284"/>
    </row>
    <row r="12" spans="2:12">
      <c r="B12" s="191" t="s">
        <v>4</v>
      </c>
      <c r="C12" s="192" t="s">
        <v>5</v>
      </c>
      <c r="D12" s="329"/>
      <c r="E12" s="353"/>
    </row>
    <row r="13" spans="2:12">
      <c r="B13" s="191" t="s">
        <v>6</v>
      </c>
      <c r="C13" s="193" t="s">
        <v>7</v>
      </c>
      <c r="D13" s="322"/>
      <c r="E13" s="354"/>
    </row>
    <row r="14" spans="2:12">
      <c r="B14" s="191" t="s">
        <v>8</v>
      </c>
      <c r="C14" s="193" t="s">
        <v>10</v>
      </c>
      <c r="D14" s="322"/>
      <c r="E14" s="354"/>
      <c r="G14" s="70"/>
    </row>
    <row r="15" spans="2:12">
      <c r="B15" s="191" t="s">
        <v>106</v>
      </c>
      <c r="C15" s="193" t="s">
        <v>11</v>
      </c>
      <c r="D15" s="322"/>
      <c r="E15" s="354"/>
    </row>
    <row r="16" spans="2:12">
      <c r="B16" s="194" t="s">
        <v>107</v>
      </c>
      <c r="C16" s="195" t="s">
        <v>12</v>
      </c>
      <c r="D16" s="324"/>
      <c r="E16" s="355"/>
    </row>
    <row r="17" spans="2:11">
      <c r="B17" s="9" t="s">
        <v>13</v>
      </c>
      <c r="C17" s="11" t="s">
        <v>65</v>
      </c>
      <c r="D17" s="325"/>
      <c r="E17" s="356"/>
    </row>
    <row r="18" spans="2:11">
      <c r="B18" s="191" t="s">
        <v>4</v>
      </c>
      <c r="C18" s="192" t="s">
        <v>11</v>
      </c>
      <c r="D18" s="324"/>
      <c r="E18" s="355"/>
    </row>
    <row r="19" spans="2:11" ht="15" customHeight="1">
      <c r="B19" s="191" t="s">
        <v>6</v>
      </c>
      <c r="C19" s="193" t="s">
        <v>108</v>
      </c>
      <c r="D19" s="322"/>
      <c r="E19" s="354"/>
    </row>
    <row r="20" spans="2:11" ht="13.5" thickBot="1">
      <c r="B20" s="196" t="s">
        <v>8</v>
      </c>
      <c r="C20" s="197" t="s">
        <v>14</v>
      </c>
      <c r="D20" s="285"/>
      <c r="E20" s="286"/>
    </row>
    <row r="21" spans="2:11" ht="13.5" thickBot="1">
      <c r="B21" s="505" t="s">
        <v>110</v>
      </c>
      <c r="C21" s="506"/>
      <c r="D21" s="287"/>
      <c r="E21" s="155"/>
      <c r="F21" s="83"/>
      <c r="G21" s="83"/>
      <c r="H21" s="176"/>
      <c r="J21" s="254"/>
      <c r="K21" s="70"/>
    </row>
    <row r="22" spans="2:11">
      <c r="B22" s="3"/>
      <c r="C22" s="7"/>
      <c r="D22" s="8"/>
      <c r="E22" s="8"/>
      <c r="G22" s="169"/>
    </row>
    <row r="23" spans="2:11" ht="13.5">
      <c r="B23" s="499" t="s">
        <v>104</v>
      </c>
      <c r="C23" s="509"/>
      <c r="D23" s="509"/>
      <c r="E23" s="509"/>
      <c r="G23" s="76"/>
    </row>
    <row r="24" spans="2:11" ht="15.75" customHeight="1" thickBot="1">
      <c r="B24" s="498" t="s">
        <v>105</v>
      </c>
      <c r="C24" s="510"/>
      <c r="D24" s="510"/>
      <c r="E24" s="510"/>
    </row>
    <row r="25" spans="2:11" ht="13.5" thickBot="1">
      <c r="B25" s="244"/>
      <c r="C25" s="198" t="s">
        <v>2</v>
      </c>
      <c r="D25" s="73" t="s">
        <v>125</v>
      </c>
      <c r="E25" s="29" t="s">
        <v>145</v>
      </c>
    </row>
    <row r="26" spans="2:11">
      <c r="B26" s="102" t="s">
        <v>15</v>
      </c>
      <c r="C26" s="103" t="s">
        <v>16</v>
      </c>
      <c r="D26" s="225">
        <v>0</v>
      </c>
      <c r="E26" s="270">
        <f>D21</f>
        <v>0</v>
      </c>
      <c r="G26" s="80"/>
    </row>
    <row r="27" spans="2:11">
      <c r="B27" s="9" t="s">
        <v>17</v>
      </c>
      <c r="C27" s="10" t="s">
        <v>111</v>
      </c>
      <c r="D27" s="226">
        <v>1.1499999999999999</v>
      </c>
      <c r="E27" s="263">
        <f>E28-E32</f>
        <v>-1.69</v>
      </c>
      <c r="F27" s="76"/>
      <c r="G27" s="80"/>
      <c r="H27" s="76"/>
      <c r="I27" s="76"/>
      <c r="J27" s="76"/>
    </row>
    <row r="28" spans="2:11">
      <c r="B28" s="9" t="s">
        <v>18</v>
      </c>
      <c r="C28" s="10" t="s">
        <v>19</v>
      </c>
      <c r="D28" s="226">
        <v>1.1499999999999999</v>
      </c>
      <c r="E28" s="264">
        <f>SUM(E29:E31)</f>
        <v>0</v>
      </c>
      <c r="F28" s="76"/>
      <c r="G28" s="76"/>
      <c r="H28" s="76"/>
      <c r="I28" s="76"/>
      <c r="J28" s="76"/>
    </row>
    <row r="29" spans="2:11">
      <c r="B29" s="199" t="s">
        <v>4</v>
      </c>
      <c r="C29" s="192" t="s">
        <v>20</v>
      </c>
      <c r="D29" s="227"/>
      <c r="E29" s="265"/>
      <c r="F29" s="76"/>
      <c r="G29" s="76"/>
      <c r="H29" s="76"/>
      <c r="I29" s="76"/>
      <c r="J29" s="76"/>
    </row>
    <row r="30" spans="2:11">
      <c r="B30" s="199" t="s">
        <v>6</v>
      </c>
      <c r="C30" s="192" t="s">
        <v>21</v>
      </c>
      <c r="D30" s="227"/>
      <c r="E30" s="265"/>
      <c r="F30" s="76"/>
      <c r="G30" s="76"/>
      <c r="H30" s="76"/>
      <c r="I30" s="76"/>
      <c r="J30" s="76"/>
    </row>
    <row r="31" spans="2:11">
      <c r="B31" s="199" t="s">
        <v>8</v>
      </c>
      <c r="C31" s="192" t="s">
        <v>22</v>
      </c>
      <c r="D31" s="227">
        <v>1.1499999999999999</v>
      </c>
      <c r="E31" s="265"/>
      <c r="F31" s="76"/>
      <c r="G31" s="76"/>
      <c r="H31" s="76"/>
      <c r="I31" s="76"/>
      <c r="J31" s="76"/>
    </row>
    <row r="32" spans="2:11">
      <c r="B32" s="99" t="s">
        <v>23</v>
      </c>
      <c r="C32" s="11" t="s">
        <v>24</v>
      </c>
      <c r="D32" s="226">
        <v>0</v>
      </c>
      <c r="E32" s="264">
        <f>SUM(E33:E39)</f>
        <v>1.69</v>
      </c>
      <c r="F32" s="76"/>
      <c r="G32" s="80"/>
      <c r="H32" s="76"/>
      <c r="I32" s="76"/>
      <c r="J32" s="76"/>
    </row>
    <row r="33" spans="2:10">
      <c r="B33" s="199" t="s">
        <v>4</v>
      </c>
      <c r="C33" s="192" t="s">
        <v>25</v>
      </c>
      <c r="D33" s="227"/>
      <c r="E33" s="265">
        <v>1.69</v>
      </c>
      <c r="F33" s="76"/>
      <c r="G33" s="76"/>
      <c r="H33" s="76"/>
      <c r="I33" s="76"/>
      <c r="J33" s="76"/>
    </row>
    <row r="34" spans="2:10">
      <c r="B34" s="199" t="s">
        <v>6</v>
      </c>
      <c r="C34" s="192" t="s">
        <v>26</v>
      </c>
      <c r="D34" s="227"/>
      <c r="E34" s="265"/>
      <c r="F34" s="76"/>
      <c r="G34" s="76"/>
      <c r="H34" s="76"/>
      <c r="I34" s="76"/>
      <c r="J34" s="76"/>
    </row>
    <row r="35" spans="2:10">
      <c r="B35" s="199" t="s">
        <v>8</v>
      </c>
      <c r="C35" s="192" t="s">
        <v>27</v>
      </c>
      <c r="D35" s="227"/>
      <c r="E35" s="265"/>
      <c r="F35" s="76"/>
      <c r="G35" s="76"/>
      <c r="H35" s="76"/>
      <c r="I35" s="76"/>
      <c r="J35" s="76"/>
    </row>
    <row r="36" spans="2:10">
      <c r="B36" s="199" t="s">
        <v>9</v>
      </c>
      <c r="C36" s="192" t="s">
        <v>28</v>
      </c>
      <c r="D36" s="227"/>
      <c r="E36" s="265"/>
      <c r="F36" s="76"/>
      <c r="G36" s="76"/>
      <c r="H36" s="76"/>
      <c r="I36" s="76"/>
      <c r="J36" s="76"/>
    </row>
    <row r="37" spans="2:10" ht="25.5">
      <c r="B37" s="199" t="s">
        <v>29</v>
      </c>
      <c r="C37" s="192" t="s">
        <v>30</v>
      </c>
      <c r="D37" s="227"/>
      <c r="E37" s="265"/>
      <c r="F37" s="76"/>
      <c r="G37" s="76"/>
      <c r="H37" s="76"/>
      <c r="I37" s="76"/>
      <c r="J37" s="76"/>
    </row>
    <row r="38" spans="2:10">
      <c r="B38" s="199" t="s">
        <v>31</v>
      </c>
      <c r="C38" s="192" t="s">
        <v>32</v>
      </c>
      <c r="D38" s="227"/>
      <c r="E38" s="265"/>
      <c r="F38" s="76"/>
      <c r="G38" s="76"/>
      <c r="H38" s="76"/>
      <c r="I38" s="76"/>
      <c r="J38" s="76"/>
    </row>
    <row r="39" spans="2:10">
      <c r="B39" s="200" t="s">
        <v>33</v>
      </c>
      <c r="C39" s="201" t="s">
        <v>34</v>
      </c>
      <c r="D39" s="228"/>
      <c r="E39" s="266"/>
      <c r="F39" s="76"/>
      <c r="G39" s="76"/>
      <c r="H39" s="76"/>
      <c r="I39" s="76"/>
      <c r="J39" s="76"/>
    </row>
    <row r="40" spans="2:10" ht="13.5" thickBot="1">
      <c r="B40" s="104" t="s">
        <v>35</v>
      </c>
      <c r="C40" s="105" t="s">
        <v>36</v>
      </c>
      <c r="D40" s="229">
        <v>-1.1499999999999999</v>
      </c>
      <c r="E40" s="271">
        <v>1.69</v>
      </c>
      <c r="G40" s="80"/>
    </row>
    <row r="41" spans="2:10" ht="13.5" thickBot="1">
      <c r="B41" s="106" t="s">
        <v>37</v>
      </c>
      <c r="C41" s="107" t="s">
        <v>38</v>
      </c>
      <c r="D41" s="230">
        <v>0</v>
      </c>
      <c r="E41" s="155">
        <f>E26+E27+E40</f>
        <v>0</v>
      </c>
      <c r="F41" s="83"/>
      <c r="G41" s="80"/>
    </row>
    <row r="42" spans="2:10">
      <c r="B42" s="100"/>
      <c r="C42" s="100"/>
      <c r="D42" s="101"/>
      <c r="E42" s="101"/>
      <c r="F42" s="83"/>
      <c r="G42" s="70"/>
    </row>
    <row r="43" spans="2:10" ht="13.5">
      <c r="B43" s="500" t="s">
        <v>60</v>
      </c>
      <c r="C43" s="512"/>
      <c r="D43" s="512"/>
      <c r="E43" s="512"/>
      <c r="G43" s="76"/>
    </row>
    <row r="44" spans="2:10" ht="18" customHeight="1" thickBot="1">
      <c r="B44" s="498" t="s">
        <v>121</v>
      </c>
      <c r="C44" s="511"/>
      <c r="D44" s="511"/>
      <c r="E44" s="511"/>
      <c r="G44" s="76"/>
    </row>
    <row r="45" spans="2:10" ht="13.5" thickBot="1">
      <c r="B45" s="244"/>
      <c r="C45" s="30" t="s">
        <v>39</v>
      </c>
      <c r="D45" s="73" t="s">
        <v>125</v>
      </c>
      <c r="E45" s="29" t="s">
        <v>145</v>
      </c>
      <c r="G45" s="76"/>
    </row>
    <row r="46" spans="2:10">
      <c r="B46" s="13" t="s">
        <v>18</v>
      </c>
      <c r="C46" s="31" t="s">
        <v>112</v>
      </c>
      <c r="D46" s="108"/>
      <c r="E46" s="28"/>
      <c r="G46" s="76"/>
    </row>
    <row r="47" spans="2:10">
      <c r="B47" s="202" t="s">
        <v>4</v>
      </c>
      <c r="C47" s="203" t="s">
        <v>40</v>
      </c>
      <c r="D47" s="231"/>
      <c r="E47" s="156"/>
      <c r="G47" s="76"/>
    </row>
    <row r="48" spans="2:10">
      <c r="B48" s="204" t="s">
        <v>6</v>
      </c>
      <c r="C48" s="205" t="s">
        <v>41</v>
      </c>
      <c r="D48" s="232"/>
      <c r="E48" s="156"/>
      <c r="G48" s="76"/>
    </row>
    <row r="49" spans="2:7">
      <c r="B49" s="127" t="s">
        <v>23</v>
      </c>
      <c r="C49" s="131" t="s">
        <v>113</v>
      </c>
      <c r="D49" s="233"/>
      <c r="E49" s="156"/>
    </row>
    <row r="50" spans="2:7">
      <c r="B50" s="202" t="s">
        <v>4</v>
      </c>
      <c r="C50" s="203" t="s">
        <v>40</v>
      </c>
      <c r="D50" s="231"/>
      <c r="E50" s="156"/>
      <c r="G50" s="190"/>
    </row>
    <row r="51" spans="2:7">
      <c r="B51" s="202" t="s">
        <v>6</v>
      </c>
      <c r="C51" s="203" t="s">
        <v>114</v>
      </c>
      <c r="D51" s="234"/>
      <c r="E51" s="156"/>
      <c r="G51" s="190"/>
    </row>
    <row r="52" spans="2:7">
      <c r="B52" s="202" t="s">
        <v>8</v>
      </c>
      <c r="C52" s="203" t="s">
        <v>115</v>
      </c>
      <c r="D52" s="234"/>
      <c r="E52" s="81"/>
    </row>
    <row r="53" spans="2:7" ht="13.5" thickBot="1">
      <c r="B53" s="206" t="s">
        <v>9</v>
      </c>
      <c r="C53" s="207" t="s">
        <v>41</v>
      </c>
      <c r="D53" s="235"/>
      <c r="E53" s="272"/>
    </row>
    <row r="54" spans="2:7">
      <c r="B54" s="116"/>
      <c r="C54" s="117"/>
      <c r="D54" s="118"/>
      <c r="E54" s="118"/>
    </row>
    <row r="55" spans="2:7" ht="13.5">
      <c r="B55" s="500" t="s">
        <v>62</v>
      </c>
      <c r="C55" s="501"/>
      <c r="D55" s="501"/>
      <c r="E55" s="501"/>
    </row>
    <row r="56" spans="2:7" ht="14.25" thickBot="1">
      <c r="B56" s="498" t="s">
        <v>116</v>
      </c>
      <c r="C56" s="502"/>
      <c r="D56" s="502"/>
      <c r="E56" s="502"/>
    </row>
    <row r="57" spans="2:7" ht="23.25" thickBot="1">
      <c r="B57" s="493" t="s">
        <v>42</v>
      </c>
      <c r="C57" s="494"/>
      <c r="D57" s="18" t="s">
        <v>122</v>
      </c>
      <c r="E57" s="19" t="s">
        <v>117</v>
      </c>
    </row>
    <row r="58" spans="2:7">
      <c r="B58" s="20" t="s">
        <v>18</v>
      </c>
      <c r="C58" s="133" t="s">
        <v>43</v>
      </c>
      <c r="D58" s="134">
        <f>D64</f>
        <v>0</v>
      </c>
      <c r="E58" s="32">
        <v>0</v>
      </c>
    </row>
    <row r="59" spans="2:7" ht="25.5">
      <c r="B59" s="130" t="s">
        <v>4</v>
      </c>
      <c r="C59" s="22" t="s">
        <v>44</v>
      </c>
      <c r="D59" s="86">
        <v>0</v>
      </c>
      <c r="E59" s="87">
        <v>0</v>
      </c>
    </row>
    <row r="60" spans="2:7" ht="25.5">
      <c r="B60" s="109" t="s">
        <v>6</v>
      </c>
      <c r="C60" s="15" t="s">
        <v>45</v>
      </c>
      <c r="D60" s="84">
        <v>0</v>
      </c>
      <c r="E60" s="85">
        <v>0</v>
      </c>
    </row>
    <row r="61" spans="2:7">
      <c r="B61" s="109" t="s">
        <v>8</v>
      </c>
      <c r="C61" s="15" t="s">
        <v>46</v>
      </c>
      <c r="D61" s="84">
        <v>0</v>
      </c>
      <c r="E61" s="85">
        <v>0</v>
      </c>
    </row>
    <row r="62" spans="2:7">
      <c r="B62" s="109" t="s">
        <v>9</v>
      </c>
      <c r="C62" s="15" t="s">
        <v>47</v>
      </c>
      <c r="D62" s="84">
        <v>0</v>
      </c>
      <c r="E62" s="85">
        <v>0</v>
      </c>
    </row>
    <row r="63" spans="2:7">
      <c r="B63" s="109" t="s">
        <v>29</v>
      </c>
      <c r="C63" s="15" t="s">
        <v>48</v>
      </c>
      <c r="D63" s="84">
        <v>0</v>
      </c>
      <c r="E63" s="85">
        <v>0</v>
      </c>
    </row>
    <row r="64" spans="2:7">
      <c r="B64" s="130" t="s">
        <v>31</v>
      </c>
      <c r="C64" s="22" t="s">
        <v>49</v>
      </c>
      <c r="D64" s="86">
        <f>E21</f>
        <v>0</v>
      </c>
      <c r="E64" s="87">
        <f>E58</f>
        <v>0</v>
      </c>
    </row>
    <row r="65" spans="2:5">
      <c r="B65" s="130" t="s">
        <v>33</v>
      </c>
      <c r="C65" s="22" t="s">
        <v>118</v>
      </c>
      <c r="D65" s="86">
        <v>0</v>
      </c>
      <c r="E65" s="87">
        <v>0</v>
      </c>
    </row>
    <row r="66" spans="2:5">
      <c r="B66" s="130" t="s">
        <v>50</v>
      </c>
      <c r="C66" s="22" t="s">
        <v>51</v>
      </c>
      <c r="D66" s="86">
        <v>0</v>
      </c>
      <c r="E66" s="87">
        <v>0</v>
      </c>
    </row>
    <row r="67" spans="2:5">
      <c r="B67" s="109" t="s">
        <v>52</v>
      </c>
      <c r="C67" s="15" t="s">
        <v>53</v>
      </c>
      <c r="D67" s="84">
        <v>0</v>
      </c>
      <c r="E67" s="85">
        <v>0</v>
      </c>
    </row>
    <row r="68" spans="2:5">
      <c r="B68" s="109" t="s">
        <v>54</v>
      </c>
      <c r="C68" s="15" t="s">
        <v>55</v>
      </c>
      <c r="D68" s="84">
        <v>0</v>
      </c>
      <c r="E68" s="85">
        <v>0</v>
      </c>
    </row>
    <row r="69" spans="2:5">
      <c r="B69" s="109" t="s">
        <v>56</v>
      </c>
      <c r="C69" s="15" t="s">
        <v>57</v>
      </c>
      <c r="D69" s="320">
        <v>0</v>
      </c>
      <c r="E69" s="85">
        <v>0</v>
      </c>
    </row>
    <row r="70" spans="2:5">
      <c r="B70" s="136" t="s">
        <v>58</v>
      </c>
      <c r="C70" s="120" t="s">
        <v>59</v>
      </c>
      <c r="D70" s="121">
        <v>0</v>
      </c>
      <c r="E70" s="122">
        <v>0</v>
      </c>
    </row>
    <row r="71" spans="2:5">
      <c r="B71" s="137" t="s">
        <v>23</v>
      </c>
      <c r="C71" s="128" t="s">
        <v>61</v>
      </c>
      <c r="D71" s="129">
        <v>0</v>
      </c>
      <c r="E71" s="69">
        <v>0</v>
      </c>
    </row>
    <row r="72" spans="2:5">
      <c r="B72" s="138" t="s">
        <v>60</v>
      </c>
      <c r="C72" s="124" t="s">
        <v>63</v>
      </c>
      <c r="D72" s="125">
        <f>E14</f>
        <v>0</v>
      </c>
      <c r="E72" s="126">
        <v>0</v>
      </c>
    </row>
    <row r="73" spans="2:5">
      <c r="B73" s="139" t="s">
        <v>62</v>
      </c>
      <c r="C73" s="24" t="s">
        <v>65</v>
      </c>
      <c r="D73" s="25">
        <v>0</v>
      </c>
      <c r="E73" s="26">
        <v>0</v>
      </c>
    </row>
    <row r="74" spans="2:5">
      <c r="B74" s="137" t="s">
        <v>64</v>
      </c>
      <c r="C74" s="128" t="s">
        <v>66</v>
      </c>
      <c r="D74" s="129">
        <f>D58</f>
        <v>0</v>
      </c>
      <c r="E74" s="69">
        <f>E58+E72-E73</f>
        <v>0</v>
      </c>
    </row>
    <row r="75" spans="2:5">
      <c r="B75" s="109" t="s">
        <v>4</v>
      </c>
      <c r="C75" s="15" t="s">
        <v>67</v>
      </c>
      <c r="D75" s="84">
        <f>D74</f>
        <v>0</v>
      </c>
      <c r="E75" s="85">
        <f>E74</f>
        <v>0</v>
      </c>
    </row>
    <row r="76" spans="2:5">
      <c r="B76" s="109" t="s">
        <v>6</v>
      </c>
      <c r="C76" s="15" t="s">
        <v>119</v>
      </c>
      <c r="D76" s="84">
        <v>0</v>
      </c>
      <c r="E76" s="85">
        <v>0</v>
      </c>
    </row>
    <row r="77" spans="2:5" ht="13.5" thickBot="1">
      <c r="B77" s="110" t="s">
        <v>8</v>
      </c>
      <c r="C77" s="17" t="s">
        <v>120</v>
      </c>
      <c r="D77" s="88">
        <v>0</v>
      </c>
      <c r="E77" s="89">
        <v>0</v>
      </c>
    </row>
    <row r="78" spans="2:5">
      <c r="B78" s="1"/>
      <c r="C78" s="1"/>
      <c r="D78" s="2"/>
      <c r="E78" s="2"/>
    </row>
    <row r="79" spans="2:5">
      <c r="B79" s="1"/>
      <c r="C79" s="1"/>
      <c r="D79" s="2"/>
      <c r="E79" s="2"/>
    </row>
    <row r="80" spans="2:5">
      <c r="B80" s="1"/>
      <c r="C80" s="1"/>
      <c r="D80" s="2"/>
      <c r="E80" s="2"/>
    </row>
    <row r="81" spans="2:5">
      <c r="B81" s="1"/>
      <c r="C81" s="1"/>
      <c r="D81" s="2"/>
      <c r="E81" s="2"/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172</vt:i4>
      </vt:variant>
      <vt:variant>
        <vt:lpstr>Zakresy nazwane</vt:lpstr>
      </vt:variant>
      <vt:variant>
        <vt:i4>64</vt:i4>
      </vt:variant>
    </vt:vector>
  </HeadingPairs>
  <TitlesOfParts>
    <vt:vector size="236" baseType="lpstr">
      <vt:lpstr>Fundusz Gwarantowany</vt:lpstr>
      <vt:lpstr>Fundusz Stabilnego Wzrostu</vt:lpstr>
      <vt:lpstr>Fundusz Dynamiczny</vt:lpstr>
      <vt:lpstr>Fundusz Obligacji</vt:lpstr>
      <vt:lpstr>Fundusz Aktywnej Alokacji</vt:lpstr>
      <vt:lpstr>Fundusz Akcji Plus</vt:lpstr>
      <vt:lpstr>Fundusz Akcji Małych i ŚS</vt:lpstr>
      <vt:lpstr>Fundusz Pieniężny</vt:lpstr>
      <vt:lpstr>Fundusz Polskich Obl. Skarb.</vt:lpstr>
      <vt:lpstr>Fundusz Selektywny</vt:lpstr>
      <vt:lpstr>Fundusz Akcji Glob.</vt:lpstr>
      <vt:lpstr>Fundusz Obligacji Glob.</vt:lpstr>
      <vt:lpstr>Fundusz Energetyczny</vt:lpstr>
      <vt:lpstr>Portfel Aktywnej Alokacji</vt:lpstr>
      <vt:lpstr>Portfel Dynamiczny</vt:lpstr>
      <vt:lpstr>Portfel Stabilnego Wzrostu</vt:lpstr>
      <vt:lpstr>Portfel ARR</vt:lpstr>
      <vt:lpstr>Portfel ARW</vt:lpstr>
      <vt:lpstr>Portfel OZ</vt:lpstr>
      <vt:lpstr>Portfel OR</vt:lpstr>
      <vt:lpstr>Portfel SA</vt:lpstr>
      <vt:lpstr>Fundusz Konserwatywny</vt:lpstr>
      <vt:lpstr>Fundusz Zrównoważony</vt:lpstr>
      <vt:lpstr>Fundusz Aktywny</vt:lpstr>
      <vt:lpstr>Fundusz Międzynarodowy</vt:lpstr>
      <vt:lpstr>Fundusz Azjatycki</vt:lpstr>
      <vt:lpstr>Aktywny - Surowce i Nowe Gosp.</vt:lpstr>
      <vt:lpstr>Zabezpieczony - Dalekiego Wsch.</vt:lpstr>
      <vt:lpstr>Zaabezpieczony - Europy Wsch.</vt:lpstr>
      <vt:lpstr>Strategii Multiobligacyjnych</vt:lpstr>
      <vt:lpstr>Zabezpieczony - Rynku Polskiego</vt:lpstr>
      <vt:lpstr>Allianz Akcji</vt:lpstr>
      <vt:lpstr>Allianz Stabilnego Wzrostu</vt:lpstr>
      <vt:lpstr>Allianz Obligacji Plus</vt:lpstr>
      <vt:lpstr>Allianz Aktywnej Alokacji</vt:lpstr>
      <vt:lpstr>Allianz Akcji Małych i ŚS</vt:lpstr>
      <vt:lpstr>Allianz Konserw.</vt:lpstr>
      <vt:lpstr>Allianz Polskich Obl.Skarb.</vt:lpstr>
      <vt:lpstr>Allianz Selektywny</vt:lpstr>
      <vt:lpstr>Allianz Akcji Glob.</vt:lpstr>
      <vt:lpstr>Allianz Surowców i Energii</vt:lpstr>
      <vt:lpstr>Allianz Akcji Rynkow Wsch</vt:lpstr>
      <vt:lpstr>Allianz Dyn.Multistrategia</vt:lpstr>
      <vt:lpstr>Allianz Def.Multistrategia</vt:lpstr>
      <vt:lpstr>Allianz Zbal.Multistrategia</vt:lpstr>
      <vt:lpstr>Allianz GSD</vt:lpstr>
      <vt:lpstr>Allianz Obligacji Glob.</vt:lpstr>
      <vt:lpstr>Altus ASZD</vt:lpstr>
      <vt:lpstr>Altus ASZRP</vt:lpstr>
      <vt:lpstr>Aviva Dł.Pap.Korp.</vt:lpstr>
      <vt:lpstr>Franklin EDF</vt:lpstr>
      <vt:lpstr>Franklin GFS</vt:lpstr>
      <vt:lpstr>Franklin NR</vt:lpstr>
      <vt:lpstr>Franklin USO</vt:lpstr>
      <vt:lpstr>GS EMDP</vt:lpstr>
      <vt:lpstr>GS GSMBP</vt:lpstr>
      <vt:lpstr>Inwestor Akcji</vt:lpstr>
      <vt:lpstr>Investor Akcji Sp.Dyw.</vt:lpstr>
      <vt:lpstr>Investor TOP 25 MS</vt:lpstr>
      <vt:lpstr>Investor Zrównoważony</vt:lpstr>
      <vt:lpstr>Investor Ameryka Łacińska</vt:lpstr>
      <vt:lpstr>Investor BRIC</vt:lpstr>
      <vt:lpstr>Investor Gold</vt:lpstr>
      <vt:lpstr>Investor Doch.</vt:lpstr>
      <vt:lpstr>Investor Indie i Chiny</vt:lpstr>
      <vt:lpstr>Investor Turcja</vt:lpstr>
      <vt:lpstr>Investor OK</vt:lpstr>
      <vt:lpstr>Investor Oszcz.</vt:lpstr>
      <vt:lpstr>Investor ZE</vt:lpstr>
      <vt:lpstr>Investor ASW</vt:lpstr>
      <vt:lpstr>Ipopema A</vt:lpstr>
      <vt:lpstr>JPM EMO</vt:lpstr>
      <vt:lpstr>JPM GH</vt:lpstr>
      <vt:lpstr>JPM GSB</vt:lpstr>
      <vt:lpstr>JPM GMO</vt:lpstr>
      <vt:lpstr>Esaliens Akcji</vt:lpstr>
      <vt:lpstr>Esaliens Obligacji</vt:lpstr>
      <vt:lpstr>Esaliens Oszcz.</vt:lpstr>
      <vt:lpstr>Esaliens Strateg</vt:lpstr>
      <vt:lpstr>Millenium Master I</vt:lpstr>
      <vt:lpstr>Millenium Master II</vt:lpstr>
      <vt:lpstr>Millenium Master III</vt:lpstr>
      <vt:lpstr>Millenium Master IV</vt:lpstr>
      <vt:lpstr>Millenium Master V</vt:lpstr>
      <vt:lpstr>Millenium Master VI</vt:lpstr>
      <vt:lpstr>Millenium Master VII</vt:lpstr>
      <vt:lpstr>NN Akcji</vt:lpstr>
      <vt:lpstr>NN Obligacji</vt:lpstr>
      <vt:lpstr>NN POI</vt:lpstr>
      <vt:lpstr>NN ŚMS</vt:lpstr>
      <vt:lpstr>NN Eur.SD</vt:lpstr>
      <vt:lpstr>NN Glob. Długu Korp.</vt:lpstr>
      <vt:lpstr>NN Glob.SD</vt:lpstr>
      <vt:lpstr>NN J</vt:lpstr>
      <vt:lpstr>NN NA</vt:lpstr>
      <vt:lpstr>NN ORW</vt:lpstr>
      <vt:lpstr>NN Sp.Dyw.USA</vt:lpstr>
      <vt:lpstr>NN SGA</vt:lpstr>
      <vt:lpstr>NN SDRW</vt:lpstr>
      <vt:lpstr>NN D</vt:lpstr>
      <vt:lpstr>Noble AMiŚS</vt:lpstr>
      <vt:lpstr>Noble A</vt:lpstr>
      <vt:lpstr>Noble GR</vt:lpstr>
      <vt:lpstr>Pekao ARW</vt:lpstr>
      <vt:lpstr>Pekao AGD</vt:lpstr>
      <vt:lpstr>Pekao OS</vt:lpstr>
      <vt:lpstr>Pekao SI</vt:lpstr>
      <vt:lpstr>Pekao WDRE</vt:lpstr>
      <vt:lpstr>Pekao Surowców i Energii</vt:lpstr>
      <vt:lpstr>Pekao AP</vt:lpstr>
      <vt:lpstr>Pekao DS</vt:lpstr>
      <vt:lpstr>Pekao OP</vt:lpstr>
      <vt:lpstr>Pekao Kons.</vt:lpstr>
      <vt:lpstr>Pekao Kons.+</vt:lpstr>
      <vt:lpstr>Pekao Stab.Inwest.</vt:lpstr>
      <vt:lpstr>Pekao DA2</vt:lpstr>
      <vt:lpstr>Pekao AS</vt:lpstr>
      <vt:lpstr>Pekao AA</vt:lpstr>
      <vt:lpstr>Pekao AE</vt:lpstr>
      <vt:lpstr>Pekao SG</vt:lpstr>
      <vt:lpstr>Pekao AMIŚSRR</vt:lpstr>
      <vt:lpstr>Pekao OID</vt:lpstr>
      <vt:lpstr>PKO Akcji Nowa Europa</vt:lpstr>
      <vt:lpstr>PKO Obligacji Dług.</vt:lpstr>
      <vt:lpstr>PKO Stabilnego Wzrostu</vt:lpstr>
      <vt:lpstr>PKO Zrównoważony</vt:lpstr>
      <vt:lpstr>PZU ASD</vt:lpstr>
      <vt:lpstr>PZU AK</vt:lpstr>
      <vt:lpstr>PZU AMiŚS</vt:lpstr>
      <vt:lpstr>PZU M</vt:lpstr>
      <vt:lpstr>PZU Zrówn.</vt:lpstr>
      <vt:lpstr>PZU ARR</vt:lpstr>
      <vt:lpstr>PZU PDP</vt:lpstr>
      <vt:lpstr>Quercus A</vt:lpstr>
      <vt:lpstr>Quercus LEV</vt:lpstr>
      <vt:lpstr>Quercus OK</vt:lpstr>
      <vt:lpstr>Quercus R</vt:lpstr>
      <vt:lpstr>Quercus GB</vt:lpstr>
      <vt:lpstr>Quercus Short</vt:lpstr>
      <vt:lpstr>Quercus Stab.</vt:lpstr>
      <vt:lpstr>Schroder ISF ACB</vt:lpstr>
      <vt:lpstr>Schroder ISF AO</vt:lpstr>
      <vt:lpstr>Schroder ISF EMDAR</vt:lpstr>
      <vt:lpstr>Schroder ISF EE</vt:lpstr>
      <vt:lpstr>Schroder ISF FME</vt:lpstr>
      <vt:lpstr>Schroder ISF GDG</vt:lpstr>
      <vt:lpstr>Schroder ISF GHIB</vt:lpstr>
      <vt:lpstr>Skarbiec Kons.</vt:lpstr>
      <vt:lpstr>Skarbiec OWD</vt:lpstr>
      <vt:lpstr>Skarbiec MIŚS</vt:lpstr>
      <vt:lpstr>Skarbiec GMIŚS</vt:lpstr>
      <vt:lpstr>Skarbiec SW</vt:lpstr>
      <vt:lpstr>Skarbiec A</vt:lpstr>
      <vt:lpstr>Skarbiec Brands</vt:lpstr>
      <vt:lpstr>Templeton AG</vt:lpstr>
      <vt:lpstr>Templeton GB</vt:lpstr>
      <vt:lpstr>Templeton GTR</vt:lpstr>
      <vt:lpstr>Templeton LA</vt:lpstr>
      <vt:lpstr>UniAkcje Dyw.</vt:lpstr>
      <vt:lpstr>Uni Akcje MIŚS</vt:lpstr>
      <vt:lpstr>UniAkcje Nowa Europa</vt:lpstr>
      <vt:lpstr>UniAkcje Wzrostu</vt:lpstr>
      <vt:lpstr>UniKorona Akcje</vt:lpstr>
      <vt:lpstr>UniKorona Obligacje</vt:lpstr>
      <vt:lpstr>UniKorona Doch.</vt:lpstr>
      <vt:lpstr>UniKorona Zrównoważony</vt:lpstr>
      <vt:lpstr>UniOszcz.</vt:lpstr>
      <vt:lpstr>UniObligacje Nowa Europa</vt:lpstr>
      <vt:lpstr>UniStabilny Wzrost</vt:lpstr>
      <vt:lpstr>UniObligacje Aktywny</vt:lpstr>
      <vt:lpstr>UniAkcje Daleki Wschod</vt:lpstr>
      <vt:lpstr>dodatkowedane</vt:lpstr>
      <vt:lpstr>'Aktywny - Surowce i Nowe Gosp.'!Obszar_wydruku</vt:lpstr>
      <vt:lpstr>'Allianz Akcji'!Obszar_wydruku</vt:lpstr>
      <vt:lpstr>'Allianz Obligacji Plus'!Obszar_wydruku</vt:lpstr>
      <vt:lpstr>'Aviva Dł.Pap.Korp.'!Obszar_wydruku</vt:lpstr>
      <vt:lpstr>'Franklin EDF'!Obszar_wydruku</vt:lpstr>
      <vt:lpstr>'Franklin NR'!Obszar_wydruku</vt:lpstr>
      <vt:lpstr>'Fundusz Akcji Glob.'!Obszar_wydruku</vt:lpstr>
      <vt:lpstr>'Fundusz Akcji Małych i ŚS'!Obszar_wydruku</vt:lpstr>
      <vt:lpstr>'Fundusz Akcji Plus'!Obszar_wydruku</vt:lpstr>
      <vt:lpstr>'Fundusz Aktywnej Alokacji'!Obszar_wydruku</vt:lpstr>
      <vt:lpstr>'Fundusz Aktywny'!Obszar_wydruku</vt:lpstr>
      <vt:lpstr>'Fundusz Azjatycki'!Obszar_wydruku</vt:lpstr>
      <vt:lpstr>'Fundusz Dynamiczny'!Obszar_wydruku</vt:lpstr>
      <vt:lpstr>'Fundusz Energetyczny'!Obszar_wydruku</vt:lpstr>
      <vt:lpstr>'Fundusz Gwarantowany'!Obszar_wydruku</vt:lpstr>
      <vt:lpstr>'Fundusz Konserwatywny'!Obszar_wydruku</vt:lpstr>
      <vt:lpstr>'Fundusz Międzynarodowy'!Obszar_wydruku</vt:lpstr>
      <vt:lpstr>'Fundusz Obligacji'!Obszar_wydruku</vt:lpstr>
      <vt:lpstr>'Fundusz Obligacji Glob.'!Obszar_wydruku</vt:lpstr>
      <vt:lpstr>'Fundusz Pieniężny'!Obszar_wydruku</vt:lpstr>
      <vt:lpstr>'Fundusz Polskich Obl. Skarb.'!Obszar_wydruku</vt:lpstr>
      <vt:lpstr>'Fundusz Selektywny'!Obszar_wydruku</vt:lpstr>
      <vt:lpstr>'Fundusz Zrównoważony'!Obszar_wydruku</vt:lpstr>
      <vt:lpstr>'Investor Akcji Sp.Dyw.'!Obszar_wydruku</vt:lpstr>
      <vt:lpstr>'Investor Ameryka Łacińska'!Obszar_wydruku</vt:lpstr>
      <vt:lpstr>'Inwestor Akcji'!Obszar_wydruku</vt:lpstr>
      <vt:lpstr>'NN Eur.SD'!Obszar_wydruku</vt:lpstr>
      <vt:lpstr>'NN Glob. Długu Korp.'!Obszar_wydruku</vt:lpstr>
      <vt:lpstr>'NN Glob.SD'!Obszar_wydruku</vt:lpstr>
      <vt:lpstr>'Noble A'!Obszar_wydruku</vt:lpstr>
      <vt:lpstr>'Noble GR'!Obszar_wydruku</vt:lpstr>
      <vt:lpstr>'Pekao AGD'!Obszar_wydruku</vt:lpstr>
      <vt:lpstr>'Pekao DA2'!Obszar_wydruku</vt:lpstr>
      <vt:lpstr>'Pekao DS'!Obszar_wydruku</vt:lpstr>
      <vt:lpstr>'Pekao Kons.'!Obszar_wydruku</vt:lpstr>
      <vt:lpstr>'Pekao Kons.+'!Obszar_wydruku</vt:lpstr>
      <vt:lpstr>'Pekao OP'!Obszar_wydruku</vt:lpstr>
      <vt:lpstr>'Pekao SI'!Obszar_wydruku</vt:lpstr>
      <vt:lpstr>'Pekao Stab.Inwest.'!Obszar_wydruku</vt:lpstr>
      <vt:lpstr>'Portfel Aktywnej Alokacji'!Obszar_wydruku</vt:lpstr>
      <vt:lpstr>'Portfel ARR'!Obszar_wydruku</vt:lpstr>
      <vt:lpstr>'Portfel ARW'!Obszar_wydruku</vt:lpstr>
      <vt:lpstr>'Portfel Dynamiczny'!Obszar_wydruku</vt:lpstr>
      <vt:lpstr>'Portfel OZ'!Obszar_wydruku</vt:lpstr>
      <vt:lpstr>'Portfel Stabilnego Wzrostu'!Obszar_wydruku</vt:lpstr>
      <vt:lpstr>'PZU AMiŚS'!Obszar_wydruku</vt:lpstr>
      <vt:lpstr>'PZU ARR'!Obszar_wydruku</vt:lpstr>
      <vt:lpstr>'PZU M'!Obszar_wydruku</vt:lpstr>
      <vt:lpstr>'PZU Zrówn.'!Obszar_wydruku</vt:lpstr>
      <vt:lpstr>'Quercus A'!Obszar_wydruku</vt:lpstr>
      <vt:lpstr>'Quercus LEV'!Obszar_wydruku</vt:lpstr>
      <vt:lpstr>'Quercus R'!Obszar_wydruku</vt:lpstr>
      <vt:lpstr>'Quercus Stab.'!Obszar_wydruku</vt:lpstr>
      <vt:lpstr>'Schroder ISF FME'!Obszar_wydruku</vt:lpstr>
      <vt:lpstr>'Schroder ISF GDG'!Obszar_wydruku</vt:lpstr>
      <vt:lpstr>'Schroder ISF GHIB'!Obszar_wydruku</vt:lpstr>
      <vt:lpstr>'Skarbiec Kons.'!Obszar_wydruku</vt:lpstr>
      <vt:lpstr>'Skarbiec OWD'!Obszar_wydruku</vt:lpstr>
      <vt:lpstr>'Templeton GTR'!Obszar_wydruku</vt:lpstr>
      <vt:lpstr>'Templeton LA'!Obszar_wydruku</vt:lpstr>
      <vt:lpstr>'UniKorona Obligacje'!Obszar_wydruku</vt:lpstr>
      <vt:lpstr>'UniObligacje Nowa Europa'!Obszar_wydruku</vt:lpstr>
      <vt:lpstr>'Zaabezpieczony - Europy Wsch.'!Obszar_wydruku</vt:lpstr>
      <vt:lpstr>'Zabezpieczony - Dalekiego Wsch.'!Obszar_wydruku</vt:lpstr>
    </vt:vector>
  </TitlesOfParts>
  <Company>Allianz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pprzeborowski</dc:creator>
  <cp:lastModifiedBy>ikrasnodebska</cp:lastModifiedBy>
  <cp:lastPrinted>2015-02-02T16:54:01Z</cp:lastPrinted>
  <dcterms:created xsi:type="dcterms:W3CDTF">2012-07-31T14:09:53Z</dcterms:created>
  <dcterms:modified xsi:type="dcterms:W3CDTF">2019-08-13T10:51:47Z</dcterms:modified>
</cp:coreProperties>
</file>