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16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168.xml" ContentType="application/vnd.openxmlformats-officedocument.spreadsheetml.worksheet+xml"/>
  <Override PartName="/xl/worksheets/sheet169.xml" ContentType="application/vnd.openxmlformats-officedocument.spreadsheetml.worksheet+xml"/>
  <Override PartName="/xl/worksheets/sheet170.xml" ContentType="application/vnd.openxmlformats-officedocument.spreadsheetml.worksheet+xml"/>
  <Override PartName="/xl/worksheets/sheet171.xml" ContentType="application/vnd.openxmlformats-officedocument.spreadsheetml.worksheet+xml"/>
  <Override PartName="/xl/worksheets/sheet172.xml" ContentType="application/vnd.openxmlformats-officedocument.spreadsheetml.worksheet+xml"/>
  <Override PartName="/xl/worksheets/sheet173.xml" ContentType="application/vnd.openxmlformats-officedocument.spreadsheetml.worksheet+xml"/>
  <Override PartName="/xl/worksheets/sheet174.xml" ContentType="application/vnd.openxmlformats-officedocument.spreadsheetml.worksheet+xml"/>
  <Override PartName="/xl/worksheets/sheet17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420" yWindow="-45" windowWidth="20700" windowHeight="11460" tabRatio="848"/>
  </bookViews>
  <sheets>
    <sheet name="Fundusz Gwarantowany" sheetId="1" r:id="rId1"/>
    <sheet name="Fundusz Stabilnego Wzrostu" sheetId="194" r:id="rId2"/>
    <sheet name="Fundusz Dynamiczny" sheetId="4" r:id="rId3"/>
    <sheet name="Fundusz Obligacji Plus" sheetId="5" r:id="rId4"/>
    <sheet name="Fundusz Aktywnej Alokacji" sheetId="10" r:id="rId5"/>
    <sheet name="Fundusz Akcji Plus" sheetId="11" r:id="rId6"/>
    <sheet name="Fundusz Akcji Małych i ŚS" sheetId="16" r:id="rId7"/>
    <sheet name="Fundusz Pieniężny" sheetId="17" r:id="rId8"/>
    <sheet name="Fundusz Polskich Obl. Skarb." sheetId="81" r:id="rId9"/>
    <sheet name="Fundusz Selektywny" sheetId="78" r:id="rId10"/>
    <sheet name="Fundusz Akcji Glob." sheetId="79" r:id="rId11"/>
    <sheet name="Fundusz Obligacji Glob." sheetId="122" r:id="rId12"/>
    <sheet name="Fundusz Energetyczny" sheetId="121" r:id="rId13"/>
    <sheet name="Portfel Aktywnej Alokacji" sheetId="120" r:id="rId14"/>
    <sheet name="Portfel Dynamiczny" sheetId="69" r:id="rId15"/>
    <sheet name="Portfel Stabilnego Wzrostu" sheetId="67" r:id="rId16"/>
    <sheet name="Portfel ARR" sheetId="53" r:id="rId17"/>
    <sheet name="Portfel ARW" sheetId="94" r:id="rId18"/>
    <sheet name="Portfel OZ" sheetId="93" r:id="rId19"/>
    <sheet name="Portfel OR" sheetId="199" r:id="rId20"/>
    <sheet name="Portfel SA" sheetId="217" r:id="rId21"/>
    <sheet name="Fundusz Konserwatywny" sheetId="95" r:id="rId22"/>
    <sheet name="Fundusz Zrównoważony" sheetId="6" r:id="rId23"/>
    <sheet name="Fundusz Aktywny" sheetId="7" r:id="rId24"/>
    <sheet name="Fundusz Międzynarodowy" sheetId="8" r:id="rId25"/>
    <sheet name="Fundusz Azjatycki" sheetId="9" r:id="rId26"/>
    <sheet name="Aktywny - Surowce i Nowe Gosp." sheetId="13" r:id="rId27"/>
    <sheet name="Zabezpieczony - Dalekiego Wsch." sheetId="58" r:id="rId28"/>
    <sheet name="Zaabezpieczony - Europy Wsch." sheetId="61" r:id="rId29"/>
    <sheet name="Strategii Multiobligacyjnych" sheetId="60" r:id="rId30"/>
    <sheet name="Zabezpieczony - Rynku Polskiego" sheetId="84" r:id="rId31"/>
    <sheet name="INDEKS2" sheetId="12" r:id="rId32"/>
    <sheet name="Allianz Akcji" sheetId="14" r:id="rId33"/>
    <sheet name="Allianz Stabilnego Wzrostu" sheetId="28" r:id="rId34"/>
    <sheet name="Allianz Obligacji Plus" sheetId="22" r:id="rId35"/>
    <sheet name="Allianz Aktywnej Alokacji" sheetId="49" r:id="rId36"/>
    <sheet name="Allianz Akcji Małych i ŚS" sheetId="29" r:id="rId37"/>
    <sheet name="Allianz Pieniężny" sheetId="30" r:id="rId38"/>
    <sheet name="Allianz Polskich Obl.Skarb." sheetId="48" r:id="rId39"/>
    <sheet name="Allianz Selektywny" sheetId="83" r:id="rId40"/>
    <sheet name="Allianz Akcji Glob." sheetId="42" r:id="rId41"/>
    <sheet name="Allianz Surowców i Energii" sheetId="188" r:id="rId42"/>
    <sheet name="Allianz Akcji Rynkow Wsch" sheetId="195" r:id="rId43"/>
    <sheet name="Allianz Dyn.Multistrategia" sheetId="196" r:id="rId44"/>
    <sheet name="Allianz Def.Multistrategia" sheetId="209" r:id="rId45"/>
    <sheet name="Allianz Zbal.Multistrategia" sheetId="210" r:id="rId46"/>
    <sheet name="Allianz GSD" sheetId="197" r:id="rId47"/>
    <sheet name="Allianz SAOG" sheetId="198" r:id="rId48"/>
    <sheet name="Altus ASZD" sheetId="156" r:id="rId49"/>
    <sheet name="Altus ASZRP" sheetId="200" r:id="rId50"/>
    <sheet name="Aviva Dł.Pap.Korp." sheetId="112" r:id="rId51"/>
    <sheet name="Aviva MS" sheetId="97" r:id="rId52"/>
    <sheet name="Franklin EDF" sheetId="96" r:id="rId53"/>
    <sheet name="Franklin GFS" sheetId="151" r:id="rId54"/>
    <sheet name="Franklin NR" sheetId="107" r:id="rId55"/>
    <sheet name="Franklin USO" sheetId="152" r:id="rId56"/>
    <sheet name="GS EMDP" sheetId="211" r:id="rId57"/>
    <sheet name="GS GSMBP" sheetId="218" r:id="rId58"/>
    <sheet name="Inwestor Akcji" sheetId="106" r:id="rId59"/>
    <sheet name="Investor Akcji Sp.Dyw." sheetId="123" r:id="rId60"/>
    <sheet name="Investor TOP 25 MS" sheetId="33" r:id="rId61"/>
    <sheet name="Investor Zrównoważony" sheetId="34" r:id="rId62"/>
    <sheet name="Investor Ameryka Łacińska" sheetId="124" r:id="rId63"/>
    <sheet name="Investor BRIC" sheetId="57" r:id="rId64"/>
    <sheet name="Investor Gold" sheetId="55" r:id="rId65"/>
    <sheet name="Investor Got." sheetId="43" r:id="rId66"/>
    <sheet name="Investor Indie i Chiny" sheetId="189" r:id="rId67"/>
    <sheet name="Investor Turcja" sheetId="56" r:id="rId68"/>
    <sheet name="Investor OK" sheetId="212" r:id="rId69"/>
    <sheet name="Investor PL" sheetId="202" r:id="rId70"/>
    <sheet name="Investor ZE" sheetId="201" r:id="rId71"/>
    <sheet name="Investor ASW" sheetId="223" r:id="rId72"/>
    <sheet name="Ipopema A" sheetId="206" r:id="rId73"/>
    <sheet name="JPM EMO" sheetId="24" r:id="rId74"/>
    <sheet name="JPM GH" sheetId="149" r:id="rId75"/>
    <sheet name="JPM GSB" sheetId="148" r:id="rId76"/>
    <sheet name="JPM GMO" sheetId="224" r:id="rId77"/>
    <sheet name="Esaliens Akcji" sheetId="186" r:id="rId78"/>
    <sheet name="Esaliens Obligacji" sheetId="35" r:id="rId79"/>
    <sheet name="Esaliens Pieniężny" sheetId="153" r:id="rId80"/>
    <sheet name="Esaliens Strateg" sheetId="47" r:id="rId81"/>
    <sheet name="Millenium Master I" sheetId="27" r:id="rId82"/>
    <sheet name="Millenium Master II" sheetId="70" r:id="rId83"/>
    <sheet name="Millenium Master III" sheetId="71" r:id="rId84"/>
    <sheet name="Millenium Master IV" sheetId="72" r:id="rId85"/>
    <sheet name="Millenium Master V" sheetId="73" r:id="rId86"/>
    <sheet name="Millenium Master VI" sheetId="74" r:id="rId87"/>
    <sheet name="Millenium Master VII" sheetId="75" r:id="rId88"/>
    <sheet name="NN Akcji" sheetId="77" r:id="rId89"/>
    <sheet name="NN Obligacji" sheetId="36" r:id="rId90"/>
    <sheet name="NN AŚ" sheetId="37" r:id="rId91"/>
    <sheet name="NN ŚMS" sheetId="161" r:id="rId92"/>
    <sheet name="NN Eur.SD" sheetId="115" r:id="rId93"/>
    <sheet name="NN Glob. Długu Korp." sheetId="92" r:id="rId94"/>
    <sheet name="NN Glob.SD" sheetId="90" r:id="rId95"/>
    <sheet name="NN J" sheetId="76" r:id="rId96"/>
    <sheet name="NN NA" sheetId="138" r:id="rId97"/>
    <sheet name="NN ORW" sheetId="136" r:id="rId98"/>
    <sheet name="NN Sp.Dyw.USA" sheetId="137" r:id="rId99"/>
    <sheet name="NN SGA" sheetId="163" r:id="rId100"/>
    <sheet name="NN SDRW" sheetId="213" r:id="rId101"/>
    <sheet name="NN D" sheetId="219" r:id="rId102"/>
    <sheet name="Noble AMiŚS" sheetId="164" r:id="rId103"/>
    <sheet name="Noble A" sheetId="114" r:id="rId104"/>
    <sheet name="Pioneer ARW" sheetId="193" r:id="rId105"/>
    <sheet name="Pioneer AGD" sheetId="88" r:id="rId106"/>
    <sheet name="Pioneer OS" sheetId="167" r:id="rId107"/>
    <sheet name="Pioneer G" sheetId="129" r:id="rId108"/>
    <sheet name="Pioneer WDRE" sheetId="168" r:id="rId109"/>
    <sheet name="Pioneer Surowców i Energii" sheetId="169" r:id="rId110"/>
    <sheet name="Pioneer AP" sheetId="46" r:id="rId111"/>
    <sheet name="Pioneer DS" sheetId="89" r:id="rId112"/>
    <sheet name="Pioneer OP" sheetId="128" r:id="rId113"/>
    <sheet name="Pioneer P" sheetId="85" r:id="rId114"/>
    <sheet name="Pioneer P+" sheetId="103" r:id="rId115"/>
    <sheet name="Pioneer Stab.Inwest." sheetId="102" r:id="rId116"/>
    <sheet name="Pioneer DA2" sheetId="104" r:id="rId117"/>
    <sheet name="Pioneer AS" sheetId="170" r:id="rId118"/>
    <sheet name="Pioneer AA" sheetId="190" r:id="rId119"/>
    <sheet name="Pioneer AE" sheetId="165" r:id="rId120"/>
    <sheet name="Pioneer SG" sheetId="166" r:id="rId121"/>
    <sheet name="Pioneer AMIŚSRR" sheetId="214" r:id="rId122"/>
    <sheet name="Pioneer OID" sheetId="220" r:id="rId123"/>
    <sheet name="PKO Akcji Nowa Europa" sheetId="171" r:id="rId124"/>
    <sheet name="PKO Obligacji Dług." sheetId="38" r:id="rId125"/>
    <sheet name="PKO Stabilnego Wzrostu" sheetId="23" r:id="rId126"/>
    <sheet name="PKO Zrównoważony" sheetId="25" r:id="rId127"/>
    <sheet name="PZU ASD" sheetId="173" r:id="rId128"/>
    <sheet name="PZU AK" sheetId="174" r:id="rId129"/>
    <sheet name="PZU AMiŚS" sheetId="130" r:id="rId130"/>
    <sheet name="PZU EME" sheetId="39" r:id="rId131"/>
    <sheet name="PZU Zrówn." sheetId="100" r:id="rId132"/>
    <sheet name="PZU ARR" sheetId="99" r:id="rId133"/>
    <sheet name="PZU PDP" sheetId="205" r:id="rId134"/>
    <sheet name="PZU S+" sheetId="204" r:id="rId135"/>
    <sheet name="Quercus A" sheetId="101" r:id="rId136"/>
    <sheet name="Quercus LEV" sheetId="118" r:id="rId137"/>
    <sheet name="Quercus OK" sheetId="143" r:id="rId138"/>
    <sheet name="Quercus R" sheetId="119" r:id="rId139"/>
    <sheet name="Quercus SEL" sheetId="144" r:id="rId140"/>
    <sheet name="Quercus Short" sheetId="145" r:id="rId141"/>
    <sheet name="Quercus Stab." sheetId="117" r:id="rId142"/>
    <sheet name="Quercus T" sheetId="116" r:id="rId143"/>
    <sheet name="Schroder ISF ACB" sheetId="142" r:id="rId144"/>
    <sheet name="Schroder ISF AO" sheetId="147" r:id="rId145"/>
    <sheet name="Schroder ISF EMDAR" sheetId="179" r:id="rId146"/>
    <sheet name="Schroder ISF EE" sheetId="146" r:id="rId147"/>
    <sheet name="Schroder ISF FME" sheetId="133" r:id="rId148"/>
    <sheet name="Schroder ISF GDG" sheetId="132" r:id="rId149"/>
    <sheet name="Schroder ISF GHIB" sheetId="135" r:id="rId150"/>
    <sheet name="Skarbiec K" sheetId="134" r:id="rId151"/>
    <sheet name="Skarbiec L" sheetId="113" r:id="rId152"/>
    <sheet name="Skarbiec MIŚS" sheetId="140" r:id="rId153"/>
    <sheet name="Skarbiec SW" sheetId="175" r:id="rId154"/>
    <sheet name="Skarbiec MN" sheetId="141" r:id="rId155"/>
    <sheet name="Skarbiec A" sheetId="215" r:id="rId156"/>
    <sheet name="Skarbiec Brands" sheetId="216" r:id="rId157"/>
    <sheet name="Templeton AG" sheetId="176" r:id="rId158"/>
    <sheet name="Templeton GB" sheetId="159" r:id="rId159"/>
    <sheet name="Templeton GTR" sheetId="109" r:id="rId160"/>
    <sheet name="Templeton LA" sheetId="108" r:id="rId161"/>
    <sheet name="UniAkcje Dyw." sheetId="187" r:id="rId162"/>
    <sheet name="Uni Akcje MIŚS" sheetId="177" r:id="rId163"/>
    <sheet name="UniAkcje Nowa Europa" sheetId="41" r:id="rId164"/>
    <sheet name="UniAkcje Wzrostu" sheetId="40" r:id="rId165"/>
    <sheet name="UniKorona Akcje" sheetId="64" r:id="rId166"/>
    <sheet name="UniKorona Obligacje" sheetId="110" r:id="rId167"/>
    <sheet name="UniKorona Pieniężny" sheetId="20" r:id="rId168"/>
    <sheet name="UniKorona Zrównoważony" sheetId="62" r:id="rId169"/>
    <sheet name="UniLokata" sheetId="26" r:id="rId170"/>
    <sheet name="UniObligacje Nowa Europa" sheetId="105" r:id="rId171"/>
    <sheet name="UniStabilny Wzrost" sheetId="63" r:id="rId172"/>
    <sheet name="UniObligacje Zamienne" sheetId="65" r:id="rId173"/>
    <sheet name="UniObligacje Aktywny" sheetId="191" r:id="rId174"/>
    <sheet name="dodatkowedane" sheetId="80" r:id="rId175"/>
  </sheets>
  <definedNames>
    <definedName name="_xlnm.Print_Area" localSheetId="26">'Aktywny - Surowce i Nowe Gosp.'!$B$2:$E$73</definedName>
    <definedName name="_xlnm.Print_Area" localSheetId="32">'Allianz Akcji'!$B$2:$E$74</definedName>
    <definedName name="_xlnm.Print_Area" localSheetId="34">'Allianz Obligacji Plus'!$B$2:$E$74</definedName>
    <definedName name="_xlnm.Print_Area" localSheetId="50">'Aviva Dł.Pap.Korp.'!$B$2:$E$74</definedName>
    <definedName name="_xlnm.Print_Area" localSheetId="51">'Aviva MS'!$B$2:$E$74</definedName>
    <definedName name="_xlnm.Print_Area" localSheetId="52">'Franklin EDF'!$B$2:$E$74</definedName>
    <definedName name="_xlnm.Print_Area" localSheetId="54">'Franklin NR'!$B$2:$E$74</definedName>
    <definedName name="_xlnm.Print_Area" localSheetId="10">'Fundusz Akcji Glob.'!$B$2:$E$73</definedName>
    <definedName name="_xlnm.Print_Area" localSheetId="6">'Fundusz Akcji Małych i ŚS'!$B$2:$E$73</definedName>
    <definedName name="_xlnm.Print_Area" localSheetId="5">'Fundusz Akcji Plus'!$B$2:$E$73</definedName>
    <definedName name="_xlnm.Print_Area" localSheetId="4">'Fundusz Aktywnej Alokacji'!$B$2:$E$73</definedName>
    <definedName name="_xlnm.Print_Area" localSheetId="23">'Fundusz Aktywny'!$B$2:$E$73</definedName>
    <definedName name="_xlnm.Print_Area" localSheetId="25">'Fundusz Azjatycki'!$B$2:$E$73</definedName>
    <definedName name="_xlnm.Print_Area" localSheetId="2">'Fundusz Dynamiczny'!$B$2:$E$74</definedName>
    <definedName name="_xlnm.Print_Area" localSheetId="12">'Fundusz Energetyczny'!$B$2:$E$73</definedName>
    <definedName name="_xlnm.Print_Area" localSheetId="0">'Fundusz Gwarantowany'!$B$2:$E$77</definedName>
    <definedName name="_xlnm.Print_Area" localSheetId="21">'Fundusz Konserwatywny'!$B$2:$E$74</definedName>
    <definedName name="_xlnm.Print_Area" localSheetId="24">'Fundusz Międzynarodowy'!$B$2:$E$73</definedName>
    <definedName name="_xlnm.Print_Area" localSheetId="11">'Fundusz Obligacji Glob.'!$B$2:$E$73</definedName>
    <definedName name="_xlnm.Print_Area" localSheetId="3">'Fundusz Obligacji Plus'!$B$2:$E$74</definedName>
    <definedName name="_xlnm.Print_Area" localSheetId="7">'Fundusz Pieniężny'!$B$2:$E$73</definedName>
    <definedName name="_xlnm.Print_Area" localSheetId="8">'Fundusz Polskich Obl. Skarb.'!$B$2:$E$73</definedName>
    <definedName name="_xlnm.Print_Area" localSheetId="9">'Fundusz Selektywny'!$B$2:$E$73</definedName>
    <definedName name="_xlnm.Print_Area" localSheetId="22">'Fundusz Zrównoważony'!$B$2:$E$73</definedName>
    <definedName name="_xlnm.Print_Area" localSheetId="31">INDEKS2!$B$2:$E$74</definedName>
    <definedName name="_xlnm.Print_Area" localSheetId="59">'Investor Akcji Sp.Dyw.'!$B$2:$E$74</definedName>
    <definedName name="_xlnm.Print_Area" localSheetId="62">'Investor Ameryka Łacińska'!$B$2:$E$74</definedName>
    <definedName name="_xlnm.Print_Area" localSheetId="58">'Inwestor Akcji'!$B$2:$E$74</definedName>
    <definedName name="_xlnm.Print_Area" localSheetId="92">'NN Eur.SD'!$B$2:$E$74</definedName>
    <definedName name="_xlnm.Print_Area" localSheetId="93">'NN Glob. Długu Korp.'!$B$2:$E$74</definedName>
    <definedName name="_xlnm.Print_Area" localSheetId="94">'NN Glob.SD'!$B$2:$E$74</definedName>
    <definedName name="_xlnm.Print_Area" localSheetId="103">'Noble A'!$B$2:$E$74</definedName>
    <definedName name="_xlnm.Print_Area" localSheetId="105">'Pioneer AGD'!$B$2:$E$74</definedName>
    <definedName name="_xlnm.Print_Area" localSheetId="116">'Pioneer DA2'!$B$2:$E$74</definedName>
    <definedName name="_xlnm.Print_Area" localSheetId="111">'Pioneer DS'!$B$2:$E$74</definedName>
    <definedName name="_xlnm.Print_Area" localSheetId="107">'Pioneer G'!$B$2:$E$74</definedName>
    <definedName name="_xlnm.Print_Area" localSheetId="112">'Pioneer OP'!$B$2:$E$74</definedName>
    <definedName name="_xlnm.Print_Area" localSheetId="113">'Pioneer P'!$B$2:$E$74</definedName>
    <definedName name="_xlnm.Print_Area" localSheetId="114">'Pioneer P+'!$B$2:$E$74</definedName>
    <definedName name="_xlnm.Print_Area" localSheetId="115">'Pioneer Stab.Inwest.'!$B$2:$E$74</definedName>
    <definedName name="_xlnm.Print_Area" localSheetId="13">'Portfel Aktywnej Alokacji'!$B$2:$E$73</definedName>
    <definedName name="_xlnm.Print_Area" localSheetId="16">'Portfel ARR'!$B$2:$E$73</definedName>
    <definedName name="_xlnm.Print_Area" localSheetId="17">'Portfel ARW'!$B$2:$E$74</definedName>
    <definedName name="_xlnm.Print_Area" localSheetId="14">'Portfel Dynamiczny'!$B$2:$E$73</definedName>
    <definedName name="_xlnm.Print_Area" localSheetId="18">'Portfel OZ'!$B$2:$E$74</definedName>
    <definedName name="_xlnm.Print_Area" localSheetId="15">'Portfel Stabilnego Wzrostu'!$B$2:$E$73</definedName>
    <definedName name="_xlnm.Print_Area" localSheetId="129">'PZU AMiŚS'!$B$2:$E$74</definedName>
    <definedName name="_xlnm.Print_Area" localSheetId="132">'PZU ARR'!$B$2:$E$74</definedName>
    <definedName name="_xlnm.Print_Area" localSheetId="130">'PZU EME'!$B$2:$E$74</definedName>
    <definedName name="_xlnm.Print_Area" localSheetId="131">'PZU Zrówn.'!$B$2:$E$74</definedName>
    <definedName name="_xlnm.Print_Area" localSheetId="135">'Quercus A'!$B$2:$E$74</definedName>
    <definedName name="_xlnm.Print_Area" localSheetId="136">'Quercus LEV'!$B$2:$E$74</definedName>
    <definedName name="_xlnm.Print_Area" localSheetId="138">'Quercus R'!$B$2:$E$74</definedName>
    <definedName name="_xlnm.Print_Area" localSheetId="141">'Quercus Stab.'!$B$2:$E$74</definedName>
    <definedName name="_xlnm.Print_Area" localSheetId="142">'Quercus T'!$B$2:$E$74</definedName>
    <definedName name="_xlnm.Print_Area" localSheetId="147">'Schroder ISF FME'!$B$2:$E$74</definedName>
    <definedName name="_xlnm.Print_Area" localSheetId="148">'Schroder ISF GDG'!$B$2:$E$74</definedName>
    <definedName name="_xlnm.Print_Area" localSheetId="149">'Schroder ISF GHIB'!$B$2:$E$74</definedName>
    <definedName name="_xlnm.Print_Area" localSheetId="150">'Skarbiec K'!$B$2:$E$74</definedName>
    <definedName name="_xlnm.Print_Area" localSheetId="151">'Skarbiec L'!$B$2:$E$74</definedName>
    <definedName name="_xlnm.Print_Area" localSheetId="159">'Templeton GTR'!$B$2:$E$74</definedName>
    <definedName name="_xlnm.Print_Area" localSheetId="160">'Templeton LA'!$B$2:$E$74</definedName>
    <definedName name="_xlnm.Print_Area" localSheetId="166">'UniKorona Obligacje'!$B$2:$E$74</definedName>
    <definedName name="_xlnm.Print_Area" localSheetId="170">'UniObligacje Nowa Europa'!$B$2:$E$74</definedName>
    <definedName name="_xlnm.Print_Area" localSheetId="28">'Zaabezpieczony - Europy Wsch.'!$B$2:$E$73</definedName>
    <definedName name="_xlnm.Print_Area" localSheetId="27">'Zabezpieczony - Dalekiego Wsch.'!$B$2:$E$73</definedName>
  </definedNames>
  <calcPr calcId="145621"/>
</workbook>
</file>

<file path=xl/calcChain.xml><?xml version="1.0" encoding="utf-8"?>
<calcChain xmlns="http://schemas.openxmlformats.org/spreadsheetml/2006/main">
  <c r="E27" i="223" l="1"/>
  <c r="G39" i="187" l="1"/>
  <c r="E33" i="213"/>
  <c r="E33" i="74"/>
  <c r="E33" i="73"/>
  <c r="E33" i="72"/>
  <c r="E33" i="71"/>
  <c r="E33" i="70"/>
  <c r="E76" i="93"/>
  <c r="E75" i="93"/>
  <c r="E76" i="94"/>
  <c r="E75" i="94"/>
  <c r="E76" i="53"/>
  <c r="E75" i="53"/>
  <c r="K21" i="12" l="1"/>
  <c r="K21" i="48"/>
  <c r="K21" i="195"/>
  <c r="K21" i="156"/>
  <c r="K21" i="200"/>
  <c r="K21" i="97"/>
  <c r="K21" i="212"/>
  <c r="K21" i="206"/>
  <c r="K21" i="136"/>
  <c r="K21" i="164"/>
  <c r="K21" i="170"/>
  <c r="K21" i="130"/>
  <c r="K21" i="204"/>
  <c r="K21" i="101"/>
  <c r="K21" i="144"/>
  <c r="K21" i="116"/>
  <c r="K21" i="140"/>
  <c r="K21" i="141"/>
  <c r="K21" i="40"/>
  <c r="K21" i="20"/>
  <c r="K21" i="26"/>
  <c r="K21" i="65"/>
  <c r="E18" i="80"/>
  <c r="D18" i="80"/>
  <c r="E33" i="20" l="1"/>
  <c r="E12" i="20"/>
  <c r="E33" i="110"/>
  <c r="E12" i="110"/>
  <c r="E33" i="41"/>
  <c r="E12" i="41"/>
  <c r="E33" i="177"/>
  <c r="E12" i="177"/>
  <c r="E33" i="109"/>
  <c r="E12" i="109"/>
  <c r="E33" i="134"/>
  <c r="E12" i="134"/>
  <c r="E33" i="133"/>
  <c r="E12" i="133"/>
  <c r="E33" i="143"/>
  <c r="E12" i="143"/>
  <c r="E33" i="101"/>
  <c r="E12" i="101"/>
  <c r="G48" i="23"/>
  <c r="E33" i="23"/>
  <c r="E12" i="23"/>
  <c r="E12" i="213"/>
  <c r="E33" i="76"/>
  <c r="E12" i="76"/>
  <c r="E33" i="90"/>
  <c r="E12" i="90"/>
  <c r="E33" i="37"/>
  <c r="E12" i="37"/>
  <c r="E12" i="72"/>
  <c r="E12" i="71"/>
  <c r="E12" i="70"/>
  <c r="E33" i="153"/>
  <c r="E12" i="153"/>
  <c r="E33" i="186"/>
  <c r="E12" i="186"/>
  <c r="E33" i="56"/>
  <c r="E12" i="56"/>
  <c r="E33" i="55"/>
  <c r="E12" i="55"/>
  <c r="E33" i="57"/>
  <c r="E12" i="57"/>
  <c r="E33" i="33"/>
  <c r="E12" i="33"/>
  <c r="E33" i="196"/>
  <c r="E12" i="196"/>
  <c r="E33" i="83"/>
  <c r="E12" i="83"/>
  <c r="E33" i="48"/>
  <c r="E12" i="48"/>
  <c r="D64" i="7" l="1"/>
  <c r="E33" i="7"/>
  <c r="E12" i="7"/>
  <c r="E33" i="6"/>
  <c r="E12" i="6"/>
  <c r="E33" i="95"/>
  <c r="D64" i="93"/>
  <c r="E33" i="93"/>
  <c r="E12" i="93"/>
  <c r="D64" i="53"/>
  <c r="E33" i="53"/>
  <c r="E12" i="53"/>
  <c r="D64" i="67"/>
  <c r="E33" i="67"/>
  <c r="E12" i="67"/>
  <c r="D64" i="69"/>
  <c r="E33" i="69"/>
  <c r="E12" i="69"/>
  <c r="D64" i="120"/>
  <c r="E33" i="120"/>
  <c r="E12" i="120"/>
  <c r="D64" i="122"/>
  <c r="E33" i="122"/>
  <c r="E12" i="122"/>
  <c r="D64" i="78"/>
  <c r="E33" i="78"/>
  <c r="E12" i="78"/>
  <c r="D64" i="81" l="1"/>
  <c r="E33" i="81"/>
  <c r="E12" i="81"/>
  <c r="D64" i="17"/>
  <c r="E33" i="17"/>
  <c r="E12" i="17"/>
  <c r="D64" i="16"/>
  <c r="E33" i="16"/>
  <c r="E12" i="16"/>
  <c r="D64" i="11"/>
  <c r="E33" i="11"/>
  <c r="E12" i="11"/>
  <c r="D64" i="10"/>
  <c r="E33" i="10"/>
  <c r="E12" i="10"/>
  <c r="D64" i="5"/>
  <c r="E33" i="5"/>
  <c r="E12" i="5"/>
  <c r="D64" i="4"/>
  <c r="E33" i="4"/>
  <c r="E12" i="4"/>
  <c r="D64" i="194"/>
  <c r="E33" i="194"/>
  <c r="E12" i="194"/>
  <c r="D59" i="1"/>
  <c r="E33" i="1"/>
  <c r="E12" i="1"/>
  <c r="E32" i="194"/>
  <c r="E32" i="4"/>
  <c r="E32" i="5"/>
  <c r="E27" i="5" s="1"/>
  <c r="E32" i="10"/>
  <c r="E27" i="10" s="1"/>
  <c r="E32" i="11"/>
  <c r="E32" i="16"/>
  <c r="E32" i="17"/>
  <c r="E32" i="81"/>
  <c r="E32" i="78"/>
  <c r="E32" i="79"/>
  <c r="E32" i="122"/>
  <c r="E32" i="121"/>
  <c r="E32" i="120"/>
  <c r="E32" i="69"/>
  <c r="E32" i="67"/>
  <c r="E32" i="53"/>
  <c r="E32" i="94"/>
  <c r="E32" i="93"/>
  <c r="E32" i="199"/>
  <c r="E32" i="217"/>
  <c r="E32" i="95"/>
  <c r="E32" i="6"/>
  <c r="E32" i="7"/>
  <c r="E32" i="8"/>
  <c r="E32" i="9"/>
  <c r="E32" i="13"/>
  <c r="E32" i="58"/>
  <c r="E32" i="61"/>
  <c r="E32" i="60"/>
  <c r="E32" i="84"/>
  <c r="E32" i="12"/>
  <c r="E32" i="14"/>
  <c r="E32" i="28"/>
  <c r="E32" i="22"/>
  <c r="E32" i="49"/>
  <c r="E32" i="29"/>
  <c r="E32" i="30"/>
  <c r="E32" i="48"/>
  <c r="E32" i="83"/>
  <c r="E32" i="42"/>
  <c r="E32" i="188"/>
  <c r="E32" i="195"/>
  <c r="E32" i="196"/>
  <c r="E32" i="209"/>
  <c r="E32" i="210"/>
  <c r="E32" i="197"/>
  <c r="E32" i="198"/>
  <c r="E32" i="156"/>
  <c r="E32" i="200"/>
  <c r="E32" i="112"/>
  <c r="E32" i="97"/>
  <c r="E32" i="96"/>
  <c r="E32" i="151"/>
  <c r="E32" i="107"/>
  <c r="E32" i="152"/>
  <c r="E32" i="211"/>
  <c r="E32" i="218"/>
  <c r="E32" i="106"/>
  <c r="E32" i="123"/>
  <c r="E32" i="33"/>
  <c r="E32" i="34"/>
  <c r="E32" i="124"/>
  <c r="E32" i="57"/>
  <c r="E32" i="55"/>
  <c r="E32" i="43"/>
  <c r="E32" i="189"/>
  <c r="E32" i="56"/>
  <c r="E32" i="212"/>
  <c r="E32" i="202"/>
  <c r="E27" i="202" s="1"/>
  <c r="E32" i="201"/>
  <c r="E32" i="206"/>
  <c r="E32" i="24"/>
  <c r="E32" i="149"/>
  <c r="E32" i="148"/>
  <c r="E32" i="224"/>
  <c r="E32" i="186"/>
  <c r="E32" i="35"/>
  <c r="E32" i="153"/>
  <c r="E32" i="47"/>
  <c r="E32" i="27"/>
  <c r="E32" i="70"/>
  <c r="E32" i="71"/>
  <c r="E32" i="72"/>
  <c r="E32" i="73"/>
  <c r="E32" i="74"/>
  <c r="E32" i="75"/>
  <c r="E32" i="77"/>
  <c r="E32" i="36"/>
  <c r="E32" i="37"/>
  <c r="E32" i="161"/>
  <c r="E32" i="115"/>
  <c r="E32" i="92"/>
  <c r="E32" i="90"/>
  <c r="E32" i="76"/>
  <c r="E32" i="138"/>
  <c r="E32" i="136"/>
  <c r="E32" i="137"/>
  <c r="E32" i="163"/>
  <c r="E32" i="213"/>
  <c r="E32" i="219"/>
  <c r="E32" i="164"/>
  <c r="E32" i="114"/>
  <c r="E32" i="193"/>
  <c r="E32" i="88"/>
  <c r="E32" i="167"/>
  <c r="E32" i="129"/>
  <c r="E32" i="168"/>
  <c r="E32" i="169"/>
  <c r="E32" i="46"/>
  <c r="E32" i="89"/>
  <c r="E32" i="128"/>
  <c r="E32" i="85"/>
  <c r="E32" i="103"/>
  <c r="E32" i="102"/>
  <c r="E32" i="104"/>
  <c r="E32" i="170"/>
  <c r="E32" i="190"/>
  <c r="E32" i="165"/>
  <c r="E27" i="165" s="1"/>
  <c r="E32" i="166"/>
  <c r="E32" i="214"/>
  <c r="E32" i="220"/>
  <c r="E32" i="171"/>
  <c r="E32" i="38"/>
  <c r="E32" i="23"/>
  <c r="E32" i="25"/>
  <c r="E32" i="173"/>
  <c r="E32" i="174"/>
  <c r="E32" i="130"/>
  <c r="E32" i="39"/>
  <c r="E32" i="100"/>
  <c r="E32" i="99"/>
  <c r="E32" i="205"/>
  <c r="E32" i="204"/>
  <c r="E32" i="101"/>
  <c r="E27" i="101" s="1"/>
  <c r="E32" i="118"/>
  <c r="E32" i="143"/>
  <c r="E27" i="143" s="1"/>
  <c r="E32" i="119"/>
  <c r="E32" i="144"/>
  <c r="E32" i="145"/>
  <c r="E32" i="117"/>
  <c r="E32" i="116"/>
  <c r="E32" i="142"/>
  <c r="E32" i="147"/>
  <c r="E32" i="179"/>
  <c r="E32" i="146"/>
  <c r="E32" i="133"/>
  <c r="E32" i="132"/>
  <c r="E32" i="135"/>
  <c r="E32" i="134"/>
  <c r="E32" i="113"/>
  <c r="E27" i="113" s="1"/>
  <c r="E32" i="140"/>
  <c r="E32" i="175"/>
  <c r="E32" i="141"/>
  <c r="E32" i="215"/>
  <c r="E32" i="216"/>
  <c r="E32" i="176"/>
  <c r="E32" i="159"/>
  <c r="E32" i="109"/>
  <c r="E32" i="108"/>
  <c r="E32" i="187"/>
  <c r="E32" i="177"/>
  <c r="E32" i="41"/>
  <c r="E32" i="40"/>
  <c r="E32" i="64"/>
  <c r="E32" i="110"/>
  <c r="E32" i="20"/>
  <c r="E27" i="20" s="1"/>
  <c r="E32" i="62"/>
  <c r="E32" i="26"/>
  <c r="E32" i="105"/>
  <c r="E32" i="63"/>
  <c r="E32" i="65"/>
  <c r="E32" i="191"/>
  <c r="E32" i="1"/>
  <c r="E28" i="194"/>
  <c r="E28" i="4"/>
  <c r="E27" i="4" s="1"/>
  <c r="E28" i="5"/>
  <c r="E28" i="10"/>
  <c r="E28" i="11"/>
  <c r="E28" i="16"/>
  <c r="E28" i="17"/>
  <c r="E28" i="81"/>
  <c r="E28" i="78"/>
  <c r="E28" i="79"/>
  <c r="E27" i="79" s="1"/>
  <c r="E28" i="122"/>
  <c r="E28" i="121"/>
  <c r="E28" i="120"/>
  <c r="E28" i="69"/>
  <c r="E27" i="69" s="1"/>
  <c r="E28" i="67"/>
  <c r="E28" i="53"/>
  <c r="E28" i="94"/>
  <c r="E28" i="93"/>
  <c r="E28" i="199"/>
  <c r="E28" i="217"/>
  <c r="E28" i="95"/>
  <c r="E28" i="6"/>
  <c r="E28" i="7"/>
  <c r="E28" i="8"/>
  <c r="E28" i="9"/>
  <c r="E28" i="13"/>
  <c r="E27" i="13" s="1"/>
  <c r="E28" i="58"/>
  <c r="E28" i="61"/>
  <c r="E28" i="60"/>
  <c r="E28" i="84"/>
  <c r="E27" i="84" s="1"/>
  <c r="E28" i="12"/>
  <c r="E28" i="14"/>
  <c r="E28" i="28"/>
  <c r="E28" i="22"/>
  <c r="E27" i="22" s="1"/>
  <c r="E28" i="49"/>
  <c r="E28" i="29"/>
  <c r="E28" i="30"/>
  <c r="E28" i="48"/>
  <c r="E27" i="48" s="1"/>
  <c r="E28" i="83"/>
  <c r="E28" i="42"/>
  <c r="E28" i="188"/>
  <c r="E28" i="195"/>
  <c r="E27" i="195" s="1"/>
  <c r="E28" i="196"/>
  <c r="E28" i="209"/>
  <c r="E28" i="210"/>
  <c r="E28" i="197"/>
  <c r="E27" i="197" s="1"/>
  <c r="E28" i="198"/>
  <c r="E28" i="156"/>
  <c r="E28" i="200"/>
  <c r="E28" i="112"/>
  <c r="E27" i="112" s="1"/>
  <c r="E28" i="97"/>
  <c r="E28" i="96"/>
  <c r="E28" i="151"/>
  <c r="E28" i="107"/>
  <c r="E27" i="107" s="1"/>
  <c r="E28" i="152"/>
  <c r="E28" i="211"/>
  <c r="E28" i="218"/>
  <c r="E28" i="106"/>
  <c r="E27" i="106" s="1"/>
  <c r="E28" i="123"/>
  <c r="E27" i="123" s="1"/>
  <c r="E28" i="33"/>
  <c r="E28" i="34"/>
  <c r="E28" i="124"/>
  <c r="E27" i="124" s="1"/>
  <c r="E28" i="57"/>
  <c r="E28" i="55"/>
  <c r="E28" i="43"/>
  <c r="E28" i="189"/>
  <c r="E27" i="189" s="1"/>
  <c r="E28" i="56"/>
  <c r="E28" i="212"/>
  <c r="E28" i="202"/>
  <c r="E28" i="201"/>
  <c r="E27" i="201" s="1"/>
  <c r="E28" i="223"/>
  <c r="E28" i="206"/>
  <c r="E28" i="24"/>
  <c r="E28" i="149"/>
  <c r="E27" i="149" s="1"/>
  <c r="E28" i="148"/>
  <c r="E28" i="224"/>
  <c r="E28" i="186"/>
  <c r="E28" i="35"/>
  <c r="E27" i="35" s="1"/>
  <c r="E28" i="153"/>
  <c r="E28" i="47"/>
  <c r="E28" i="27"/>
  <c r="E28" i="70"/>
  <c r="E28" i="71"/>
  <c r="E28" i="72"/>
  <c r="E28" i="73"/>
  <c r="E28" i="74"/>
  <c r="E28" i="75"/>
  <c r="E28" i="77"/>
  <c r="E28" i="36"/>
  <c r="E28" i="37"/>
  <c r="E28" i="161"/>
  <c r="E28" i="115"/>
  <c r="E28" i="92"/>
  <c r="E28" i="90"/>
  <c r="E27" i="90" s="1"/>
  <c r="E28" i="76"/>
  <c r="E28" i="138"/>
  <c r="E28" i="136"/>
  <c r="E28" i="137"/>
  <c r="E27" i="137" s="1"/>
  <c r="E28" i="163"/>
  <c r="E28" i="213"/>
  <c r="E28" i="219"/>
  <c r="E28" i="164"/>
  <c r="E27" i="164" s="1"/>
  <c r="E28" i="114"/>
  <c r="E28" i="193"/>
  <c r="E28" i="88"/>
  <c r="E28" i="167"/>
  <c r="E27" i="167" s="1"/>
  <c r="E28" i="129"/>
  <c r="E28" i="168"/>
  <c r="E28" i="169"/>
  <c r="E28" i="46"/>
  <c r="E27" i="46" s="1"/>
  <c r="E28" i="89"/>
  <c r="E28" i="128"/>
  <c r="E28" i="85"/>
  <c r="E28" i="103"/>
  <c r="E27" i="103" s="1"/>
  <c r="E28" i="102"/>
  <c r="E28" i="104"/>
  <c r="E28" i="170"/>
  <c r="E28" i="190"/>
  <c r="E27" i="190" s="1"/>
  <c r="E28" i="165"/>
  <c r="E28" i="166"/>
  <c r="E28" i="214"/>
  <c r="E28" i="220"/>
  <c r="E27" i="220" s="1"/>
  <c r="E28" i="171"/>
  <c r="E28" i="38"/>
  <c r="E28" i="23"/>
  <c r="E28" i="25"/>
  <c r="E27" i="25" s="1"/>
  <c r="E28" i="173"/>
  <c r="E28" i="174"/>
  <c r="E28" i="130"/>
  <c r="E28" i="39"/>
  <c r="E27" i="39" s="1"/>
  <c r="E28" i="100"/>
  <c r="E28" i="99"/>
  <c r="E28" i="205"/>
  <c r="E28" i="204"/>
  <c r="E27" i="204" s="1"/>
  <c r="E28" i="101"/>
  <c r="E28" i="118"/>
  <c r="E28" i="143"/>
  <c r="E28" i="119"/>
  <c r="E27" i="119" s="1"/>
  <c r="E28" i="144"/>
  <c r="E28" i="145"/>
  <c r="E28" i="117"/>
  <c r="E28" i="116"/>
  <c r="E27" i="116" s="1"/>
  <c r="E28" i="142"/>
  <c r="E28" i="147"/>
  <c r="E28" i="179"/>
  <c r="E28" i="146"/>
  <c r="E27" i="146" s="1"/>
  <c r="E28" i="133"/>
  <c r="E28" i="132"/>
  <c r="E28" i="135"/>
  <c r="E28" i="134"/>
  <c r="E28" i="113"/>
  <c r="E28" i="140"/>
  <c r="E28" i="175"/>
  <c r="E28" i="141"/>
  <c r="E27" i="141" s="1"/>
  <c r="E28" i="215"/>
  <c r="E28" i="216"/>
  <c r="E28" i="176"/>
  <c r="E28" i="159"/>
  <c r="E27" i="159" s="1"/>
  <c r="E28" i="109"/>
  <c r="E28" i="108"/>
  <c r="E28" i="187"/>
  <c r="E28" i="177"/>
  <c r="E27" i="177" s="1"/>
  <c r="E28" i="41"/>
  <c r="E28" i="40"/>
  <c r="E28" i="64"/>
  <c r="E28" i="110"/>
  <c r="E27" i="110" s="1"/>
  <c r="E28" i="20"/>
  <c r="E28" i="62"/>
  <c r="E28" i="26"/>
  <c r="E28" i="105"/>
  <c r="E27" i="105" s="1"/>
  <c r="E28" i="63"/>
  <c r="E28" i="65"/>
  <c r="E28" i="191"/>
  <c r="E28" i="1"/>
  <c r="E27" i="194"/>
  <c r="E27" i="11"/>
  <c r="E27" i="17"/>
  <c r="E27" i="81"/>
  <c r="E27" i="78"/>
  <c r="E27" i="122"/>
  <c r="E27" i="121"/>
  <c r="E27" i="120"/>
  <c r="E27" i="67"/>
  <c r="E27" i="53"/>
  <c r="E27" i="94"/>
  <c r="E27" i="199"/>
  <c r="E27" i="217"/>
  <c r="E27" i="95"/>
  <c r="E27" i="7"/>
  <c r="E27" i="8"/>
  <c r="E27" i="9"/>
  <c r="E27" i="58"/>
  <c r="E27" i="61"/>
  <c r="E27" i="60"/>
  <c r="E27" i="12"/>
  <c r="E27" i="14"/>
  <c r="E27" i="28"/>
  <c r="E27" i="49"/>
  <c r="E27" i="29"/>
  <c r="E27" i="30"/>
  <c r="E27" i="83"/>
  <c r="E27" i="42"/>
  <c r="E27" i="188"/>
  <c r="E27" i="196"/>
  <c r="E27" i="209"/>
  <c r="E27" i="210"/>
  <c r="E27" i="198"/>
  <c r="E27" i="156"/>
  <c r="E27" i="200"/>
  <c r="E27" i="97"/>
  <c r="E27" i="96"/>
  <c r="E27" i="151"/>
  <c r="E27" i="152"/>
  <c r="E27" i="211"/>
  <c r="E27" i="218"/>
  <c r="E27" i="33"/>
  <c r="E27" i="34"/>
  <c r="E27" i="55"/>
  <c r="E27" i="43"/>
  <c r="E27" i="56"/>
  <c r="E27" i="212"/>
  <c r="E27" i="206"/>
  <c r="E27" i="24"/>
  <c r="E27" i="148"/>
  <c r="E27" i="224"/>
  <c r="E27" i="186"/>
  <c r="E27" i="153"/>
  <c r="E27" i="47"/>
  <c r="E27" i="27"/>
  <c r="E27" i="71"/>
  <c r="E27" i="72"/>
  <c r="E27" i="73"/>
  <c r="E27" i="75"/>
  <c r="E27" i="77"/>
  <c r="E27" i="36"/>
  <c r="E27" i="161"/>
  <c r="E27" i="115"/>
  <c r="E27" i="92"/>
  <c r="E27" i="76"/>
  <c r="E27" i="138"/>
  <c r="E27" i="136"/>
  <c r="E27" i="163"/>
  <c r="E27" i="213"/>
  <c r="E27" i="219"/>
  <c r="E27" i="114"/>
  <c r="E27" i="193"/>
  <c r="E27" i="88"/>
  <c r="E27" i="129"/>
  <c r="E27" i="168"/>
  <c r="E27" i="169"/>
  <c r="E27" i="89"/>
  <c r="E27" i="128"/>
  <c r="E27" i="85"/>
  <c r="E27" i="102"/>
  <c r="E27" i="104"/>
  <c r="E27" i="170"/>
  <c r="E27" i="166"/>
  <c r="E27" i="214"/>
  <c r="E27" i="171"/>
  <c r="E27" i="38"/>
  <c r="E27" i="23"/>
  <c r="E27" i="173"/>
  <c r="E27" i="174"/>
  <c r="E27" i="130"/>
  <c r="E27" i="100"/>
  <c r="E27" i="99"/>
  <c r="E27" i="205"/>
  <c r="E27" i="118"/>
  <c r="E27" i="144"/>
  <c r="E27" i="145"/>
  <c r="E27" i="117"/>
  <c r="E27" i="142"/>
  <c r="E27" i="147"/>
  <c r="E27" i="179"/>
  <c r="E27" i="133"/>
  <c r="E27" i="132"/>
  <c r="E27" i="135"/>
  <c r="E27" i="140"/>
  <c r="E27" i="175"/>
  <c r="E27" i="215"/>
  <c r="E27" i="216"/>
  <c r="E27" i="176"/>
  <c r="E27" i="109"/>
  <c r="E27" i="108"/>
  <c r="E27" i="187"/>
  <c r="E27" i="41"/>
  <c r="E27" i="40"/>
  <c r="E27" i="64"/>
  <c r="E27" i="62"/>
  <c r="E27" i="26"/>
  <c r="E27" i="63"/>
  <c r="E27" i="65"/>
  <c r="E27" i="191"/>
  <c r="E27" i="57" l="1"/>
  <c r="E27" i="134"/>
  <c r="E27" i="37"/>
  <c r="E27" i="74"/>
  <c r="E27" i="70"/>
  <c r="E27" i="6"/>
  <c r="E27" i="93"/>
  <c r="E27" i="16"/>
  <c r="E27" i="1"/>
  <c r="E41" i="224" l="1"/>
  <c r="K21" i="224" s="1"/>
  <c r="E41" i="223"/>
  <c r="K21" i="223" s="1"/>
  <c r="D11" i="224" l="1"/>
  <c r="D72" i="224"/>
  <c r="D21" i="224"/>
  <c r="E26" i="224" s="1"/>
  <c r="E11" i="224"/>
  <c r="E21" i="224" s="1"/>
  <c r="D64" i="224" s="1"/>
  <c r="D58" i="224" s="1"/>
  <c r="D11" i="223"/>
  <c r="D21" i="223" s="1"/>
  <c r="E26" i="223" s="1"/>
  <c r="D72" i="223"/>
  <c r="E11" i="223"/>
  <c r="E21" i="223" s="1"/>
  <c r="E73" i="9"/>
  <c r="E64" i="9"/>
  <c r="D74" i="224" l="1"/>
  <c r="D76" i="224" s="1"/>
  <c r="E58" i="224"/>
  <c r="D64" i="223"/>
  <c r="D58" i="223" s="1"/>
  <c r="E64" i="224" l="1"/>
  <c r="E74" i="224"/>
  <c r="E76" i="224" s="1"/>
  <c r="D74" i="223"/>
  <c r="D75" i="223" s="1"/>
  <c r="E58" i="223"/>
  <c r="E74" i="223" l="1"/>
  <c r="E75" i="223" s="1"/>
  <c r="E64" i="223"/>
  <c r="D64" i="8" l="1"/>
  <c r="D64" i="6"/>
  <c r="D71" i="84" l="1"/>
  <c r="E26" i="219" l="1"/>
  <c r="E26" i="220"/>
  <c r="E26" i="96" l="1"/>
  <c r="E26" i="12"/>
  <c r="D72" i="220" l="1"/>
  <c r="E41" i="220"/>
  <c r="K21" i="220" s="1"/>
  <c r="E11" i="220"/>
  <c r="E21" i="220" s="1"/>
  <c r="D72" i="219"/>
  <c r="E41" i="219"/>
  <c r="K21" i="219" s="1"/>
  <c r="E11" i="219"/>
  <c r="E21" i="219" s="1"/>
  <c r="D72" i="218"/>
  <c r="E41" i="218"/>
  <c r="K21" i="218" s="1"/>
  <c r="E11" i="218"/>
  <c r="E21" i="218" s="1"/>
  <c r="D64" i="219" l="1"/>
  <c r="D58" i="219" s="1"/>
  <c r="D64" i="218"/>
  <c r="D58" i="218" s="1"/>
  <c r="D64" i="220"/>
  <c r="D58" i="220" s="1"/>
  <c r="D74" i="219"/>
  <c r="D75" i="219" s="1"/>
  <c r="E58" i="219"/>
  <c r="D74" i="218"/>
  <c r="D76" i="218" s="1"/>
  <c r="E58" i="218"/>
  <c r="D74" i="220" l="1"/>
  <c r="D75" i="220" s="1"/>
  <c r="E58" i="220"/>
  <c r="E74" i="219"/>
  <c r="E75" i="219" s="1"/>
  <c r="E64" i="219"/>
  <c r="E74" i="218"/>
  <c r="E76" i="218" s="1"/>
  <c r="E64" i="218"/>
  <c r="E74" i="220" l="1"/>
  <c r="E75" i="220" s="1"/>
  <c r="E64" i="220"/>
  <c r="E14" i="13" l="1"/>
  <c r="D21" i="216" l="1"/>
  <c r="E26" i="216" s="1"/>
  <c r="E41" i="216" s="1"/>
  <c r="K21" i="216" s="1"/>
  <c r="D21" i="215"/>
  <c r="E26" i="215" s="1"/>
  <c r="E41" i="215" s="1"/>
  <c r="K21" i="215" s="1"/>
  <c r="D21" i="145"/>
  <c r="E26" i="145" s="1"/>
  <c r="E41" i="145" s="1"/>
  <c r="K21" i="145" s="1"/>
  <c r="D21" i="211"/>
  <c r="E26" i="211" s="1"/>
  <c r="E41" i="211" s="1"/>
  <c r="K21" i="211" s="1"/>
  <c r="D21" i="209"/>
  <c r="D21" i="196"/>
  <c r="E26" i="196" s="1"/>
  <c r="E41" i="196" s="1"/>
  <c r="K21" i="196" s="1"/>
  <c r="D21" i="195"/>
  <c r="D21" i="188"/>
  <c r="E26" i="188" s="1"/>
  <c r="E41" i="188" s="1"/>
  <c r="K21" i="188" s="1"/>
  <c r="D71" i="8"/>
  <c r="D17" i="8"/>
  <c r="D14" i="8"/>
  <c r="D11" i="8" s="1"/>
  <c r="D21" i="217"/>
  <c r="E26" i="217" s="1"/>
  <c r="D11" i="217"/>
  <c r="D21" i="199"/>
  <c r="E26" i="199" s="1"/>
  <c r="D17" i="121"/>
  <c r="D15" i="121"/>
  <c r="D12" i="121"/>
  <c r="D14" i="121" l="1"/>
  <c r="D11" i="121" s="1"/>
  <c r="D17" i="194"/>
  <c r="D14" i="194"/>
  <c r="D12" i="194"/>
  <c r="D17" i="1"/>
  <c r="D14" i="1"/>
  <c r="D12" i="1"/>
  <c r="D11" i="1" l="1"/>
  <c r="D11" i="194"/>
  <c r="E23" i="80"/>
  <c r="D23" i="80"/>
  <c r="D21" i="200"/>
  <c r="D21" i="198"/>
  <c r="D21" i="197"/>
  <c r="D21" i="210"/>
  <c r="E26" i="209"/>
  <c r="E41" i="209" s="1"/>
  <c r="K21" i="209" s="1"/>
  <c r="E17" i="1"/>
  <c r="E17" i="194"/>
  <c r="E17" i="4"/>
  <c r="E17" i="5"/>
  <c r="E17" i="10"/>
  <c r="D73" i="10" s="1"/>
  <c r="E17" i="11"/>
  <c r="D73" i="11" s="1"/>
  <c r="E17" i="16"/>
  <c r="E17" i="17"/>
  <c r="E17" i="81"/>
  <c r="E17" i="78"/>
  <c r="E17" i="122"/>
  <c r="E17" i="120"/>
  <c r="E17" i="69"/>
  <c r="E17" i="67"/>
  <c r="E17" i="53"/>
  <c r="E17" i="95"/>
  <c r="E17" i="6"/>
  <c r="E17" i="7"/>
  <c r="E41" i="12"/>
  <c r="D64" i="48"/>
  <c r="D73" i="48"/>
  <c r="D64" i="196"/>
  <c r="D73" i="196"/>
  <c r="D64" i="70"/>
  <c r="D73" i="70"/>
  <c r="D64" i="71"/>
  <c r="D58" i="71" s="1"/>
  <c r="D73" i="71"/>
  <c r="D64" i="72"/>
  <c r="D73" i="72"/>
  <c r="D64" i="73"/>
  <c r="D58" i="73" s="1"/>
  <c r="D73" i="73"/>
  <c r="D64" i="74"/>
  <c r="D73" i="74"/>
  <c r="D64" i="55"/>
  <c r="D58" i="55" s="1"/>
  <c r="D73" i="55"/>
  <c r="D64" i="37"/>
  <c r="D73" i="37"/>
  <c r="D64" i="90"/>
  <c r="D58" i="90" s="1"/>
  <c r="D73" i="90"/>
  <c r="D64" i="153"/>
  <c r="D73" i="153"/>
  <c r="D64" i="23"/>
  <c r="D73" i="23"/>
  <c r="D64" i="143"/>
  <c r="D58" i="143" s="1"/>
  <c r="D73" i="143"/>
  <c r="D64" i="134"/>
  <c r="D73" i="134"/>
  <c r="D64" i="177"/>
  <c r="D73" i="177"/>
  <c r="D64" i="110"/>
  <c r="D73" i="110"/>
  <c r="D64" i="20"/>
  <c r="D73" i="20"/>
  <c r="E11" i="215"/>
  <c r="E21" i="215" s="1"/>
  <c r="E11" i="130"/>
  <c r="E21" i="130" s="1"/>
  <c r="E41" i="96"/>
  <c r="K21" i="96" s="1"/>
  <c r="D21" i="214"/>
  <c r="E26" i="214" s="1"/>
  <c r="E41" i="214" s="1"/>
  <c r="K21" i="214" s="1"/>
  <c r="E41" i="217"/>
  <c r="K21" i="217" s="1"/>
  <c r="E41" i="199"/>
  <c r="K21" i="199" s="1"/>
  <c r="E14" i="8"/>
  <c r="E11" i="8" s="1"/>
  <c r="D73" i="217"/>
  <c r="D72" i="217"/>
  <c r="D71" i="217"/>
  <c r="E11" i="217"/>
  <c r="E21" i="217" s="1"/>
  <c r="E11" i="93"/>
  <c r="E14" i="94"/>
  <c r="E11" i="94" s="1"/>
  <c r="E11" i="53"/>
  <c r="D71" i="4"/>
  <c r="D71" i="5"/>
  <c r="D71" i="10"/>
  <c r="D71" i="11"/>
  <c r="D71" i="16"/>
  <c r="D71" i="17"/>
  <c r="D71" i="81"/>
  <c r="D71" i="78"/>
  <c r="D71" i="79"/>
  <c r="D71" i="122"/>
  <c r="D71" i="121"/>
  <c r="D71" i="120"/>
  <c r="D71" i="69"/>
  <c r="D71" i="67"/>
  <c r="D71" i="53"/>
  <c r="D71" i="94"/>
  <c r="D71" i="93"/>
  <c r="D71" i="199"/>
  <c r="D71" i="194"/>
  <c r="D72" i="216"/>
  <c r="E11" i="216"/>
  <c r="E21" i="216" s="1"/>
  <c r="D72" i="215"/>
  <c r="D72" i="214"/>
  <c r="E11" i="214"/>
  <c r="E21" i="214" s="1"/>
  <c r="D72" i="213"/>
  <c r="D21" i="213"/>
  <c r="E26" i="213" s="1"/>
  <c r="E41" i="213" s="1"/>
  <c r="K21" i="213" s="1"/>
  <c r="E11" i="213"/>
  <c r="E21" i="213" s="1"/>
  <c r="D72" i="212"/>
  <c r="D21" i="212"/>
  <c r="E26" i="212" s="1"/>
  <c r="E41" i="212" s="1"/>
  <c r="E11" i="212"/>
  <c r="E21" i="212" s="1"/>
  <c r="D72" i="211"/>
  <c r="E11" i="211"/>
  <c r="E21" i="211" s="1"/>
  <c r="D72" i="210"/>
  <c r="E26" i="210"/>
  <c r="E41" i="210" s="1"/>
  <c r="K21" i="210" s="1"/>
  <c r="E11" i="210"/>
  <c r="E21" i="210" s="1"/>
  <c r="D72" i="209"/>
  <c r="E11" i="209"/>
  <c r="E21" i="209" s="1"/>
  <c r="E26" i="151"/>
  <c r="E26" i="107"/>
  <c r="E41" i="107" s="1"/>
  <c r="K21" i="107" s="1"/>
  <c r="D21" i="205"/>
  <c r="E26" i="205" s="1"/>
  <c r="E41" i="205" s="1"/>
  <c r="K21" i="205" s="1"/>
  <c r="D72" i="206"/>
  <c r="D21" i="206"/>
  <c r="E26" i="206" s="1"/>
  <c r="E41" i="206" s="1"/>
  <c r="E11" i="206"/>
  <c r="E21" i="206" s="1"/>
  <c r="D72" i="204"/>
  <c r="D21" i="204"/>
  <c r="E26" i="204" s="1"/>
  <c r="E11" i="204"/>
  <c r="E21" i="204" s="1"/>
  <c r="D72" i="205"/>
  <c r="E11" i="205"/>
  <c r="E21" i="205" s="1"/>
  <c r="D72" i="201"/>
  <c r="D21" i="201"/>
  <c r="E26" i="201" s="1"/>
  <c r="E41" i="201" s="1"/>
  <c r="K21" i="201" s="1"/>
  <c r="E11" i="201"/>
  <c r="E21" i="201" s="1"/>
  <c r="D72" i="202"/>
  <c r="D21" i="202"/>
  <c r="E26" i="202" s="1"/>
  <c r="E41" i="202" s="1"/>
  <c r="K21" i="202" s="1"/>
  <c r="E11" i="202"/>
  <c r="E21" i="202" s="1"/>
  <c r="E11" i="107"/>
  <c r="E21" i="107" s="1"/>
  <c r="E11" i="152"/>
  <c r="E21" i="152" s="1"/>
  <c r="E11" i="106"/>
  <c r="E21" i="106" s="1"/>
  <c r="E11" i="123"/>
  <c r="E21" i="123" s="1"/>
  <c r="E11" i="33"/>
  <c r="E21" i="33" s="1"/>
  <c r="E11" i="34"/>
  <c r="E21" i="34" s="1"/>
  <c r="E11" i="124"/>
  <c r="E21" i="124" s="1"/>
  <c r="E11" i="57"/>
  <c r="E21" i="57" s="1"/>
  <c r="E11" i="55"/>
  <c r="E21" i="55" s="1"/>
  <c r="E11" i="43"/>
  <c r="E21" i="43" s="1"/>
  <c r="E11" i="189"/>
  <c r="E21" i="189" s="1"/>
  <c r="E11" i="56"/>
  <c r="E21" i="56" s="1"/>
  <c r="E11" i="24"/>
  <c r="E21" i="24" s="1"/>
  <c r="E11" i="149"/>
  <c r="E21" i="149" s="1"/>
  <c r="E11" i="148"/>
  <c r="E21" i="148" s="1"/>
  <c r="E11" i="186"/>
  <c r="E21" i="186" s="1"/>
  <c r="E11" i="35"/>
  <c r="E21" i="35" s="1"/>
  <c r="E11" i="153"/>
  <c r="E21" i="153" s="1"/>
  <c r="E11" i="47"/>
  <c r="E21" i="47" s="1"/>
  <c r="E11" i="27"/>
  <c r="E21" i="27" s="1"/>
  <c r="E11" i="70"/>
  <c r="E21" i="70" s="1"/>
  <c r="E11" i="71"/>
  <c r="E21" i="71" s="1"/>
  <c r="E11" i="72"/>
  <c r="E21" i="72" s="1"/>
  <c r="E11" i="73"/>
  <c r="E21" i="73" s="1"/>
  <c r="E11" i="74"/>
  <c r="E21" i="74" s="1"/>
  <c r="E11" i="75"/>
  <c r="E21" i="75" s="1"/>
  <c r="E11" i="77"/>
  <c r="E21" i="77" s="1"/>
  <c r="E11" i="36"/>
  <c r="E21" i="36" s="1"/>
  <c r="E11" i="37"/>
  <c r="E21" i="37" s="1"/>
  <c r="E11" i="161"/>
  <c r="E21" i="161" s="1"/>
  <c r="E11" i="115"/>
  <c r="E21" i="115" s="1"/>
  <c r="E11" i="92"/>
  <c r="E21" i="92" s="1"/>
  <c r="E11" i="90"/>
  <c r="E21" i="90" s="1"/>
  <c r="E11" i="76"/>
  <c r="E21" i="76" s="1"/>
  <c r="E11" i="138"/>
  <c r="E21" i="138" s="1"/>
  <c r="E11" i="136"/>
  <c r="E21" i="136" s="1"/>
  <c r="E11" i="137"/>
  <c r="E21" i="137" s="1"/>
  <c r="E11" i="163"/>
  <c r="E21" i="163" s="1"/>
  <c r="E11" i="164"/>
  <c r="E21" i="164" s="1"/>
  <c r="E11" i="114"/>
  <c r="E21" i="114" s="1"/>
  <c r="E11" i="193"/>
  <c r="E21" i="193" s="1"/>
  <c r="E11" i="88"/>
  <c r="E21" i="88" s="1"/>
  <c r="E11" i="167"/>
  <c r="E21" i="167" s="1"/>
  <c r="E11" i="129"/>
  <c r="E21" i="129" s="1"/>
  <c r="E11" i="168"/>
  <c r="E21" i="168" s="1"/>
  <c r="E11" i="169"/>
  <c r="E21" i="169" s="1"/>
  <c r="E11" i="46"/>
  <c r="E21" i="46" s="1"/>
  <c r="E11" i="89"/>
  <c r="E21" i="89" s="1"/>
  <c r="E11" i="128"/>
  <c r="E21" i="128" s="1"/>
  <c r="E11" i="85"/>
  <c r="E21" i="85" s="1"/>
  <c r="E11" i="103"/>
  <c r="E21" i="103" s="1"/>
  <c r="E11" i="102"/>
  <c r="E21" i="102" s="1"/>
  <c r="E11" i="104"/>
  <c r="E21" i="104" s="1"/>
  <c r="E11" i="170"/>
  <c r="E21" i="170" s="1"/>
  <c r="E11" i="190"/>
  <c r="E21" i="190" s="1"/>
  <c r="E11" i="165"/>
  <c r="E21" i="165" s="1"/>
  <c r="E11" i="166"/>
  <c r="E21" i="166" s="1"/>
  <c r="E11" i="171"/>
  <c r="E21" i="171"/>
  <c r="E11" i="38"/>
  <c r="E21" i="38" s="1"/>
  <c r="E11" i="23"/>
  <c r="E11" i="25"/>
  <c r="E21" i="25" s="1"/>
  <c r="E11" i="173"/>
  <c r="E21" i="173" s="1"/>
  <c r="E11" i="174"/>
  <c r="E21" i="174" s="1"/>
  <c r="E11" i="39"/>
  <c r="E21" i="39" s="1"/>
  <c r="E11" i="100"/>
  <c r="E21" i="100" s="1"/>
  <c r="E11" i="99"/>
  <c r="E21" i="99" s="1"/>
  <c r="E11" i="101"/>
  <c r="E21" i="101" s="1"/>
  <c r="E11" i="118"/>
  <c r="E21" i="118" s="1"/>
  <c r="E11" i="143"/>
  <c r="E21" i="143" s="1"/>
  <c r="E11" i="119"/>
  <c r="E21" i="119" s="1"/>
  <c r="E11" i="144"/>
  <c r="E21" i="144" s="1"/>
  <c r="E11" i="145"/>
  <c r="E21" i="145" s="1"/>
  <c r="E11" i="117"/>
  <c r="E21" i="117" s="1"/>
  <c r="E21" i="116"/>
  <c r="D58" i="116"/>
  <c r="D75" i="116"/>
  <c r="E11" i="142"/>
  <c r="E21" i="142" s="1"/>
  <c r="E11" i="147"/>
  <c r="E21" i="147" s="1"/>
  <c r="E11" i="179"/>
  <c r="E21" i="179" s="1"/>
  <c r="E11" i="146"/>
  <c r="E21" i="146" s="1"/>
  <c r="E11" i="133"/>
  <c r="E21" i="133" s="1"/>
  <c r="E11" i="132"/>
  <c r="E21" i="132" s="1"/>
  <c r="E11" i="135"/>
  <c r="E21" i="135" s="1"/>
  <c r="E11" i="134"/>
  <c r="E21" i="134" s="1"/>
  <c r="E11" i="113"/>
  <c r="E21" i="113" s="1"/>
  <c r="E11" i="140"/>
  <c r="E21" i="140" s="1"/>
  <c r="E11" i="175"/>
  <c r="E21" i="175" s="1"/>
  <c r="E11" i="141"/>
  <c r="E21" i="141" s="1"/>
  <c r="E11" i="176"/>
  <c r="E21" i="176" s="1"/>
  <c r="E11" i="159"/>
  <c r="E21" i="159" s="1"/>
  <c r="E11" i="109"/>
  <c r="E21" i="109" s="1"/>
  <c r="E11" i="108"/>
  <c r="E21" i="108" s="1"/>
  <c r="E11" i="187"/>
  <c r="E21" i="187" s="1"/>
  <c r="E11" i="177"/>
  <c r="E21" i="177" s="1"/>
  <c r="E11" i="41"/>
  <c r="E21" i="41" s="1"/>
  <c r="E11" i="40"/>
  <c r="E21" i="40" s="1"/>
  <c r="E11" i="64"/>
  <c r="E21" i="64" s="1"/>
  <c r="E11" i="110"/>
  <c r="E21" i="110" s="1"/>
  <c r="E11" i="20"/>
  <c r="E21" i="20" s="1"/>
  <c r="E11" i="62"/>
  <c r="E21" i="62" s="1"/>
  <c r="E11" i="26"/>
  <c r="E21" i="26" s="1"/>
  <c r="E11" i="105"/>
  <c r="E21" i="105" s="1"/>
  <c r="E11" i="63"/>
  <c r="E21" i="63" s="1"/>
  <c r="E11" i="65"/>
  <c r="E21" i="65" s="1"/>
  <c r="E11" i="191"/>
  <c r="E21" i="191" s="1"/>
  <c r="E11" i="151"/>
  <c r="E21" i="151" s="1"/>
  <c r="E11" i="96"/>
  <c r="E21" i="96" s="1"/>
  <c r="D58" i="20"/>
  <c r="D58" i="110"/>
  <c r="D58" i="177"/>
  <c r="D58" i="134"/>
  <c r="D58" i="23"/>
  <c r="D58" i="37"/>
  <c r="D58" i="74"/>
  <c r="D58" i="72"/>
  <c r="D74" i="72" s="1"/>
  <c r="D58" i="70"/>
  <c r="D74" i="70" s="1"/>
  <c r="D58" i="153"/>
  <c r="D72" i="200"/>
  <c r="E21" i="200"/>
  <c r="E11" i="200"/>
  <c r="E26" i="200"/>
  <c r="E41" i="200" s="1"/>
  <c r="D58" i="84"/>
  <c r="E17" i="84"/>
  <c r="D73" i="84" s="1"/>
  <c r="E14" i="84"/>
  <c r="E11" i="84" s="1"/>
  <c r="D58" i="60"/>
  <c r="E17" i="60"/>
  <c r="D73" i="60" s="1"/>
  <c r="E14" i="60"/>
  <c r="E11" i="60" s="1"/>
  <c r="D58" i="61"/>
  <c r="E14" i="61"/>
  <c r="E11" i="61" s="1"/>
  <c r="E17" i="61"/>
  <c r="D73" i="61" s="1"/>
  <c r="D58" i="58"/>
  <c r="E14" i="58"/>
  <c r="E11" i="58" s="1"/>
  <c r="E17" i="58"/>
  <c r="D73" i="58" s="1"/>
  <c r="D58" i="13"/>
  <c r="E11" i="13"/>
  <c r="E17" i="13"/>
  <c r="D73" i="13" s="1"/>
  <c r="D64" i="9"/>
  <c r="D58" i="9" s="1"/>
  <c r="E17" i="9"/>
  <c r="D73" i="9" s="1"/>
  <c r="E11" i="9"/>
  <c r="D58" i="8"/>
  <c r="E17" i="8"/>
  <c r="D73" i="8" s="1"/>
  <c r="D73" i="7"/>
  <c r="E11" i="7"/>
  <c r="E21" i="7" s="1"/>
  <c r="D58" i="6"/>
  <c r="E11" i="6"/>
  <c r="D73" i="6"/>
  <c r="D71" i="95"/>
  <c r="D64" i="95"/>
  <c r="D58" i="95" s="1"/>
  <c r="E11" i="95"/>
  <c r="E21" i="95" s="1"/>
  <c r="D72" i="199"/>
  <c r="D58" i="199"/>
  <c r="D73" i="199"/>
  <c r="E11" i="199"/>
  <c r="E21" i="199" s="1"/>
  <c r="D72" i="198"/>
  <c r="E26" i="198"/>
  <c r="E41" i="198" s="1"/>
  <c r="K21" i="198" s="1"/>
  <c r="E11" i="198"/>
  <c r="E21" i="198" s="1"/>
  <c r="D72" i="197"/>
  <c r="E26" i="197"/>
  <c r="E41" i="197" s="1"/>
  <c r="K21" i="197" s="1"/>
  <c r="E11" i="197"/>
  <c r="E21" i="197" s="1"/>
  <c r="D72" i="196"/>
  <c r="E11" i="196"/>
  <c r="E21" i="196" s="1"/>
  <c r="D72" i="195"/>
  <c r="E26" i="195"/>
  <c r="E41" i="195" s="1"/>
  <c r="E11" i="195"/>
  <c r="E21" i="195" s="1"/>
  <c r="E21" i="6"/>
  <c r="E58" i="110"/>
  <c r="E64" i="110" s="1"/>
  <c r="E58" i="37"/>
  <c r="E64" i="37" s="1"/>
  <c r="D64" i="198"/>
  <c r="D58" i="198" s="1"/>
  <c r="D58" i="196"/>
  <c r="D74" i="196" s="1"/>
  <c r="D73" i="95"/>
  <c r="D74" i="6"/>
  <c r="E11" i="188"/>
  <c r="E21" i="188" s="1"/>
  <c r="E11" i="12"/>
  <c r="E21" i="12" s="1"/>
  <c r="D64" i="12" s="1"/>
  <c r="E11" i="42"/>
  <c r="E21" i="42" s="1"/>
  <c r="D58" i="93"/>
  <c r="E17" i="93"/>
  <c r="E21" i="93" s="1"/>
  <c r="D58" i="94"/>
  <c r="E17" i="94"/>
  <c r="D73" i="94" s="1"/>
  <c r="D58" i="53"/>
  <c r="D73" i="53"/>
  <c r="D58" i="67"/>
  <c r="D73" i="67"/>
  <c r="E14" i="67"/>
  <c r="E11" i="67" s="1"/>
  <c r="E21" i="67" s="1"/>
  <c r="D58" i="69"/>
  <c r="D73" i="69"/>
  <c r="E14" i="69"/>
  <c r="E11" i="69" s="1"/>
  <c r="E21" i="69" s="1"/>
  <c r="D58" i="120"/>
  <c r="D73" i="120"/>
  <c r="E14" i="120"/>
  <c r="E11" i="120" s="1"/>
  <c r="E21" i="120" s="1"/>
  <c r="D58" i="10"/>
  <c r="D58" i="11"/>
  <c r="D58" i="16"/>
  <c r="D58" i="17"/>
  <c r="D58" i="81"/>
  <c r="D58" i="78"/>
  <c r="D58" i="79"/>
  <c r="D58" i="122"/>
  <c r="D58" i="121"/>
  <c r="D58" i="5"/>
  <c r="D73" i="16"/>
  <c r="D73" i="17"/>
  <c r="D73" i="81"/>
  <c r="D73" i="78"/>
  <c r="E17" i="79"/>
  <c r="D73" i="79" s="1"/>
  <c r="D73" i="122"/>
  <c r="E17" i="121"/>
  <c r="D73" i="121" s="1"/>
  <c r="D73" i="5"/>
  <c r="E14" i="10"/>
  <c r="D72" i="10" s="1"/>
  <c r="E14" i="11"/>
  <c r="D72" i="11" s="1"/>
  <c r="E14" i="16"/>
  <c r="D72" i="16" s="1"/>
  <c r="E14" i="17"/>
  <c r="E11" i="17" s="1"/>
  <c r="E21" i="17" s="1"/>
  <c r="E14" i="81"/>
  <c r="E11" i="81" s="1"/>
  <c r="E21" i="81" s="1"/>
  <c r="E14" i="78"/>
  <c r="D72" i="78" s="1"/>
  <c r="E14" i="79"/>
  <c r="D72" i="79" s="1"/>
  <c r="E14" i="122"/>
  <c r="D72" i="122" s="1"/>
  <c r="E14" i="121"/>
  <c r="D72" i="121" s="1"/>
  <c r="E14" i="5"/>
  <c r="D72" i="5" s="1"/>
  <c r="D58" i="4"/>
  <c r="D73" i="4"/>
  <c r="E14" i="4"/>
  <c r="E11" i="4" s="1"/>
  <c r="E21" i="4" s="1"/>
  <c r="D58" i="194"/>
  <c r="E14" i="194"/>
  <c r="E11" i="194" s="1"/>
  <c r="E21" i="194" s="1"/>
  <c r="E21" i="53"/>
  <c r="E11" i="78"/>
  <c r="D73" i="194"/>
  <c r="E11" i="5"/>
  <c r="E21" i="5" s="1"/>
  <c r="D58" i="1"/>
  <c r="E14" i="1"/>
  <c r="E11" i="97"/>
  <c r="E21" i="97" s="1"/>
  <c r="E21" i="112"/>
  <c r="E11" i="112"/>
  <c r="E21" i="156"/>
  <c r="E11" i="156"/>
  <c r="E21" i="83"/>
  <c r="E11" i="83"/>
  <c r="E21" i="30"/>
  <c r="E11" i="30"/>
  <c r="E11" i="48"/>
  <c r="E11" i="29"/>
  <c r="E21" i="29" s="1"/>
  <c r="E11" i="49"/>
  <c r="E21" i="49" s="1"/>
  <c r="E11" i="22"/>
  <c r="E21" i="22" s="1"/>
  <c r="E11" i="28"/>
  <c r="E21" i="28" s="1"/>
  <c r="D64" i="156"/>
  <c r="D58" i="156" s="1"/>
  <c r="D58" i="48"/>
  <c r="D64" i="30"/>
  <c r="D58" i="30" s="1"/>
  <c r="E11" i="14"/>
  <c r="E21" i="14" s="1"/>
  <c r="D72" i="191"/>
  <c r="D21" i="191"/>
  <c r="E26" i="191" s="1"/>
  <c r="E41" i="191" s="1"/>
  <c r="K21" i="191" s="1"/>
  <c r="D72" i="65"/>
  <c r="D21" i="65"/>
  <c r="E26" i="65" s="1"/>
  <c r="D72" i="63"/>
  <c r="D21" i="63"/>
  <c r="E26" i="63" s="1"/>
  <c r="E41" i="63" s="1"/>
  <c r="K21" i="63" s="1"/>
  <c r="D72" i="105"/>
  <c r="D21" i="105"/>
  <c r="D72" i="26"/>
  <c r="D21" i="26"/>
  <c r="E26" i="26" s="1"/>
  <c r="E41" i="26" s="1"/>
  <c r="D72" i="62"/>
  <c r="D21" i="62"/>
  <c r="E26" i="62" s="1"/>
  <c r="E41" i="62" s="1"/>
  <c r="K21" i="62" s="1"/>
  <c r="D72" i="20"/>
  <c r="D21" i="20"/>
  <c r="E26" i="20" s="1"/>
  <c r="E41" i="20" s="1"/>
  <c r="D72" i="110"/>
  <c r="D21" i="110"/>
  <c r="E26" i="110" s="1"/>
  <c r="E41" i="110" s="1"/>
  <c r="K21" i="110" s="1"/>
  <c r="D72" i="64"/>
  <c r="D21" i="64"/>
  <c r="E26" i="64" s="1"/>
  <c r="E41" i="64" s="1"/>
  <c r="K21" i="64" s="1"/>
  <c r="D72" i="40"/>
  <c r="D21" i="40"/>
  <c r="E26" i="40" s="1"/>
  <c r="E41" i="40" s="1"/>
  <c r="D72" i="41"/>
  <c r="D21" i="41"/>
  <c r="E26" i="41" s="1"/>
  <c r="E41" i="41" s="1"/>
  <c r="K21" i="41" s="1"/>
  <c r="D72" i="177"/>
  <c r="D21" i="177"/>
  <c r="E26" i="177" s="1"/>
  <c r="D72" i="187"/>
  <c r="D21" i="187"/>
  <c r="E26" i="187" s="1"/>
  <c r="E41" i="187" s="1"/>
  <c r="K21" i="187" s="1"/>
  <c r="D72" i="108"/>
  <c r="D21" i="108"/>
  <c r="E26" i="108" s="1"/>
  <c r="E41" i="108" s="1"/>
  <c r="K21" i="108" s="1"/>
  <c r="D72" i="109"/>
  <c r="D21" i="109"/>
  <c r="D72" i="159"/>
  <c r="D21" i="159"/>
  <c r="E26" i="159" s="1"/>
  <c r="E41" i="159" s="1"/>
  <c r="K21" i="159" s="1"/>
  <c r="D72" i="176"/>
  <c r="D21" i="176"/>
  <c r="D72" i="141"/>
  <c r="D21" i="141"/>
  <c r="E26" i="141" s="1"/>
  <c r="D72" i="175"/>
  <c r="D21" i="175"/>
  <c r="E26" i="175" s="1"/>
  <c r="E41" i="175" s="1"/>
  <c r="K21" i="175" s="1"/>
  <c r="D72" i="140"/>
  <c r="D21" i="140"/>
  <c r="E26" i="140" s="1"/>
  <c r="E41" i="140" s="1"/>
  <c r="D72" i="113"/>
  <c r="D21" i="113"/>
  <c r="E26" i="113" s="1"/>
  <c r="E41" i="113" s="1"/>
  <c r="K21" i="113" s="1"/>
  <c r="D72" i="134"/>
  <c r="D21" i="134"/>
  <c r="E26" i="134" s="1"/>
  <c r="E41" i="134" s="1"/>
  <c r="K21" i="134" s="1"/>
  <c r="D72" i="135"/>
  <c r="D21" i="135"/>
  <c r="E26" i="135" s="1"/>
  <c r="E41" i="135" s="1"/>
  <c r="K21" i="135" s="1"/>
  <c r="D72" i="132"/>
  <c r="D21" i="132"/>
  <c r="E26" i="132" s="1"/>
  <c r="D72" i="133"/>
  <c r="D21" i="133"/>
  <c r="E26" i="133" s="1"/>
  <c r="E41" i="133" s="1"/>
  <c r="K21" i="133" s="1"/>
  <c r="D72" i="146"/>
  <c r="D21" i="146"/>
  <c r="E26" i="146" s="1"/>
  <c r="E41" i="146" s="1"/>
  <c r="K21" i="146" s="1"/>
  <c r="D72" i="179"/>
  <c r="D21" i="179"/>
  <c r="E26" i="179" s="1"/>
  <c r="D72" i="147"/>
  <c r="D21" i="147"/>
  <c r="D72" i="142"/>
  <c r="D21" i="142"/>
  <c r="E26" i="142" s="1"/>
  <c r="E41" i="142" s="1"/>
  <c r="K21" i="142" s="1"/>
  <c r="E74" i="116"/>
  <c r="E75" i="116"/>
  <c r="D72" i="116"/>
  <c r="D21" i="116"/>
  <c r="E26" i="116" s="1"/>
  <c r="D72" i="117"/>
  <c r="D21" i="117"/>
  <c r="E26" i="117" s="1"/>
  <c r="D72" i="145"/>
  <c r="D72" i="144"/>
  <c r="D21" i="144"/>
  <c r="E26" i="144" s="1"/>
  <c r="E41" i="144" s="1"/>
  <c r="D72" i="119"/>
  <c r="D21" i="119"/>
  <c r="E26" i="119" s="1"/>
  <c r="D72" i="143"/>
  <c r="D21" i="143"/>
  <c r="D72" i="118"/>
  <c r="D21" i="118"/>
  <c r="D72" i="101"/>
  <c r="D21" i="101"/>
  <c r="E26" i="101" s="1"/>
  <c r="E41" i="101" s="1"/>
  <c r="D72" i="99"/>
  <c r="D21" i="99"/>
  <c r="E26" i="99" s="1"/>
  <c r="E41" i="99" s="1"/>
  <c r="K21" i="99" s="1"/>
  <c r="D72" i="100"/>
  <c r="D21" i="100"/>
  <c r="E26" i="100" s="1"/>
  <c r="E41" i="100" s="1"/>
  <c r="K21" i="100" s="1"/>
  <c r="D72" i="39"/>
  <c r="D21" i="39"/>
  <c r="E26" i="39" s="1"/>
  <c r="E41" i="39" s="1"/>
  <c r="K21" i="39" s="1"/>
  <c r="D72" i="130"/>
  <c r="D21" i="130"/>
  <c r="D72" i="174"/>
  <c r="D21" i="174"/>
  <c r="D72" i="173"/>
  <c r="D21" i="173"/>
  <c r="E26" i="173" s="1"/>
  <c r="E41" i="173" s="1"/>
  <c r="K21" i="173" s="1"/>
  <c r="D72" i="25"/>
  <c r="D21" i="25"/>
  <c r="E26" i="25" s="1"/>
  <c r="E41" i="25" s="1"/>
  <c r="K21" i="25" s="1"/>
  <c r="D72" i="23"/>
  <c r="D21" i="23"/>
  <c r="E26" i="23" s="1"/>
  <c r="E41" i="23" s="1"/>
  <c r="K21" i="23" s="1"/>
  <c r="D72" i="38"/>
  <c r="D21" i="38"/>
  <c r="E26" i="38" s="1"/>
  <c r="E41" i="38" s="1"/>
  <c r="K21" i="38" s="1"/>
  <c r="D72" i="171"/>
  <c r="D21" i="171"/>
  <c r="E26" i="171" s="1"/>
  <c r="E41" i="171" s="1"/>
  <c r="K21" i="171" s="1"/>
  <c r="D72" i="166"/>
  <c r="D21" i="166"/>
  <c r="D72" i="165"/>
  <c r="D21" i="165"/>
  <c r="E26" i="165" s="1"/>
  <c r="E41" i="165" s="1"/>
  <c r="K21" i="165" s="1"/>
  <c r="E75" i="190"/>
  <c r="D72" i="190"/>
  <c r="D21" i="190"/>
  <c r="E26" i="190" s="1"/>
  <c r="D72" i="170"/>
  <c r="D21" i="170"/>
  <c r="D72" i="104"/>
  <c r="D21" i="104"/>
  <c r="D72" i="102"/>
  <c r="D21" i="102"/>
  <c r="D72" i="103"/>
  <c r="D21" i="103"/>
  <c r="E26" i="103" s="1"/>
  <c r="E41" i="103" s="1"/>
  <c r="K21" i="103" s="1"/>
  <c r="D72" i="85"/>
  <c r="D21" i="85"/>
  <c r="E26" i="85" s="1"/>
  <c r="E41" i="85" s="1"/>
  <c r="K21" i="85" s="1"/>
  <c r="D72" i="128"/>
  <c r="D21" i="128"/>
  <c r="E26" i="128" s="1"/>
  <c r="E41" i="128" s="1"/>
  <c r="K21" i="128" s="1"/>
  <c r="D72" i="89"/>
  <c r="D21" i="89"/>
  <c r="E26" i="89" s="1"/>
  <c r="D72" i="46"/>
  <c r="D21" i="46"/>
  <c r="D72" i="169"/>
  <c r="D21" i="169"/>
  <c r="E26" i="169" s="1"/>
  <c r="E41" i="169" s="1"/>
  <c r="K21" i="169" s="1"/>
  <c r="D72" i="168"/>
  <c r="D21" i="168"/>
  <c r="E26" i="168" s="1"/>
  <c r="D72" i="129"/>
  <c r="D21" i="129"/>
  <c r="D72" i="167"/>
  <c r="D21" i="167"/>
  <c r="E26" i="167" s="1"/>
  <c r="E41" i="167" s="1"/>
  <c r="K21" i="167" s="1"/>
  <c r="D72" i="88"/>
  <c r="D21" i="88"/>
  <c r="E26" i="88" s="1"/>
  <c r="D72" i="193"/>
  <c r="D21" i="193"/>
  <c r="E26" i="193" s="1"/>
  <c r="E41" i="193" s="1"/>
  <c r="K21" i="193" s="1"/>
  <c r="D72" i="114"/>
  <c r="D21" i="114"/>
  <c r="D72" i="164"/>
  <c r="D21" i="164"/>
  <c r="D72" i="163"/>
  <c r="D21" i="163"/>
  <c r="E26" i="163" s="1"/>
  <c r="E41" i="163" s="1"/>
  <c r="K21" i="163" s="1"/>
  <c r="D72" i="137"/>
  <c r="D21" i="137"/>
  <c r="E26" i="137" s="1"/>
  <c r="E41" i="137" s="1"/>
  <c r="K21" i="137" s="1"/>
  <c r="D72" i="136"/>
  <c r="D21" i="136"/>
  <c r="E26" i="136" s="1"/>
  <c r="E41" i="136" s="1"/>
  <c r="D72" i="138"/>
  <c r="D21" i="138"/>
  <c r="D72" i="76"/>
  <c r="D21" i="76"/>
  <c r="E26" i="76" s="1"/>
  <c r="E41" i="76" s="1"/>
  <c r="K21" i="76" s="1"/>
  <c r="D72" i="90"/>
  <c r="D21" i="90"/>
  <c r="E26" i="90" s="1"/>
  <c r="E41" i="90" s="1"/>
  <c r="K21" i="90" s="1"/>
  <c r="D72" i="92"/>
  <c r="D21" i="92"/>
  <c r="E26" i="92" s="1"/>
  <c r="E41" i="92" s="1"/>
  <c r="K21" i="92" s="1"/>
  <c r="D72" i="115"/>
  <c r="D21" i="115"/>
  <c r="E26" i="115" s="1"/>
  <c r="E41" i="115" s="1"/>
  <c r="K21" i="115" s="1"/>
  <c r="D72" i="161"/>
  <c r="D21" i="161"/>
  <c r="E26" i="161" s="1"/>
  <c r="E41" i="161" s="1"/>
  <c r="K21" i="161" s="1"/>
  <c r="D72" i="37"/>
  <c r="D21" i="37"/>
  <c r="E26" i="37" s="1"/>
  <c r="E41" i="37" s="1"/>
  <c r="K21" i="37" s="1"/>
  <c r="D72" i="36"/>
  <c r="D21" i="36"/>
  <c r="E26" i="36" s="1"/>
  <c r="E41" i="36" s="1"/>
  <c r="K21" i="36" s="1"/>
  <c r="D72" i="77"/>
  <c r="D21" i="77"/>
  <c r="E26" i="77" s="1"/>
  <c r="E41" i="77" s="1"/>
  <c r="K21" i="77" s="1"/>
  <c r="D72" i="75"/>
  <c r="D21" i="75"/>
  <c r="D72" i="74"/>
  <c r="D21" i="74"/>
  <c r="E26" i="74" s="1"/>
  <c r="E41" i="74" s="1"/>
  <c r="K21" i="74" s="1"/>
  <c r="D72" i="73"/>
  <c r="D21" i="73"/>
  <c r="E26" i="73" s="1"/>
  <c r="E41" i="73" s="1"/>
  <c r="K21" i="73" s="1"/>
  <c r="D72" i="72"/>
  <c r="D21" i="72"/>
  <c r="E26" i="72" s="1"/>
  <c r="D72" i="71"/>
  <c r="D21" i="71"/>
  <c r="E26" i="71" s="1"/>
  <c r="D21" i="70"/>
  <c r="E26" i="70" s="1"/>
  <c r="D72" i="27"/>
  <c r="D21" i="27"/>
  <c r="E26" i="27" s="1"/>
  <c r="D72" i="47"/>
  <c r="D21" i="47"/>
  <c r="E26" i="47" s="1"/>
  <c r="E41" i="47" s="1"/>
  <c r="K21" i="47" s="1"/>
  <c r="D72" i="153"/>
  <c r="D21" i="153"/>
  <c r="E26" i="153" s="1"/>
  <c r="E41" i="153" s="1"/>
  <c r="K21" i="153" s="1"/>
  <c r="D72" i="35"/>
  <c r="D21" i="35"/>
  <c r="E26" i="35" s="1"/>
  <c r="E41" i="35" s="1"/>
  <c r="K21" i="35" s="1"/>
  <c r="D72" i="186"/>
  <c r="D21" i="186"/>
  <c r="E26" i="186" s="1"/>
  <c r="E41" i="186" s="1"/>
  <c r="K21" i="186" s="1"/>
  <c r="D72" i="148"/>
  <c r="D21" i="148"/>
  <c r="E26" i="148" s="1"/>
  <c r="D72" i="149"/>
  <c r="D21" i="149"/>
  <c r="E26" i="149" s="1"/>
  <c r="E41" i="149" s="1"/>
  <c r="K21" i="149" s="1"/>
  <c r="D72" i="24"/>
  <c r="D21" i="24"/>
  <c r="E26" i="24" s="1"/>
  <c r="E41" i="24" s="1"/>
  <c r="K21" i="24" s="1"/>
  <c r="D72" i="56"/>
  <c r="D21" i="56"/>
  <c r="E26" i="56" s="1"/>
  <c r="E41" i="56" s="1"/>
  <c r="K21" i="56" s="1"/>
  <c r="D72" i="189"/>
  <c r="D21" i="189"/>
  <c r="E26" i="189" s="1"/>
  <c r="E41" i="189" s="1"/>
  <c r="K21" i="189" s="1"/>
  <c r="D72" i="43"/>
  <c r="D21" i="43"/>
  <c r="E26" i="43" s="1"/>
  <c r="E41" i="43" s="1"/>
  <c r="K21" i="43" s="1"/>
  <c r="D72" i="55"/>
  <c r="D21" i="55"/>
  <c r="E26" i="55" s="1"/>
  <c r="E41" i="55" s="1"/>
  <c r="K21" i="55" s="1"/>
  <c r="D72" i="57"/>
  <c r="D21" i="57"/>
  <c r="E26" i="57" s="1"/>
  <c r="E41" i="57" s="1"/>
  <c r="K21" i="57" s="1"/>
  <c r="D72" i="124"/>
  <c r="D21" i="124"/>
  <c r="E26" i="124" s="1"/>
  <c r="E41" i="124" s="1"/>
  <c r="K21" i="124" s="1"/>
  <c r="D72" i="34"/>
  <c r="D21" i="34"/>
  <c r="E26" i="34" s="1"/>
  <c r="E41" i="34" s="1"/>
  <c r="K21" i="34" s="1"/>
  <c r="D21" i="33"/>
  <c r="E26" i="33" s="1"/>
  <c r="E41" i="33" s="1"/>
  <c r="K21" i="33" s="1"/>
  <c r="D72" i="33"/>
  <c r="D72" i="123"/>
  <c r="D21" i="123"/>
  <c r="E26" i="123" s="1"/>
  <c r="E41" i="123" s="1"/>
  <c r="K21" i="123" s="1"/>
  <c r="D72" i="106"/>
  <c r="D21" i="106"/>
  <c r="E26" i="106" s="1"/>
  <c r="E41" i="106" s="1"/>
  <c r="K21" i="106" s="1"/>
  <c r="D72" i="152"/>
  <c r="D21" i="152"/>
  <c r="E26" i="152" s="1"/>
  <c r="E41" i="152" s="1"/>
  <c r="K21" i="152" s="1"/>
  <c r="D72" i="107"/>
  <c r="D72" i="151"/>
  <c r="D72" i="96"/>
  <c r="D72" i="97"/>
  <c r="D21" i="97"/>
  <c r="E26" i="97" s="1"/>
  <c r="E41" i="97" s="1"/>
  <c r="D72" i="112"/>
  <c r="D21" i="112"/>
  <c r="E26" i="112" s="1"/>
  <c r="E41" i="112" s="1"/>
  <c r="K21" i="112" s="1"/>
  <c r="D72" i="156"/>
  <c r="D21" i="156"/>
  <c r="E26" i="156" s="1"/>
  <c r="E41" i="156" s="1"/>
  <c r="D72" i="188"/>
  <c r="D72" i="42"/>
  <c r="D21" i="42"/>
  <c r="E26" i="42" s="1"/>
  <c r="E41" i="42" s="1"/>
  <c r="K21" i="42" s="1"/>
  <c r="D72" i="83"/>
  <c r="D21" i="83"/>
  <c r="E26" i="83" s="1"/>
  <c r="D72" i="48"/>
  <c r="D21" i="48"/>
  <c r="E26" i="48" s="1"/>
  <c r="E41" i="48" s="1"/>
  <c r="D72" i="30"/>
  <c r="D21" i="30"/>
  <c r="E26" i="30" s="1"/>
  <c r="E41" i="30" s="1"/>
  <c r="K21" i="30" s="1"/>
  <c r="D72" i="29"/>
  <c r="D21" i="29"/>
  <c r="E26" i="29" s="1"/>
  <c r="E41" i="29" s="1"/>
  <c r="K21" i="29" s="1"/>
  <c r="D72" i="49"/>
  <c r="D21" i="49"/>
  <c r="E26" i="49" s="1"/>
  <c r="E41" i="49" s="1"/>
  <c r="K21" i="49" s="1"/>
  <c r="D72" i="22"/>
  <c r="D21" i="22"/>
  <c r="E26" i="22" s="1"/>
  <c r="E41" i="22" s="1"/>
  <c r="K21" i="22" s="1"/>
  <c r="D72" i="28"/>
  <c r="D21" i="28"/>
  <c r="E26" i="28" s="1"/>
  <c r="E41" i="28" s="1"/>
  <c r="K21" i="28" s="1"/>
  <c r="D72" i="14"/>
  <c r="D21" i="14"/>
  <c r="E26" i="14" s="1"/>
  <c r="E41" i="14" s="1"/>
  <c r="K21" i="14" s="1"/>
  <c r="D72" i="12"/>
  <c r="D72" i="84"/>
  <c r="D21" i="84"/>
  <c r="E26" i="84" s="1"/>
  <c r="E41" i="84" s="1"/>
  <c r="K21" i="84" s="1"/>
  <c r="D72" i="60"/>
  <c r="D21" i="60"/>
  <c r="E26" i="60" s="1"/>
  <c r="E41" i="60" s="1"/>
  <c r="K21" i="60" s="1"/>
  <c r="D21" i="61"/>
  <c r="E26" i="61" s="1"/>
  <c r="E41" i="61" s="1"/>
  <c r="K21" i="61" s="1"/>
  <c r="D72" i="61"/>
  <c r="D72" i="58"/>
  <c r="D74" i="58" s="1"/>
  <c r="D75" i="58" s="1"/>
  <c r="D21" i="58"/>
  <c r="E26" i="58" s="1"/>
  <c r="E41" i="58" s="1"/>
  <c r="K21" i="58" s="1"/>
  <c r="D72" i="13"/>
  <c r="D21" i="13"/>
  <c r="E26" i="13" s="1"/>
  <c r="E41" i="13" s="1"/>
  <c r="K21" i="13" s="1"/>
  <c r="D21" i="9"/>
  <c r="E26" i="9" s="1"/>
  <c r="E41" i="9" s="1"/>
  <c r="K21" i="9" s="1"/>
  <c r="D72" i="9"/>
  <c r="D72" i="8"/>
  <c r="D21" i="8"/>
  <c r="E26" i="8" s="1"/>
  <c r="E41" i="8" s="1"/>
  <c r="K21" i="8" s="1"/>
  <c r="D72" i="7"/>
  <c r="D21" i="7"/>
  <c r="E26" i="7" s="1"/>
  <c r="E41" i="7" s="1"/>
  <c r="K21" i="7" s="1"/>
  <c r="D75" i="6"/>
  <c r="D72" i="6"/>
  <c r="D21" i="6"/>
  <c r="E26" i="6" s="1"/>
  <c r="E41" i="6" s="1"/>
  <c r="K21" i="6" s="1"/>
  <c r="D72" i="95"/>
  <c r="D21" i="95"/>
  <c r="E26" i="95" s="1"/>
  <c r="E41" i="95" s="1"/>
  <c r="K21" i="95" s="1"/>
  <c r="D72" i="93"/>
  <c r="D21" i="93"/>
  <c r="E26" i="93" s="1"/>
  <c r="E41" i="93" s="1"/>
  <c r="K21" i="93" s="1"/>
  <c r="D72" i="94"/>
  <c r="D21" i="94"/>
  <c r="E26" i="94" s="1"/>
  <c r="E41" i="94" s="1"/>
  <c r="K21" i="94" s="1"/>
  <c r="D21" i="53"/>
  <c r="E26" i="53" s="1"/>
  <c r="E41" i="53" s="1"/>
  <c r="K21" i="53" s="1"/>
  <c r="D72" i="53"/>
  <c r="E72" i="53" s="1"/>
  <c r="D72" i="67"/>
  <c r="D74" i="67" s="1"/>
  <c r="D75" i="67" s="1"/>
  <c r="D21" i="67"/>
  <c r="E26" i="67" s="1"/>
  <c r="E41" i="67" s="1"/>
  <c r="K21" i="67" s="1"/>
  <c r="D72" i="69"/>
  <c r="D74" i="69" s="1"/>
  <c r="D75" i="69" s="1"/>
  <c r="D21" i="69"/>
  <c r="E26" i="69" s="1"/>
  <c r="E41" i="69" s="1"/>
  <c r="K21" i="69" s="1"/>
  <c r="D72" i="120"/>
  <c r="D74" i="120" s="1"/>
  <c r="D75" i="120" s="1"/>
  <c r="D21" i="120"/>
  <c r="E26" i="120" s="1"/>
  <c r="E41" i="120" s="1"/>
  <c r="K21" i="120" s="1"/>
  <c r="D21" i="121"/>
  <c r="E26" i="121" s="1"/>
  <c r="E41" i="121" s="1"/>
  <c r="K21" i="121" s="1"/>
  <c r="D21" i="122"/>
  <c r="E26" i="122" s="1"/>
  <c r="E41" i="122" s="1"/>
  <c r="K21" i="122" s="1"/>
  <c r="D21" i="79"/>
  <c r="E26" i="79" s="1"/>
  <c r="E41" i="79" s="1"/>
  <c r="K21" i="79" s="1"/>
  <c r="D21" i="78"/>
  <c r="E26" i="78" s="1"/>
  <c r="E41" i="78" s="1"/>
  <c r="K21" i="78" s="1"/>
  <c r="D21" i="81"/>
  <c r="E26" i="81" s="1"/>
  <c r="E41" i="81" s="1"/>
  <c r="K21" i="81" s="1"/>
  <c r="D21" i="17"/>
  <c r="E26" i="17" s="1"/>
  <c r="E41" i="17" s="1"/>
  <c r="K21" i="17" s="1"/>
  <c r="D21" i="16"/>
  <c r="E26" i="16" s="1"/>
  <c r="E41" i="16" s="1"/>
  <c r="K21" i="16" s="1"/>
  <c r="D21" i="11"/>
  <c r="E26" i="11" s="1"/>
  <c r="E41" i="11" s="1"/>
  <c r="K21" i="11" s="1"/>
  <c r="D21" i="10"/>
  <c r="E26" i="10" s="1"/>
  <c r="E41" i="10" s="1"/>
  <c r="K21" i="10" s="1"/>
  <c r="D21" i="5"/>
  <c r="E26" i="5" s="1"/>
  <c r="E41" i="5" s="1"/>
  <c r="K21" i="5" s="1"/>
  <c r="D72" i="4"/>
  <c r="D74" i="4" s="1"/>
  <c r="D75" i="4" s="1"/>
  <c r="D21" i="4"/>
  <c r="E26" i="4" s="1"/>
  <c r="E41" i="4" s="1"/>
  <c r="K21" i="4" s="1"/>
  <c r="D72" i="194"/>
  <c r="D74" i="194" s="1"/>
  <c r="D75" i="194" s="1"/>
  <c r="D21" i="194"/>
  <c r="E26" i="194" s="1"/>
  <c r="E41" i="194" s="1"/>
  <c r="K21" i="194" s="1"/>
  <c r="D21" i="1"/>
  <c r="D74" i="60"/>
  <c r="D75" i="60" s="1"/>
  <c r="E72" i="4"/>
  <c r="E41" i="119"/>
  <c r="K21" i="119" s="1"/>
  <c r="E41" i="83"/>
  <c r="K21" i="83" s="1"/>
  <c r="E69" i="53"/>
  <c r="E64" i="53"/>
  <c r="D74" i="53"/>
  <c r="E73" i="53"/>
  <c r="E73" i="6"/>
  <c r="E73" i="7"/>
  <c r="D75" i="196"/>
  <c r="E58" i="196"/>
  <c r="E64" i="196" s="1"/>
  <c r="D76" i="70"/>
  <c r="E58" i="70"/>
  <c r="E64" i="70" s="1"/>
  <c r="E41" i="71"/>
  <c r="K21" i="71" s="1"/>
  <c r="D76" i="72"/>
  <c r="E58" i="72"/>
  <c r="E64" i="72" s="1"/>
  <c r="E58" i="74"/>
  <c r="E64" i="74" s="1"/>
  <c r="E58" i="153"/>
  <c r="E64" i="153" s="1"/>
  <c r="E58" i="134"/>
  <c r="E64" i="134" s="1"/>
  <c r="E41" i="177"/>
  <c r="K21" i="177" s="1"/>
  <c r="E58" i="177"/>
  <c r="E64" i="177" s="1"/>
  <c r="E58" i="20"/>
  <c r="E64" i="20" s="1"/>
  <c r="E41" i="132"/>
  <c r="K21" i="132" s="1"/>
  <c r="E41" i="179"/>
  <c r="K21" i="179" s="1"/>
  <c r="E41" i="190"/>
  <c r="K21" i="190" s="1"/>
  <c r="E41" i="89"/>
  <c r="K21" i="89" s="1"/>
  <c r="E41" i="168"/>
  <c r="K21" i="168" s="1"/>
  <c r="E41" i="70"/>
  <c r="K21" i="70" s="1"/>
  <c r="E41" i="27"/>
  <c r="K21" i="27" s="1"/>
  <c r="E41" i="148"/>
  <c r="K21" i="148" s="1"/>
  <c r="E58" i="6" l="1"/>
  <c r="E64" i="6"/>
  <c r="D74" i="95"/>
  <c r="D75" i="95" s="1"/>
  <c r="D64" i="217"/>
  <c r="D64" i="191"/>
  <c r="D58" i="191" s="1"/>
  <c r="D64" i="63"/>
  <c r="D58" i="63" s="1"/>
  <c r="D74" i="63" s="1"/>
  <c r="D75" i="63" s="1"/>
  <c r="D64" i="105"/>
  <c r="D58" i="105" s="1"/>
  <c r="E58" i="105" s="1"/>
  <c r="E64" i="105" s="1"/>
  <c r="D64" i="26"/>
  <c r="D58" i="26" s="1"/>
  <c r="D64" i="62"/>
  <c r="D58" i="62" s="1"/>
  <c r="D64" i="40"/>
  <c r="D58" i="40" s="1"/>
  <c r="D64" i="187"/>
  <c r="D58" i="187" s="1"/>
  <c r="D64" i="108"/>
  <c r="D58" i="108" s="1"/>
  <c r="D64" i="216"/>
  <c r="D58" i="216" s="1"/>
  <c r="D64" i="215"/>
  <c r="D58" i="215" s="1"/>
  <c r="D64" i="141"/>
  <c r="D58" i="141" s="1"/>
  <c r="D64" i="175"/>
  <c r="D58" i="175" s="1"/>
  <c r="E58" i="175" s="1"/>
  <c r="D64" i="140"/>
  <c r="D58" i="140" s="1"/>
  <c r="D64" i="113"/>
  <c r="D58" i="113" s="1"/>
  <c r="D64" i="146"/>
  <c r="D58" i="146" s="1"/>
  <c r="D64" i="117"/>
  <c r="D58" i="117" s="1"/>
  <c r="D64" i="145"/>
  <c r="D58" i="145" s="1"/>
  <c r="E58" i="145" s="1"/>
  <c r="D64" i="144"/>
  <c r="D58" i="144" s="1"/>
  <c r="D64" i="119"/>
  <c r="D58" i="119" s="1"/>
  <c r="D74" i="119" s="1"/>
  <c r="D75" i="119" s="1"/>
  <c r="D64" i="118"/>
  <c r="D58" i="118" s="1"/>
  <c r="D64" i="205"/>
  <c r="D58" i="205" s="1"/>
  <c r="D64" i="99"/>
  <c r="D58" i="99" s="1"/>
  <c r="D64" i="100"/>
  <c r="D58" i="100" s="1"/>
  <c r="E58" i="100" s="1"/>
  <c r="D64" i="39"/>
  <c r="D58" i="39" s="1"/>
  <c r="D64" i="130"/>
  <c r="D58" i="130" s="1"/>
  <c r="D64" i="174"/>
  <c r="D58" i="174" s="1"/>
  <c r="D64" i="25"/>
  <c r="D58" i="25" s="1"/>
  <c r="E58" i="25" s="1"/>
  <c r="D64" i="38"/>
  <c r="D58" i="38" s="1"/>
  <c r="D64" i="171"/>
  <c r="D58" i="171" s="1"/>
  <c r="E58" i="171" s="1"/>
  <c r="D64" i="214"/>
  <c r="D58" i="214" s="1"/>
  <c r="D64" i="166"/>
  <c r="D58" i="166" s="1"/>
  <c r="D64" i="165"/>
  <c r="D58" i="165" s="1"/>
  <c r="D64" i="190"/>
  <c r="D58" i="190" s="1"/>
  <c r="D74" i="190" s="1"/>
  <c r="D75" i="190" s="1"/>
  <c r="D64" i="170"/>
  <c r="D58" i="170" s="1"/>
  <c r="E58" i="170" s="1"/>
  <c r="D64" i="102"/>
  <c r="D58" i="102" s="1"/>
  <c r="D74" i="102" s="1"/>
  <c r="D75" i="102" s="1"/>
  <c r="D64" i="103"/>
  <c r="D58" i="103" s="1"/>
  <c r="D64" i="89"/>
  <c r="D58" i="89" s="1"/>
  <c r="D64" i="168"/>
  <c r="D58" i="168" s="1"/>
  <c r="D64" i="88"/>
  <c r="D58" i="88" s="1"/>
  <c r="D64" i="114"/>
  <c r="D58" i="114" s="1"/>
  <c r="D64" i="164"/>
  <c r="D58" i="164" s="1"/>
  <c r="D64" i="92"/>
  <c r="D58" i="92" s="1"/>
  <c r="D64" i="163"/>
  <c r="D58" i="163" s="1"/>
  <c r="E58" i="163" s="1"/>
  <c r="D64" i="137"/>
  <c r="D58" i="137" s="1"/>
  <c r="D64" i="136"/>
  <c r="D58" i="136" s="1"/>
  <c r="D74" i="136" s="1"/>
  <c r="D75" i="136" s="1"/>
  <c r="D64" i="138"/>
  <c r="D58" i="138" s="1"/>
  <c r="D74" i="90"/>
  <c r="D75" i="90" s="1"/>
  <c r="E58" i="90"/>
  <c r="E64" i="90" s="1"/>
  <c r="D64" i="115"/>
  <c r="D58" i="115" s="1"/>
  <c r="D64" i="161"/>
  <c r="D58" i="161" s="1"/>
  <c r="D64" i="36"/>
  <c r="D58" i="36" s="1"/>
  <c r="D64" i="77"/>
  <c r="D58" i="77" s="1"/>
  <c r="E58" i="77" s="1"/>
  <c r="D64" i="75"/>
  <c r="D58" i="75" s="1"/>
  <c r="D74" i="75" s="1"/>
  <c r="D76" i="75" s="1"/>
  <c r="D74" i="71"/>
  <c r="D76" i="71" s="1"/>
  <c r="E58" i="71"/>
  <c r="E64" i="71" s="1"/>
  <c r="D64" i="149"/>
  <c r="D58" i="149" s="1"/>
  <c r="D64" i="24"/>
  <c r="D58" i="24" s="1"/>
  <c r="D64" i="206"/>
  <c r="D58" i="206" s="1"/>
  <c r="D64" i="201"/>
  <c r="D58" i="201" s="1"/>
  <c r="D64" i="212"/>
  <c r="D58" i="212" s="1"/>
  <c r="D64" i="56"/>
  <c r="D58" i="56" s="1"/>
  <c r="D64" i="189"/>
  <c r="D58" i="189" s="1"/>
  <c r="D64" i="43"/>
  <c r="D58" i="43" s="1"/>
  <c r="D64" i="124"/>
  <c r="D58" i="124" s="1"/>
  <c r="D64" i="34"/>
  <c r="D58" i="34" s="1"/>
  <c r="D64" i="123"/>
  <c r="D58" i="123" s="1"/>
  <c r="D64" i="106"/>
  <c r="D58" i="106" s="1"/>
  <c r="D64" i="211"/>
  <c r="D58" i="211" s="1"/>
  <c r="D64" i="107"/>
  <c r="D58" i="107" s="1"/>
  <c r="D64" i="151"/>
  <c r="D58" i="151" s="1"/>
  <c r="D64" i="96"/>
  <c r="D58" i="96" s="1"/>
  <c r="D64" i="112"/>
  <c r="D58" i="112" s="1"/>
  <c r="D64" i="200"/>
  <c r="D58" i="200" s="1"/>
  <c r="D64" i="28"/>
  <c r="D58" i="28" s="1"/>
  <c r="E21" i="78"/>
  <c r="D72" i="81"/>
  <c r="D72" i="17"/>
  <c r="E71" i="95"/>
  <c r="E74" i="95" s="1"/>
  <c r="E75" i="95" s="1"/>
  <c r="E64" i="95"/>
  <c r="E58" i="95"/>
  <c r="E73" i="95"/>
  <c r="E64" i="170"/>
  <c r="E74" i="170"/>
  <c r="E75" i="170" s="1"/>
  <c r="E26" i="130"/>
  <c r="E41" i="130" s="1"/>
  <c r="E26" i="143"/>
  <c r="E41" i="143" s="1"/>
  <c r="K21" i="143" s="1"/>
  <c r="D74" i="122"/>
  <c r="D75" i="122" s="1"/>
  <c r="E26" i="1"/>
  <c r="E26" i="75"/>
  <c r="E41" i="75" s="1"/>
  <c r="K21" i="75" s="1"/>
  <c r="E26" i="138"/>
  <c r="E41" i="138" s="1"/>
  <c r="K21" i="138" s="1"/>
  <c r="E26" i="164"/>
  <c r="E41" i="164" s="1"/>
  <c r="E26" i="102"/>
  <c r="E41" i="102" s="1"/>
  <c r="K21" i="102" s="1"/>
  <c r="E26" i="170"/>
  <c r="E41" i="170" s="1"/>
  <c r="E74" i="105"/>
  <c r="E75" i="105" s="1"/>
  <c r="E11" i="1"/>
  <c r="D74" i="77"/>
  <c r="D75" i="77" s="1"/>
  <c r="D74" i="145"/>
  <c r="D75" i="145" s="1"/>
  <c r="D74" i="175"/>
  <c r="D75" i="175" s="1"/>
  <c r="E58" i="63"/>
  <c r="D74" i="199"/>
  <c r="D75" i="199" s="1"/>
  <c r="D73" i="1"/>
  <c r="E26" i="166"/>
  <c r="E41" i="166" s="1"/>
  <c r="K21" i="166" s="1"/>
  <c r="E26" i="174"/>
  <c r="E41" i="174" s="1"/>
  <c r="K21" i="174" s="1"/>
  <c r="E26" i="118"/>
  <c r="E41" i="118" s="1"/>
  <c r="K21" i="118" s="1"/>
  <c r="D74" i="84"/>
  <c r="D75" i="84" s="1"/>
  <c r="E26" i="114"/>
  <c r="E41" i="114" s="1"/>
  <c r="K21" i="114" s="1"/>
  <c r="E26" i="129"/>
  <c r="E41" i="129" s="1"/>
  <c r="K21" i="129" s="1"/>
  <c r="E26" i="46"/>
  <c r="E41" i="46" s="1"/>
  <c r="K21" i="46" s="1"/>
  <c r="E26" i="104"/>
  <c r="E41" i="104" s="1"/>
  <c r="K21" i="104" s="1"/>
  <c r="E26" i="147"/>
  <c r="E41" i="147" s="1"/>
  <c r="K21" i="147" s="1"/>
  <c r="E26" i="176"/>
  <c r="E41" i="176" s="1"/>
  <c r="K21" i="176" s="1"/>
  <c r="E26" i="109"/>
  <c r="E41" i="109" s="1"/>
  <c r="K21" i="109" s="1"/>
  <c r="E26" i="105"/>
  <c r="E41" i="105" s="1"/>
  <c r="K21" i="105" s="1"/>
  <c r="D74" i="23"/>
  <c r="E21" i="23"/>
  <c r="D64" i="41"/>
  <c r="D58" i="41" s="1"/>
  <c r="D64" i="101"/>
  <c r="D58" i="101" s="1"/>
  <c r="D64" i="173"/>
  <c r="D58" i="173" s="1"/>
  <c r="D64" i="104"/>
  <c r="D58" i="104" s="1"/>
  <c r="D64" i="213"/>
  <c r="D58" i="213" s="1"/>
  <c r="D64" i="76"/>
  <c r="D58" i="76" s="1"/>
  <c r="E58" i="76" s="1"/>
  <c r="D74" i="73"/>
  <c r="D76" i="73" s="1"/>
  <c r="E58" i="73"/>
  <c r="E64" i="73" s="1"/>
  <c r="D64" i="27"/>
  <c r="D58" i="27" s="1"/>
  <c r="D74" i="27" s="1"/>
  <c r="D76" i="27" s="1"/>
  <c r="D64" i="202"/>
  <c r="D58" i="202" s="1"/>
  <c r="D64" i="57"/>
  <c r="D58" i="57" s="1"/>
  <c r="D64" i="33"/>
  <c r="D58" i="33" s="1"/>
  <c r="E74" i="6"/>
  <c r="E75" i="6" s="1"/>
  <c r="E58" i="53"/>
  <c r="E74" i="53" s="1"/>
  <c r="D74" i="81"/>
  <c r="D75" i="81" s="1"/>
  <c r="E64" i="4"/>
  <c r="D74" i="13"/>
  <c r="D75" i="13" s="1"/>
  <c r="D72" i="1"/>
  <c r="E21" i="1"/>
  <c r="E58" i="199"/>
  <c r="E64" i="199"/>
  <c r="E73" i="199"/>
  <c r="E69" i="199"/>
  <c r="D64" i="65"/>
  <c r="D58" i="65" s="1"/>
  <c r="D74" i="65" s="1"/>
  <c r="D75" i="65" s="1"/>
  <c r="D74" i="20"/>
  <c r="D75" i="20" s="1"/>
  <c r="D74" i="110"/>
  <c r="D75" i="110" s="1"/>
  <c r="D64" i="64"/>
  <c r="D58" i="64" s="1"/>
  <c r="D75" i="177"/>
  <c r="D74" i="177" s="1"/>
  <c r="D64" i="109"/>
  <c r="D58" i="109" s="1"/>
  <c r="D64" i="159"/>
  <c r="D58" i="159" s="1"/>
  <c r="D64" i="176"/>
  <c r="D58" i="176" s="1"/>
  <c r="D74" i="134"/>
  <c r="D75" i="134" s="1"/>
  <c r="D64" i="135"/>
  <c r="D58" i="135" s="1"/>
  <c r="D64" i="132"/>
  <c r="D58" i="132" s="1"/>
  <c r="D64" i="133"/>
  <c r="D58" i="133" s="1"/>
  <c r="D64" i="179"/>
  <c r="D58" i="179" s="1"/>
  <c r="D64" i="147"/>
  <c r="D58" i="147" s="1"/>
  <c r="D74" i="147" s="1"/>
  <c r="D76" i="147" s="1"/>
  <c r="D64" i="142"/>
  <c r="D58" i="142" s="1"/>
  <c r="D74" i="143"/>
  <c r="D75" i="143" s="1"/>
  <c r="D64" i="204"/>
  <c r="D58" i="204" s="1"/>
  <c r="D64" i="85"/>
  <c r="D58" i="85" s="1"/>
  <c r="D64" i="128"/>
  <c r="D58" i="128" s="1"/>
  <c r="E58" i="128" s="1"/>
  <c r="E74" i="128" s="1"/>
  <c r="E75" i="128" s="1"/>
  <c r="D64" i="46"/>
  <c r="D58" i="46" s="1"/>
  <c r="D64" i="169"/>
  <c r="D58" i="169" s="1"/>
  <c r="E58" i="169" s="1"/>
  <c r="D64" i="129"/>
  <c r="D58" i="129" s="1"/>
  <c r="D74" i="129" s="1"/>
  <c r="D75" i="129" s="1"/>
  <c r="D64" i="167"/>
  <c r="D58" i="167" s="1"/>
  <c r="D74" i="167" s="1"/>
  <c r="D75" i="167" s="1"/>
  <c r="D64" i="193"/>
  <c r="D58" i="193" s="1"/>
  <c r="E58" i="193" s="1"/>
  <c r="E74" i="193" s="1"/>
  <c r="E75" i="193" s="1"/>
  <c r="D74" i="37"/>
  <c r="D75" i="37" s="1"/>
  <c r="D74" i="74"/>
  <c r="D76" i="74" s="1"/>
  <c r="D64" i="47"/>
  <c r="D58" i="47" s="1"/>
  <c r="D74" i="153"/>
  <c r="D75" i="153" s="1"/>
  <c r="D64" i="35"/>
  <c r="D58" i="35" s="1"/>
  <c r="D64" i="186"/>
  <c r="D58" i="186" s="1"/>
  <c r="D64" i="148"/>
  <c r="D58" i="148" s="1"/>
  <c r="D64" i="152"/>
  <c r="D58" i="152" s="1"/>
  <c r="D64" i="97"/>
  <c r="D58" i="97" s="1"/>
  <c r="D64" i="197"/>
  <c r="D58" i="197" s="1"/>
  <c r="D64" i="210"/>
  <c r="D58" i="210" s="1"/>
  <c r="E58" i="210" s="1"/>
  <c r="D64" i="209"/>
  <c r="D58" i="209" s="1"/>
  <c r="D64" i="195"/>
  <c r="D58" i="195" s="1"/>
  <c r="D64" i="188"/>
  <c r="D58" i="188" s="1"/>
  <c r="D64" i="42"/>
  <c r="D58" i="42" s="1"/>
  <c r="E58" i="42" s="1"/>
  <c r="D64" i="83"/>
  <c r="D58" i="83" s="1"/>
  <c r="D74" i="83" s="1"/>
  <c r="D75" i="83" s="1"/>
  <c r="D74" i="48"/>
  <c r="D75" i="48" s="1"/>
  <c r="E21" i="48"/>
  <c r="D64" i="29"/>
  <c r="D58" i="29" s="1"/>
  <c r="E58" i="29" s="1"/>
  <c r="D64" i="49"/>
  <c r="D58" i="49" s="1"/>
  <c r="E58" i="49" s="1"/>
  <c r="D64" i="22"/>
  <c r="D58" i="22" s="1"/>
  <c r="D74" i="22" s="1"/>
  <c r="D75" i="22" s="1"/>
  <c r="D64" i="14"/>
  <c r="D58" i="14" s="1"/>
  <c r="E58" i="14" s="1"/>
  <c r="E21" i="84"/>
  <c r="E21" i="60"/>
  <c r="D74" i="61"/>
  <c r="D75" i="61" s="1"/>
  <c r="E21" i="61"/>
  <c r="E21" i="58"/>
  <c r="E21" i="13"/>
  <c r="D74" i="9"/>
  <c r="D75" i="9" s="1"/>
  <c r="E21" i="9"/>
  <c r="D74" i="8"/>
  <c r="D75" i="8" s="1"/>
  <c r="E21" i="8"/>
  <c r="D74" i="105"/>
  <c r="D75" i="105" s="1"/>
  <c r="D74" i="108"/>
  <c r="D76" i="108" s="1"/>
  <c r="E58" i="108"/>
  <c r="E58" i="215"/>
  <c r="D74" i="215"/>
  <c r="D75" i="215" s="1"/>
  <c r="D74" i="146"/>
  <c r="D76" i="146" s="1"/>
  <c r="E58" i="146"/>
  <c r="E58" i="143"/>
  <c r="E64" i="143" s="1"/>
  <c r="E58" i="118"/>
  <c r="D74" i="118"/>
  <c r="D75" i="118" s="1"/>
  <c r="E64" i="171"/>
  <c r="E74" i="171"/>
  <c r="E75" i="171" s="1"/>
  <c r="D74" i="171"/>
  <c r="D75" i="171" s="1"/>
  <c r="D74" i="89"/>
  <c r="D75" i="89" s="1"/>
  <c r="E58" i="89"/>
  <c r="E58" i="88"/>
  <c r="D74" i="88"/>
  <c r="D75" i="88" s="1"/>
  <c r="D74" i="114"/>
  <c r="D75" i="114" s="1"/>
  <c r="E58" i="114"/>
  <c r="E64" i="163"/>
  <c r="E74" i="163"/>
  <c r="E75" i="163" s="1"/>
  <c r="E58" i="36"/>
  <c r="D74" i="36"/>
  <c r="D75" i="36" s="1"/>
  <c r="E58" i="24"/>
  <c r="D74" i="24"/>
  <c r="D76" i="24" s="1"/>
  <c r="D74" i="189"/>
  <c r="D75" i="189" s="1"/>
  <c r="E58" i="189"/>
  <c r="D74" i="55"/>
  <c r="D75" i="55" s="1"/>
  <c r="E58" i="55"/>
  <c r="E64" i="55" s="1"/>
  <c r="D74" i="112"/>
  <c r="D75" i="112" s="1"/>
  <c r="E58" i="112"/>
  <c r="E58" i="156"/>
  <c r="D74" i="156"/>
  <c r="D75" i="156" s="1"/>
  <c r="E64" i="93"/>
  <c r="E69" i="93"/>
  <c r="D73" i="93"/>
  <c r="D74" i="93" s="1"/>
  <c r="E21" i="94"/>
  <c r="E73" i="67"/>
  <c r="E69" i="67"/>
  <c r="E72" i="67"/>
  <c r="E58" i="67"/>
  <c r="D74" i="121"/>
  <c r="D75" i="121" s="1"/>
  <c r="E11" i="121"/>
  <c r="E21" i="121" s="1"/>
  <c r="E72" i="121" s="1"/>
  <c r="E11" i="122"/>
  <c r="E21" i="122" s="1"/>
  <c r="E11" i="79"/>
  <c r="E21" i="79" s="1"/>
  <c r="E58" i="79" s="1"/>
  <c r="D74" i="78"/>
  <c r="D75" i="78" s="1"/>
  <c r="E64" i="81"/>
  <c r="E69" i="81"/>
  <c r="E58" i="81"/>
  <c r="E72" i="81"/>
  <c r="E64" i="17"/>
  <c r="E58" i="17"/>
  <c r="E69" i="17"/>
  <c r="D74" i="17"/>
  <c r="D75" i="17" s="1"/>
  <c r="E73" i="17"/>
  <c r="E72" i="17"/>
  <c r="E11" i="16"/>
  <c r="E21" i="16" s="1"/>
  <c r="D74" i="11"/>
  <c r="D75" i="11" s="1"/>
  <c r="E11" i="11"/>
  <c r="E21" i="11" s="1"/>
  <c r="D74" i="10"/>
  <c r="D75" i="10" s="1"/>
  <c r="E11" i="10"/>
  <c r="E21" i="10" s="1"/>
  <c r="D74" i="5"/>
  <c r="D75" i="5" s="1"/>
  <c r="E64" i="5"/>
  <c r="E58" i="5"/>
  <c r="E73" i="5"/>
  <c r="E72" i="5"/>
  <c r="E69" i="5"/>
  <c r="E58" i="4"/>
  <c r="E73" i="4"/>
  <c r="E69" i="4"/>
  <c r="D74" i="49"/>
  <c r="D75" i="49" s="1"/>
  <c r="D74" i="97"/>
  <c r="D75" i="97" s="1"/>
  <c r="D74" i="198"/>
  <c r="D75" i="198" s="1"/>
  <c r="E58" i="198"/>
  <c r="E64" i="25"/>
  <c r="E74" i="25"/>
  <c r="E75" i="25" s="1"/>
  <c r="D74" i="28"/>
  <c r="D75" i="28" s="1"/>
  <c r="E58" i="28"/>
  <c r="E58" i="22"/>
  <c r="E64" i="194"/>
  <c r="E58" i="194"/>
  <c r="E73" i="194"/>
  <c r="E69" i="194"/>
  <c r="E73" i="120"/>
  <c r="E72" i="120"/>
  <c r="E69" i="120"/>
  <c r="E64" i="120"/>
  <c r="E58" i="120"/>
  <c r="D74" i="42"/>
  <c r="D75" i="42" s="1"/>
  <c r="E72" i="69"/>
  <c r="E73" i="69"/>
  <c r="E58" i="69"/>
  <c r="E64" i="69"/>
  <c r="E71" i="69"/>
  <c r="E69" i="69"/>
  <c r="D74" i="30"/>
  <c r="D75" i="30" s="1"/>
  <c r="E58" i="30"/>
  <c r="E72" i="78"/>
  <c r="E64" i="78"/>
  <c r="D74" i="16"/>
  <c r="D75" i="16" s="1"/>
  <c r="D74" i="200"/>
  <c r="D75" i="200" s="1"/>
  <c r="E58" i="200"/>
  <c r="D74" i="195"/>
  <c r="D75" i="195" s="1"/>
  <c r="E58" i="195"/>
  <c r="E64" i="128"/>
  <c r="E64" i="193"/>
  <c r="E58" i="99"/>
  <c r="D74" i="99"/>
  <c r="D75" i="99" s="1"/>
  <c r="D74" i="206"/>
  <c r="D75" i="206" s="1"/>
  <c r="E58" i="206"/>
  <c r="D74" i="211"/>
  <c r="D76" i="211" s="1"/>
  <c r="E58" i="211"/>
  <c r="E41" i="72"/>
  <c r="K21" i="72" s="1"/>
  <c r="E73" i="81"/>
  <c r="E64" i="67"/>
  <c r="E58" i="93"/>
  <c r="E58" i="136"/>
  <c r="E58" i="129"/>
  <c r="E58" i="102"/>
  <c r="D74" i="25"/>
  <c r="D75" i="25" s="1"/>
  <c r="E73" i="177"/>
  <c r="E74" i="177" s="1"/>
  <c r="E75" i="177" s="1"/>
  <c r="E73" i="23"/>
  <c r="E73" i="37"/>
  <c r="E74" i="37" s="1"/>
  <c r="E75" i="37" s="1"/>
  <c r="E73" i="71"/>
  <c r="E74" i="71" s="1"/>
  <c r="E76" i="71" s="1"/>
  <c r="E58" i="117"/>
  <c r="D74" i="117"/>
  <c r="D75" i="117" s="1"/>
  <c r="E58" i="174"/>
  <c r="D74" i="174"/>
  <c r="D75" i="174" s="1"/>
  <c r="E58" i="165"/>
  <c r="D74" i="165"/>
  <c r="D75" i="165" s="1"/>
  <c r="E58" i="103"/>
  <c r="D74" i="103"/>
  <c r="D75" i="103" s="1"/>
  <c r="E58" i="167"/>
  <c r="E58" i="214"/>
  <c r="D74" i="214"/>
  <c r="D75" i="214" s="1"/>
  <c r="E73" i="217"/>
  <c r="E69" i="217"/>
  <c r="E64" i="217"/>
  <c r="E72" i="194"/>
  <c r="E41" i="117"/>
  <c r="K21" i="117" s="1"/>
  <c r="E58" i="75"/>
  <c r="D74" i="163"/>
  <c r="D75" i="163" s="1"/>
  <c r="D74" i="170"/>
  <c r="D75" i="170" s="1"/>
  <c r="D74" i="100"/>
  <c r="D75" i="100" s="1"/>
  <c r="E58" i="119"/>
  <c r="E73" i="134"/>
  <c r="E74" i="134" s="1"/>
  <c r="E75" i="134" s="1"/>
  <c r="E73" i="153"/>
  <c r="E74" i="153" s="1"/>
  <c r="E75" i="153" s="1"/>
  <c r="E73" i="73"/>
  <c r="E74" i="73" s="1"/>
  <c r="E76" i="73" s="1"/>
  <c r="E73" i="70"/>
  <c r="E74" i="70" s="1"/>
  <c r="E76" i="70" s="1"/>
  <c r="E58" i="202"/>
  <c r="D74" i="202"/>
  <c r="D75" i="202" s="1"/>
  <c r="E58" i="201"/>
  <c r="D74" i="201"/>
  <c r="D75" i="201" s="1"/>
  <c r="E58" i="205"/>
  <c r="D74" i="205"/>
  <c r="D75" i="205" s="1"/>
  <c r="E58" i="209"/>
  <c r="D74" i="209"/>
  <c r="D75" i="209" s="1"/>
  <c r="E58" i="212"/>
  <c r="D74" i="212"/>
  <c r="D75" i="212" s="1"/>
  <c r="D74" i="216"/>
  <c r="D75" i="216" s="1"/>
  <c r="E58" i="216"/>
  <c r="E41" i="88"/>
  <c r="K21" i="88" s="1"/>
  <c r="E73" i="20"/>
  <c r="E74" i="20" s="1"/>
  <c r="E75" i="20" s="1"/>
  <c r="E73" i="143"/>
  <c r="E73" i="55"/>
  <c r="E73" i="72"/>
  <c r="E74" i="72" s="1"/>
  <c r="E76" i="72" s="1"/>
  <c r="E58" i="191"/>
  <c r="D74" i="191"/>
  <c r="D75" i="191" s="1"/>
  <c r="E58" i="26"/>
  <c r="D74" i="26"/>
  <c r="D75" i="26" s="1"/>
  <c r="E58" i="64"/>
  <c r="D74" i="64"/>
  <c r="D75" i="64" s="1"/>
  <c r="E58" i="141"/>
  <c r="D74" i="141"/>
  <c r="D75" i="141" s="1"/>
  <c r="E58" i="46"/>
  <c r="D74" i="46"/>
  <c r="D75" i="46" s="1"/>
  <c r="E58" i="164"/>
  <c r="D74" i="164"/>
  <c r="D75" i="164" s="1"/>
  <c r="E58" i="161"/>
  <c r="D74" i="161"/>
  <c r="D75" i="161" s="1"/>
  <c r="D74" i="204"/>
  <c r="D75" i="204" s="1"/>
  <c r="D74" i="213"/>
  <c r="D75" i="213" s="1"/>
  <c r="D74" i="94"/>
  <c r="E71" i="67"/>
  <c r="E73" i="110"/>
  <c r="E74" i="110" s="1"/>
  <c r="E75" i="110" s="1"/>
  <c r="E73" i="90"/>
  <c r="E74" i="90" s="1"/>
  <c r="E75" i="90" s="1"/>
  <c r="E73" i="74"/>
  <c r="E74" i="74" s="1"/>
  <c r="E76" i="74" s="1"/>
  <c r="E73" i="196"/>
  <c r="E74" i="196" s="1"/>
  <c r="E75" i="196" s="1"/>
  <c r="E41" i="151"/>
  <c r="K21" i="151" s="1"/>
  <c r="D58" i="12"/>
  <c r="D74" i="12" s="1"/>
  <c r="D76" i="12" s="1"/>
  <c r="E74" i="12"/>
  <c r="E76" i="12" s="1"/>
  <c r="D74" i="79"/>
  <c r="D75" i="79" s="1"/>
  <c r="E58" i="78" l="1"/>
  <c r="E74" i="78" s="1"/>
  <c r="E75" i="78" s="1"/>
  <c r="E69" i="78"/>
  <c r="E73" i="78"/>
  <c r="E73" i="16"/>
  <c r="E73" i="1"/>
  <c r="D58" i="217"/>
  <c r="E71" i="84"/>
  <c r="E73" i="60"/>
  <c r="E69" i="60"/>
  <c r="E64" i="61"/>
  <c r="E69" i="58"/>
  <c r="E69" i="13"/>
  <c r="E73" i="13"/>
  <c r="D74" i="62"/>
  <c r="D75" i="62" s="1"/>
  <c r="E58" i="62"/>
  <c r="D74" i="40"/>
  <c r="D75" i="40" s="1"/>
  <c r="E58" i="40"/>
  <c r="E58" i="187"/>
  <c r="D74" i="187"/>
  <c r="D75" i="187" s="1"/>
  <c r="E64" i="175"/>
  <c r="E74" i="175"/>
  <c r="E75" i="175" s="1"/>
  <c r="D74" i="140"/>
  <c r="D75" i="140" s="1"/>
  <c r="E58" i="140"/>
  <c r="D74" i="113"/>
  <c r="D75" i="113" s="1"/>
  <c r="E58" i="113"/>
  <c r="E64" i="145"/>
  <c r="E74" i="145"/>
  <c r="E75" i="145" s="1"/>
  <c r="E58" i="144"/>
  <c r="D74" i="144"/>
  <c r="D75" i="144" s="1"/>
  <c r="E64" i="100"/>
  <c r="E74" i="100"/>
  <c r="E75" i="100" s="1"/>
  <c r="D74" i="39"/>
  <c r="D75" i="39" s="1"/>
  <c r="E58" i="39"/>
  <c r="D74" i="130"/>
  <c r="D75" i="130" s="1"/>
  <c r="E58" i="130"/>
  <c r="E58" i="23"/>
  <c r="E64" i="23" s="1"/>
  <c r="E58" i="38"/>
  <c r="D74" i="38"/>
  <c r="D75" i="38" s="1"/>
  <c r="D74" i="166"/>
  <c r="D75" i="166" s="1"/>
  <c r="E58" i="166"/>
  <c r="E58" i="168"/>
  <c r="D74" i="168"/>
  <c r="D75" i="168" s="1"/>
  <c r="D74" i="193"/>
  <c r="D75" i="193" s="1"/>
  <c r="D74" i="92"/>
  <c r="D75" i="92" s="1"/>
  <c r="E58" i="92"/>
  <c r="D74" i="137"/>
  <c r="D75" i="137" s="1"/>
  <c r="E58" i="137"/>
  <c r="E58" i="138"/>
  <c r="D74" i="138"/>
  <c r="D75" i="138" s="1"/>
  <c r="D74" i="76"/>
  <c r="D75" i="76" s="1"/>
  <c r="E58" i="115"/>
  <c r="D74" i="115"/>
  <c r="D75" i="115" s="1"/>
  <c r="E64" i="77"/>
  <c r="E74" i="77"/>
  <c r="E75" i="77" s="1"/>
  <c r="E58" i="149"/>
  <c r="D74" i="149"/>
  <c r="D76" i="149" s="1"/>
  <c r="D74" i="56"/>
  <c r="D75" i="56" s="1"/>
  <c r="E58" i="56"/>
  <c r="E58" i="43"/>
  <c r="D74" i="43"/>
  <c r="D75" i="43" s="1"/>
  <c r="D74" i="124"/>
  <c r="D75" i="124" s="1"/>
  <c r="E58" i="124"/>
  <c r="E58" i="34"/>
  <c r="D74" i="34"/>
  <c r="D75" i="34" s="1"/>
  <c r="E58" i="123"/>
  <c r="D74" i="123"/>
  <c r="D75" i="123" s="1"/>
  <c r="D74" i="106"/>
  <c r="D75" i="106" s="1"/>
  <c r="E58" i="106"/>
  <c r="E58" i="107"/>
  <c r="D74" i="107"/>
  <c r="D76" i="107" s="1"/>
  <c r="E58" i="151"/>
  <c r="D74" i="151"/>
  <c r="D76" i="151" s="1"/>
  <c r="E58" i="96"/>
  <c r="D74" i="96"/>
  <c r="D76" i="96" s="1"/>
  <c r="D74" i="14"/>
  <c r="D75" i="14" s="1"/>
  <c r="E72" i="84"/>
  <c r="E64" i="84"/>
  <c r="E58" i="60"/>
  <c r="E73" i="61"/>
  <c r="E74" i="61" s="1"/>
  <c r="E75" i="61" s="1"/>
  <c r="E58" i="61"/>
  <c r="E58" i="58"/>
  <c r="E58" i="13"/>
  <c r="E64" i="13"/>
  <c r="E73" i="94"/>
  <c r="E64" i="79"/>
  <c r="E73" i="79"/>
  <c r="E69" i="79"/>
  <c r="E72" i="79"/>
  <c r="E64" i="58"/>
  <c r="E71" i="94"/>
  <c r="E58" i="27"/>
  <c r="E74" i="199"/>
  <c r="E75" i="199" s="1"/>
  <c r="D74" i="1"/>
  <c r="D75" i="1" s="1"/>
  <c r="E58" i="94"/>
  <c r="D74" i="29"/>
  <c r="D75" i="29" s="1"/>
  <c r="E74" i="55"/>
  <c r="E75" i="55" s="1"/>
  <c r="D74" i="210"/>
  <c r="D75" i="210" s="1"/>
  <c r="E69" i="94"/>
  <c r="E74" i="143"/>
  <c r="E75" i="143" s="1"/>
  <c r="E58" i="147"/>
  <c r="D74" i="169"/>
  <c r="D75" i="169" s="1"/>
  <c r="E69" i="61"/>
  <c r="E64" i="60"/>
  <c r="D74" i="128"/>
  <c r="D75" i="128" s="1"/>
  <c r="E64" i="94"/>
  <c r="E72" i="61"/>
  <c r="E64" i="63"/>
  <c r="E74" i="63"/>
  <c r="E75" i="63" s="1"/>
  <c r="E72" i="94"/>
  <c r="E74" i="94" s="1"/>
  <c r="E41" i="1"/>
  <c r="K21" i="1" s="1"/>
  <c r="D75" i="23"/>
  <c r="E74" i="23"/>
  <c r="E75" i="23" s="1"/>
  <c r="D74" i="41"/>
  <c r="D75" i="41" s="1"/>
  <c r="E58" i="41"/>
  <c r="E58" i="101"/>
  <c r="D74" i="101"/>
  <c r="D75" i="101" s="1"/>
  <c r="E58" i="173"/>
  <c r="D74" i="173"/>
  <c r="D75" i="173" s="1"/>
  <c r="E58" i="104"/>
  <c r="D74" i="104"/>
  <c r="D75" i="104" s="1"/>
  <c r="D74" i="57"/>
  <c r="D75" i="57" s="1"/>
  <c r="E58" i="57"/>
  <c r="D74" i="33"/>
  <c r="D75" i="33" s="1"/>
  <c r="E58" i="33"/>
  <c r="E73" i="48"/>
  <c r="E73" i="122"/>
  <c r="E69" i="122"/>
  <c r="E58" i="122"/>
  <c r="E72" i="122"/>
  <c r="E64" i="122"/>
  <c r="E74" i="17"/>
  <c r="E75" i="17" s="1"/>
  <c r="E69" i="16"/>
  <c r="E72" i="16"/>
  <c r="E64" i="16"/>
  <c r="E58" i="16"/>
  <c r="E58" i="11"/>
  <c r="E69" i="10"/>
  <c r="E74" i="5"/>
  <c r="E75" i="5" s="1"/>
  <c r="E74" i="4"/>
  <c r="E75" i="4" s="1"/>
  <c r="E69" i="1"/>
  <c r="E72" i="13"/>
  <c r="E72" i="1"/>
  <c r="E58" i="1"/>
  <c r="E59" i="1"/>
  <c r="E58" i="109"/>
  <c r="D74" i="109"/>
  <c r="D76" i="109" s="1"/>
  <c r="D74" i="159"/>
  <c r="D76" i="159" s="1"/>
  <c r="E58" i="159"/>
  <c r="D74" i="176"/>
  <c r="D76" i="176" s="1"/>
  <c r="E58" i="176"/>
  <c r="D74" i="135"/>
  <c r="D76" i="135" s="1"/>
  <c r="E58" i="135"/>
  <c r="D74" i="132"/>
  <c r="D76" i="132" s="1"/>
  <c r="E58" i="132"/>
  <c r="D74" i="133"/>
  <c r="D76" i="133" s="1"/>
  <c r="E58" i="133"/>
  <c r="D74" i="179"/>
  <c r="D76" i="179" s="1"/>
  <c r="E58" i="179"/>
  <c r="D74" i="142"/>
  <c r="D76" i="142" s="1"/>
  <c r="E58" i="142"/>
  <c r="E58" i="85"/>
  <c r="D74" i="85"/>
  <c r="D75" i="85" s="1"/>
  <c r="E64" i="169"/>
  <c r="E74" i="169"/>
  <c r="E75" i="169" s="1"/>
  <c r="E58" i="47"/>
  <c r="D74" i="47"/>
  <c r="D75" i="47" s="1"/>
  <c r="E58" i="35"/>
  <c r="D74" i="35"/>
  <c r="D75" i="35" s="1"/>
  <c r="E58" i="186"/>
  <c r="D74" i="186"/>
  <c r="D75" i="186" s="1"/>
  <c r="E58" i="148"/>
  <c r="D74" i="148"/>
  <c r="D76" i="148" s="1"/>
  <c r="E58" i="152"/>
  <c r="D74" i="152"/>
  <c r="D76" i="152" s="1"/>
  <c r="D74" i="197"/>
  <c r="D75" i="197" s="1"/>
  <c r="E58" i="197"/>
  <c r="E58" i="188"/>
  <c r="D74" i="188"/>
  <c r="D75" i="188" s="1"/>
  <c r="E58" i="83"/>
  <c r="E74" i="83" s="1"/>
  <c r="E75" i="83" s="1"/>
  <c r="E58" i="48"/>
  <c r="E64" i="48" s="1"/>
  <c r="E73" i="84"/>
  <c r="E58" i="84"/>
  <c r="E69" i="84"/>
  <c r="E72" i="60"/>
  <c r="E72" i="58"/>
  <c r="E73" i="58"/>
  <c r="E58" i="9"/>
  <c r="E74" i="9" s="1"/>
  <c r="E75" i="9" s="1"/>
  <c r="E71" i="8"/>
  <c r="E73" i="8"/>
  <c r="E64" i="8"/>
  <c r="E58" i="8"/>
  <c r="D58" i="7"/>
  <c r="E64" i="7"/>
  <c r="E64" i="108"/>
  <c r="E74" i="108"/>
  <c r="E76" i="108" s="1"/>
  <c r="E64" i="215"/>
  <c r="E74" i="215"/>
  <c r="E75" i="215" s="1"/>
  <c r="E74" i="146"/>
  <c r="E76" i="146" s="1"/>
  <c r="E64" i="146"/>
  <c r="E64" i="118"/>
  <c r="E74" i="118"/>
  <c r="E75" i="118" s="1"/>
  <c r="E64" i="89"/>
  <c r="E74" i="89"/>
  <c r="E75" i="89" s="1"/>
  <c r="E64" i="88"/>
  <c r="E74" i="88"/>
  <c r="E75" i="88" s="1"/>
  <c r="E64" i="114"/>
  <c r="E74" i="114"/>
  <c r="E75" i="114" s="1"/>
  <c r="E64" i="76"/>
  <c r="E74" i="76"/>
  <c r="E75" i="76" s="1"/>
  <c r="E64" i="36"/>
  <c r="E74" i="36"/>
  <c r="E75" i="36" s="1"/>
  <c r="E64" i="27"/>
  <c r="E74" i="27"/>
  <c r="E76" i="27" s="1"/>
  <c r="E64" i="24"/>
  <c r="E74" i="24"/>
  <c r="E76" i="24" s="1"/>
  <c r="E64" i="189"/>
  <c r="E74" i="189"/>
  <c r="E75" i="189" s="1"/>
  <c r="E64" i="112"/>
  <c r="E74" i="112"/>
  <c r="E75" i="112" s="1"/>
  <c r="E74" i="156"/>
  <c r="E75" i="156" s="1"/>
  <c r="E64" i="156"/>
  <c r="E73" i="93"/>
  <c r="E74" i="93" s="1"/>
  <c r="E74" i="67"/>
  <c r="E75" i="67" s="1"/>
  <c r="E74" i="120"/>
  <c r="E75" i="120" s="1"/>
  <c r="E69" i="121"/>
  <c r="E73" i="121"/>
  <c r="E58" i="121"/>
  <c r="E64" i="121"/>
  <c r="E74" i="79"/>
  <c r="E75" i="79" s="1"/>
  <c r="E74" i="81"/>
  <c r="E75" i="81" s="1"/>
  <c r="E69" i="11"/>
  <c r="E73" i="11"/>
  <c r="E64" i="11"/>
  <c r="E72" i="11"/>
  <c r="E72" i="10"/>
  <c r="E73" i="10"/>
  <c r="E64" i="10"/>
  <c r="E58" i="10"/>
  <c r="E74" i="194"/>
  <c r="E75" i="194" s="1"/>
  <c r="E74" i="209"/>
  <c r="E75" i="209" s="1"/>
  <c r="E64" i="209"/>
  <c r="E64" i="102"/>
  <c r="E74" i="102"/>
  <c r="E75" i="102" s="1"/>
  <c r="E64" i="26"/>
  <c r="E74" i="26"/>
  <c r="E75" i="26" s="1"/>
  <c r="E74" i="216"/>
  <c r="E75" i="216" s="1"/>
  <c r="E64" i="216"/>
  <c r="E74" i="103"/>
  <c r="E75" i="103" s="1"/>
  <c r="E64" i="103"/>
  <c r="E64" i="212"/>
  <c r="E74" i="212"/>
  <c r="E75" i="212" s="1"/>
  <c r="E74" i="202"/>
  <c r="E75" i="202" s="1"/>
  <c r="E64" i="202"/>
  <c r="E64" i="75"/>
  <c r="E74" i="75"/>
  <c r="E76" i="75" s="1"/>
  <c r="E64" i="129"/>
  <c r="E74" i="129"/>
  <c r="E75" i="129" s="1"/>
  <c r="E74" i="206"/>
  <c r="E75" i="206" s="1"/>
  <c r="E64" i="206"/>
  <c r="E74" i="30"/>
  <c r="E75" i="30" s="1"/>
  <c r="E64" i="30"/>
  <c r="E74" i="42"/>
  <c r="E75" i="42" s="1"/>
  <c r="E64" i="42"/>
  <c r="E64" i="83"/>
  <c r="E64" i="49"/>
  <c r="E74" i="49"/>
  <c r="E75" i="49" s="1"/>
  <c r="E74" i="69"/>
  <c r="E75" i="69" s="1"/>
  <c r="E64" i="29"/>
  <c r="E74" i="29"/>
  <c r="E75" i="29" s="1"/>
  <c r="E74" i="164"/>
  <c r="E75" i="164" s="1"/>
  <c r="E64" i="164"/>
  <c r="E64" i="141"/>
  <c r="E74" i="141"/>
  <c r="E75" i="141" s="1"/>
  <c r="E64" i="214"/>
  <c r="E74" i="214"/>
  <c r="E75" i="214" s="1"/>
  <c r="E74" i="174"/>
  <c r="E75" i="174" s="1"/>
  <c r="E64" i="174"/>
  <c r="E74" i="204"/>
  <c r="E75" i="204" s="1"/>
  <c r="E64" i="204"/>
  <c r="E74" i="205"/>
  <c r="E75" i="205" s="1"/>
  <c r="E64" i="205"/>
  <c r="E64" i="65"/>
  <c r="E74" i="65"/>
  <c r="E75" i="65" s="1"/>
  <c r="E74" i="211"/>
  <c r="E76" i="211" s="1"/>
  <c r="E64" i="211"/>
  <c r="E74" i="213"/>
  <c r="E75" i="213" s="1"/>
  <c r="E64" i="213"/>
  <c r="E64" i="161"/>
  <c r="E74" i="161"/>
  <c r="E75" i="161" s="1"/>
  <c r="E74" i="46"/>
  <c r="E75" i="46" s="1"/>
  <c r="E64" i="46"/>
  <c r="E64" i="64"/>
  <c r="E74" i="64"/>
  <c r="E75" i="64" s="1"/>
  <c r="E64" i="191"/>
  <c r="E74" i="191"/>
  <c r="E75" i="191" s="1"/>
  <c r="E64" i="119"/>
  <c r="E74" i="119"/>
  <c r="E75" i="119" s="1"/>
  <c r="E64" i="167"/>
  <c r="E74" i="167"/>
  <c r="E75" i="167" s="1"/>
  <c r="E74" i="165"/>
  <c r="E75" i="165" s="1"/>
  <c r="E64" i="165"/>
  <c r="E74" i="117"/>
  <c r="E75" i="117" s="1"/>
  <c r="E64" i="117"/>
  <c r="E64" i="210"/>
  <c r="E74" i="210"/>
  <c r="E75" i="210" s="1"/>
  <c r="E74" i="99"/>
  <c r="E75" i="99" s="1"/>
  <c r="E64" i="99"/>
  <c r="E74" i="200"/>
  <c r="E75" i="200" s="1"/>
  <c r="E64" i="200"/>
  <c r="E64" i="14"/>
  <c r="E74" i="14"/>
  <c r="E75" i="14" s="1"/>
  <c r="E74" i="28"/>
  <c r="E75" i="28" s="1"/>
  <c r="E64" i="28"/>
  <c r="E64" i="201"/>
  <c r="E74" i="201"/>
  <c r="E75" i="201" s="1"/>
  <c r="E64" i="147"/>
  <c r="E74" i="147"/>
  <c r="E76" i="147" s="1"/>
  <c r="E64" i="136"/>
  <c r="E74" i="136"/>
  <c r="E75" i="136" s="1"/>
  <c r="E74" i="195"/>
  <c r="E75" i="195" s="1"/>
  <c r="E64" i="195"/>
  <c r="E74" i="22"/>
  <c r="E75" i="22" s="1"/>
  <c r="E64" i="22"/>
  <c r="E64" i="198"/>
  <c r="E74" i="198"/>
  <c r="E75" i="198" s="1"/>
  <c r="E74" i="97"/>
  <c r="E75" i="97" s="1"/>
  <c r="E58" i="217" l="1"/>
  <c r="E74" i="217" s="1"/>
  <c r="E75" i="217" s="1"/>
  <c r="D74" i="217"/>
  <c r="D75" i="217" s="1"/>
  <c r="E64" i="62"/>
  <c r="E74" i="62"/>
  <c r="E75" i="62" s="1"/>
  <c r="E64" i="40"/>
  <c r="E74" i="40"/>
  <c r="E75" i="40" s="1"/>
  <c r="E64" i="187"/>
  <c r="E74" i="187"/>
  <c r="E75" i="187" s="1"/>
  <c r="E64" i="140"/>
  <c r="E74" i="140"/>
  <c r="E75" i="140" s="1"/>
  <c r="E64" i="113"/>
  <c r="E74" i="113"/>
  <c r="E75" i="113" s="1"/>
  <c r="E74" i="144"/>
  <c r="E75" i="144" s="1"/>
  <c r="E64" i="144"/>
  <c r="E64" i="39"/>
  <c r="E74" i="39"/>
  <c r="E75" i="39" s="1"/>
  <c r="E64" i="130"/>
  <c r="E74" i="130"/>
  <c r="E75" i="130" s="1"/>
  <c r="E64" i="38"/>
  <c r="E74" i="38"/>
  <c r="E75" i="38" s="1"/>
  <c r="E64" i="166"/>
  <c r="E74" i="166"/>
  <c r="E75" i="166" s="1"/>
  <c r="E74" i="168"/>
  <c r="E75" i="168" s="1"/>
  <c r="E64" i="168"/>
  <c r="E64" i="92"/>
  <c r="E74" i="92"/>
  <c r="E75" i="92" s="1"/>
  <c r="E64" i="137"/>
  <c r="E74" i="137"/>
  <c r="E75" i="137" s="1"/>
  <c r="E64" i="138"/>
  <c r="E74" i="138"/>
  <c r="E75" i="138" s="1"/>
  <c r="E64" i="115"/>
  <c r="E74" i="115"/>
  <c r="E75" i="115" s="1"/>
  <c r="E64" i="149"/>
  <c r="E74" i="149"/>
  <c r="E76" i="149" s="1"/>
  <c r="E64" i="56"/>
  <c r="E74" i="56"/>
  <c r="E75" i="56" s="1"/>
  <c r="E64" i="43"/>
  <c r="E74" i="43"/>
  <c r="E75" i="43" s="1"/>
  <c r="E64" i="124"/>
  <c r="E74" i="124"/>
  <c r="E75" i="124" s="1"/>
  <c r="E64" i="34"/>
  <c r="E74" i="34"/>
  <c r="E75" i="34" s="1"/>
  <c r="E64" i="123"/>
  <c r="E74" i="123"/>
  <c r="E75" i="123" s="1"/>
  <c r="E64" i="106"/>
  <c r="E74" i="106"/>
  <c r="E75" i="106" s="1"/>
  <c r="E64" i="107"/>
  <c r="E74" i="107"/>
  <c r="E76" i="107" s="1"/>
  <c r="E64" i="151"/>
  <c r="E74" i="151"/>
  <c r="E76" i="151" s="1"/>
  <c r="E74" i="96"/>
  <c r="E76" i="96" s="1"/>
  <c r="E64" i="96"/>
  <c r="E74" i="60"/>
  <c r="E75" i="60" s="1"/>
  <c r="E74" i="13"/>
  <c r="E75" i="13" s="1"/>
  <c r="E74" i="121"/>
  <c r="E75" i="121" s="1"/>
  <c r="E74" i="16"/>
  <c r="E75" i="16" s="1"/>
  <c r="E74" i="58"/>
  <c r="E75" i="58" s="1"/>
  <c r="E74" i="1"/>
  <c r="E75" i="1" s="1"/>
  <c r="E74" i="48"/>
  <c r="E75" i="48" s="1"/>
  <c r="E74" i="122"/>
  <c r="E75" i="122" s="1"/>
  <c r="E64" i="41"/>
  <c r="E74" i="41"/>
  <c r="E75" i="41" s="1"/>
  <c r="E64" i="101"/>
  <c r="E74" i="101"/>
  <c r="E75" i="101" s="1"/>
  <c r="E64" i="173"/>
  <c r="E74" i="173"/>
  <c r="E75" i="173" s="1"/>
  <c r="E64" i="104"/>
  <c r="E74" i="104"/>
  <c r="E75" i="104" s="1"/>
  <c r="E64" i="57"/>
  <c r="E74" i="57"/>
  <c r="E75" i="57" s="1"/>
  <c r="E64" i="33"/>
  <c r="E74" i="33"/>
  <c r="E75" i="33" s="1"/>
  <c r="E64" i="109"/>
  <c r="E74" i="109"/>
  <c r="E76" i="109" s="1"/>
  <c r="E64" i="159"/>
  <c r="E74" i="159"/>
  <c r="E76" i="159" s="1"/>
  <c r="E64" i="176"/>
  <c r="E74" i="176"/>
  <c r="E76" i="176" s="1"/>
  <c r="E64" i="135"/>
  <c r="E74" i="135"/>
  <c r="E76" i="135" s="1"/>
  <c r="E64" i="132"/>
  <c r="E74" i="132"/>
  <c r="E76" i="132" s="1"/>
  <c r="E64" i="133"/>
  <c r="E74" i="133"/>
  <c r="E76" i="133" s="1"/>
  <c r="E64" i="179"/>
  <c r="E74" i="179"/>
  <c r="E76" i="179" s="1"/>
  <c r="E64" i="142"/>
  <c r="E74" i="142"/>
  <c r="E76" i="142" s="1"/>
  <c r="E64" i="85"/>
  <c r="E74" i="85"/>
  <c r="E75" i="85" s="1"/>
  <c r="E64" i="47"/>
  <c r="E74" i="47"/>
  <c r="E75" i="47" s="1"/>
  <c r="E64" i="35"/>
  <c r="E74" i="35"/>
  <c r="E75" i="35" s="1"/>
  <c r="E74" i="186"/>
  <c r="E75" i="186" s="1"/>
  <c r="E64" i="186"/>
  <c r="E64" i="148"/>
  <c r="E74" i="148"/>
  <c r="E76" i="148" s="1"/>
  <c r="E64" i="152"/>
  <c r="E74" i="152"/>
  <c r="E76" i="152" s="1"/>
  <c r="E74" i="197"/>
  <c r="E75" i="197" s="1"/>
  <c r="E64" i="197"/>
  <c r="E64" i="188"/>
  <c r="E74" i="188"/>
  <c r="E75" i="188" s="1"/>
  <c r="E74" i="84"/>
  <c r="E75" i="84" s="1"/>
  <c r="E74" i="8"/>
  <c r="E75" i="8" s="1"/>
  <c r="D74" i="7"/>
  <c r="E58" i="7"/>
  <c r="E74" i="7" s="1"/>
  <c r="E75" i="7" s="1"/>
  <c r="E74" i="11"/>
  <c r="E75" i="11" s="1"/>
  <c r="E74" i="10"/>
  <c r="E75" i="10" s="1"/>
  <c r="D75" i="7" l="1"/>
</calcChain>
</file>

<file path=xl/sharedStrings.xml><?xml version="1.0" encoding="utf-8"?>
<sst xmlns="http://schemas.openxmlformats.org/spreadsheetml/2006/main" count="23177" uniqueCount="274">
  <si>
    <t>PÓŁROCZNE SPRAWOZDANIE UBEZPIECZENIOWEGO FUNDUSZU KAPITAŁOWEGO</t>
  </si>
  <si>
    <t>TOWARZYSTWO UBEZPIECZEŃ  ALLIANZ ŻYCIE POLSKA S.A.</t>
  </si>
  <si>
    <t>(w zł)</t>
  </si>
  <si>
    <t xml:space="preserve">I.  </t>
  </si>
  <si>
    <t>1.</t>
  </si>
  <si>
    <t>lokaty</t>
  </si>
  <si>
    <t>2.</t>
  </si>
  <si>
    <t>środki pieniężne</t>
  </si>
  <si>
    <t>3.</t>
  </si>
  <si>
    <t>4.</t>
  </si>
  <si>
    <t>należności</t>
  </si>
  <si>
    <t>z tytułu transakcji zawartych na rynku finansowym</t>
  </si>
  <si>
    <t>pozostałe</t>
  </si>
  <si>
    <t xml:space="preserve">II.  </t>
  </si>
  <si>
    <t xml:space="preserve">pozostałe </t>
  </si>
  <si>
    <t>A.</t>
  </si>
  <si>
    <t>Aktywa netto funduszu na początek okresu sprawozdawczego</t>
  </si>
  <si>
    <t>B.</t>
  </si>
  <si>
    <t>I.</t>
  </si>
  <si>
    <t>Zwiększenia funduszu</t>
  </si>
  <si>
    <t>tytułem składek zwiększających wartość funduszu</t>
  </si>
  <si>
    <t>pozostałe przychody</t>
  </si>
  <si>
    <t>pozostałe zwiększenia</t>
  </si>
  <si>
    <t>II.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</si>
  <si>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</si>
  <si>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</si>
  <si>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</si>
  <si>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</si>
  <si>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</si>
  <si>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</si>
  <si>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</si>
  <si>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</si>
  <si>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</si>
  <si>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</si>
  <si>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</si>
  <si>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</si>
  <si>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 xml:space="preserve">Wynik netto z działalności inwestycyjnej </t>
  </si>
  <si>
    <t>D.</t>
  </si>
  <si>
    <t>Aktywa netto funduszu na koniec okresu sprawozdawczego</t>
  </si>
  <si>
    <t>Pozycja</t>
  </si>
  <si>
    <t>na początek okresu sprawozdawczego</t>
  </si>
  <si>
    <t>na koniec okresu sprawozdawczego</t>
  </si>
  <si>
    <t xml:space="preserve">LOKATY </t>
  </si>
  <si>
    <t>Lokaty (suma 1-12)</t>
  </si>
  <si>
    <t>papiery wartościowe emitowane, poręczone lub gwarantowane przez Skarb Państwa lub organizacje międzynarodowe, których członkiem jest Rzeczpospolita Polska</t>
  </si>
  <si>
    <t>obligacje emitowane lub poręczone przez jednostki samorządu terytorialnego lub związki jednostek samorządu terytorialnego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</si>
  <si>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</si>
  <si>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</si>
  <si>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</si>
  <si>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</si>
  <si>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</si>
  <si>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</si>
  <si>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</si>
  <si>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</si>
  <si>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</si>
  <si>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</si>
  <si>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</si>
  <si>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</si>
  <si>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</si>
  <si>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</si>
  <si>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III.</t>
  </si>
  <si>
    <t>Środki pieniężne</t>
  </si>
  <si>
    <t>IV.</t>
  </si>
  <si>
    <t>Należności</t>
  </si>
  <si>
    <t>V.</t>
  </si>
  <si>
    <t>Zobowiązania</t>
  </si>
  <si>
    <t>Aktywa netto (w tym)</t>
  </si>
  <si>
    <t>krajowe</t>
  </si>
  <si>
    <t>Fundusz Konserwatywny</t>
  </si>
  <si>
    <t>Fundusz Zrównoważony</t>
  </si>
  <si>
    <t>Fundusz Aktywny</t>
  </si>
  <si>
    <t>Fundusz Międzynarodowy</t>
  </si>
  <si>
    <t>Fundusz Azjatycki</t>
  </si>
  <si>
    <t>Aktywny - Surowce i Nowe Gospodarki</t>
  </si>
  <si>
    <t>Zabezpieczony - Rynku Polskiego</t>
  </si>
  <si>
    <t>Zabezpieczony - Europy Wschodniej</t>
  </si>
  <si>
    <t>Zabezpieczony - Dalekiego Wschodu</t>
  </si>
  <si>
    <t>Millenium Master I</t>
  </si>
  <si>
    <t>Millenium Master II</t>
  </si>
  <si>
    <t>Millenium Master III</t>
  </si>
  <si>
    <t>Millenium Master IV</t>
  </si>
  <si>
    <t>Millenium Master V</t>
  </si>
  <si>
    <t>Millenium Master VI</t>
  </si>
  <si>
    <t>Millenium Master VII</t>
  </si>
  <si>
    <t>Fundusz Gwarantowany</t>
  </si>
  <si>
    <t>Fundusz Stabilnego Wzrostu</t>
  </si>
  <si>
    <t>Fundusz Dynamiczny</t>
  </si>
  <si>
    <t>Fundusz Aktywnej Alokacji</t>
  </si>
  <si>
    <t>Fundusz Akcji Plus</t>
  </si>
  <si>
    <t>Fundusz Akcji Małych i Średnich Spółek</t>
  </si>
  <si>
    <t>Fundusz Selektywny</t>
  </si>
  <si>
    <t>Fundusz Polskich Obligacji Skarbowych</t>
  </si>
  <si>
    <t>Portfel Stabilnego Wzrostu</t>
  </si>
  <si>
    <t>INFORMACJE DODATKOWE</t>
  </si>
  <si>
    <t xml:space="preserve">DO SPRAWOZDANIA PÓŁROCZNEGO </t>
  </si>
  <si>
    <t>FUNDUSZY KAPITAŁOWYCH</t>
  </si>
  <si>
    <t>TU ALLIANZ ŻYCIE POLSKA  S.A.</t>
  </si>
  <si>
    <t xml:space="preserve">Przypis składki brutto </t>
  </si>
  <si>
    <t xml:space="preserve">Potrącenia/ opłaty </t>
  </si>
  <si>
    <t xml:space="preserve">Składka netto </t>
  </si>
  <si>
    <t>Fundusz Pieniężny</t>
  </si>
  <si>
    <t>Strategii MultiObligacyjnych</t>
  </si>
  <si>
    <t xml:space="preserve"> Portfel Akcji Rynków Rozwiniętych</t>
  </si>
  <si>
    <t>Portfel Akcji Rynków Wschodzących</t>
  </si>
  <si>
    <t>Portfel Obligacji Zagranicznych</t>
  </si>
  <si>
    <t>Fundusz Akcji Globalnych</t>
  </si>
  <si>
    <t>Fundusz Obligacji Globalnych</t>
  </si>
  <si>
    <t>Allianz FIO Akcji</t>
  </si>
  <si>
    <t>Allianz FIO Aktywnej Alokacji</t>
  </si>
  <si>
    <t>Allianz FIO Akcji Małych i Średnich Spółek</t>
  </si>
  <si>
    <t>Allianz FIO Obligacji Plus</t>
  </si>
  <si>
    <t>Allianz FIO Selektywny</t>
  </si>
  <si>
    <t>Allianz FIO Stabilnego Wzrostu</t>
  </si>
  <si>
    <t>Allianz FIO Polskich Obligacji Skarbowych</t>
  </si>
  <si>
    <t>Altus FIO Absolutnej Stopy Zwrotu Dłużny C</t>
  </si>
  <si>
    <t xml:space="preserve"> Aviva Investors FIO Dłużnych Papierów Korporacyjnych</t>
  </si>
  <si>
    <t xml:space="preserve"> Investor FIO Akcji </t>
  </si>
  <si>
    <t xml:space="preserve"> Investor SFIO Gold Otwarty</t>
  </si>
  <si>
    <t xml:space="preserve"> Investor FIO TOP 25 Małych Spółek</t>
  </si>
  <si>
    <t>Investor SFIO Ameryka Łacińska</t>
  </si>
  <si>
    <t xml:space="preserve"> Investor SFIO BRIC</t>
  </si>
  <si>
    <t xml:space="preserve"> Investor SFIO Indie i Chiny</t>
  </si>
  <si>
    <t xml:space="preserve"> Investor SFIO Turcja</t>
  </si>
  <si>
    <t xml:space="preserve"> Investor FIO Zrównoważony</t>
  </si>
  <si>
    <t xml:space="preserve"> Noble Fund FIO Akcji Małych i Średnich Spółek</t>
  </si>
  <si>
    <t xml:space="preserve"> Pioneer FIO Akcji Polskich</t>
  </si>
  <si>
    <t xml:space="preserve"> Pioneer FIO Dynamicznych Spółek</t>
  </si>
  <si>
    <t xml:space="preserve"> Pioneer FIO Obligacji Plus</t>
  </si>
  <si>
    <t xml:space="preserve"> Pioneer FIO Pieniężny </t>
  </si>
  <si>
    <t xml:space="preserve"> Pioneer FIO Pieniężny Plus</t>
  </si>
  <si>
    <t xml:space="preserve"> Pioneer FIO Stabilnego Inwestowania</t>
  </si>
  <si>
    <t>PKO FIO Akcji Nowa Europa</t>
  </si>
  <si>
    <t>PKO FIO Obligacji Długoterminowych</t>
  </si>
  <si>
    <t xml:space="preserve"> PZU FIO Akcji Małych i Średnich Spółek</t>
  </si>
  <si>
    <t xml:space="preserve"> PZU SFIO GI Akcji Rynków Rozwiniętych</t>
  </si>
  <si>
    <t xml:space="preserve"> PZU FIO Energia Medycyna Ekologia</t>
  </si>
  <si>
    <t>PZU FIO Zrównoważony</t>
  </si>
  <si>
    <t xml:space="preserve"> Skarbiec FIO Lokacyjny</t>
  </si>
  <si>
    <t xml:space="preserve"> Skarbiec FIO Spółek Wzrostowych</t>
  </si>
  <si>
    <t>UniFundusze FIO UniKorona Akcje</t>
  </si>
  <si>
    <t>UniFundusze FIO UniAkcje Małych i Średnich Spółek</t>
  </si>
  <si>
    <t xml:space="preserve"> UniFundusze FIO UniStabilny Wzrost</t>
  </si>
  <si>
    <t>UniFundusze FIO UniKorona Pieniężny</t>
  </si>
  <si>
    <t>UniFundusze FIO UniKorona Zrównoważony</t>
  </si>
  <si>
    <t>UniFundusze FIO UniKorona Obligacje</t>
  </si>
  <si>
    <t>UniFundusze FIO UniAkcje Wzrostu</t>
  </si>
  <si>
    <t>UniFundusze FIO UniLokata</t>
  </si>
  <si>
    <t>Schroder ISF EURO Equity Hedged A1 (Acc) (PLN)</t>
  </si>
  <si>
    <t>Schroder ISF Frontier Markets Equity Hedged A1 (Acc) (PLN)</t>
  </si>
  <si>
    <t>Schroder ISF Global Diversified Growth Hedged A1 (Acc) (PLN)</t>
  </si>
  <si>
    <t>Schroder ISF Global High Income Bond Hedged A1 (Acc) (PLN)</t>
  </si>
  <si>
    <t>Schroder ISF Asian Convertible Bond Hedged A1 (Acc) (PLN)</t>
  </si>
  <si>
    <t>Schroder ISF Emerging Markets Debt Absolute Return Hedged A1 (Acc) (PLN)</t>
  </si>
  <si>
    <t xml:space="preserve"> Franklin U.S. Opportunities Fund N Hedged (Acc) (PLN)</t>
  </si>
  <si>
    <t>Franklin Global Fundamental Strategies Fund N Hedged (Acc) (PLN)</t>
  </si>
  <si>
    <t>Franklin Natural Resources Fund N Hedged (Acc) (PLN)</t>
  </si>
  <si>
    <t>Franklin European Dividend Fund N Hedged (Acc) (PLN)</t>
  </si>
  <si>
    <t xml:space="preserve"> Templeton Global Bond Fund N Hedged (Acc) (PLN)</t>
  </si>
  <si>
    <t xml:space="preserve"> Templeton Global Total Return Fund A Hedged (Acc) (PLN)</t>
  </si>
  <si>
    <t xml:space="preserve"> Templeton Asian Growth Fund N Hedged (Acc) (PLN)</t>
  </si>
  <si>
    <t>Quercus SFIO Agresywny</t>
  </si>
  <si>
    <t>Quercus SFIO Short</t>
  </si>
  <si>
    <t>Quercus SFIO Stabilny</t>
  </si>
  <si>
    <t>Quercus SFIO Ochrony Kapitału</t>
  </si>
  <si>
    <t>Quercus SFIO LEV</t>
  </si>
  <si>
    <t>Quercus SFIO Rosja</t>
  </si>
  <si>
    <t>Quercus SFIO Selektywny</t>
  </si>
  <si>
    <t>Quercus SFIO Turcja</t>
  </si>
  <si>
    <t xml:space="preserve"> Pioneer FG SFIO Surowców i Energii</t>
  </si>
  <si>
    <t xml:space="preserve"> Pioneer FG SFIO Obligacji Strategicznych</t>
  </si>
  <si>
    <t xml:space="preserve"> Pioneer FG SFIO Akcji Rynków Wschodzących</t>
  </si>
  <si>
    <t xml:space="preserve"> Indeks Polisa 2</t>
  </si>
  <si>
    <t>JPM Emerging Markets Opportunities D (Acc) (PLN)</t>
  </si>
  <si>
    <t>JPM Global Healthcare D Hedged (Acc) (PLN)</t>
  </si>
  <si>
    <t>Fundusz Obligacji Plus</t>
  </si>
  <si>
    <t>UniFundusze FIO UniAkcje Nowa Europa</t>
  </si>
  <si>
    <t xml:space="preserve"> Aviva Investors FIO Małych Spółek</t>
  </si>
  <si>
    <t>NN FIO Subfundusz Akcji Środkowoeuropejskich</t>
  </si>
  <si>
    <t>NN FIO Subfundusz Średnich i Małych Spółek</t>
  </si>
  <si>
    <t xml:space="preserve"> Noble Funds FIO Subfundusz Noble Fund Akcji</t>
  </si>
  <si>
    <t xml:space="preserve"> Pioneer PW FIO Subf. Pioneer Akcji Amerykańskich</t>
  </si>
  <si>
    <t xml:space="preserve"> Pioneer PW FIO Subf. Pioneer Akcji Europejskich</t>
  </si>
  <si>
    <t xml:space="preserve"> Pioneer FG SFIO Alternatywny - Globalnego Dochodu</t>
  </si>
  <si>
    <t xml:space="preserve"> Pioneer FG SFIO Pioneer Gotówkowy</t>
  </si>
  <si>
    <t xml:space="preserve"> Pioneer FG SFIO Subf. Pioneer Wzrostu i Dochodu Rynku Europejskiego</t>
  </si>
  <si>
    <t xml:space="preserve"> Pioneer FIO Subf. Pioneer Obligacji - Dynamiczna Alokacja 2</t>
  </si>
  <si>
    <t xml:space="preserve"> Pioneer SF SFIO Subf. Pioneer Strategii Globalnej</t>
  </si>
  <si>
    <t>PZU Akcji Spółek Dywidendowych</t>
  </si>
  <si>
    <t xml:space="preserve"> Skarbiec FIO Małych i Średnich Spółek</t>
  </si>
  <si>
    <t xml:space="preserve"> Skarbiec FIO Subfundusz Skarbiec Market Neutral</t>
  </si>
  <si>
    <t>UniFundusze FIO UniObligacje Nowa Europa</t>
  </si>
  <si>
    <t>UniFundusze FIO Subfundusz UniAkcje Dywidendowy</t>
  </si>
  <si>
    <t xml:space="preserve">Schroder ISF Asian Opportunities PLN Hedged </t>
  </si>
  <si>
    <t>JPM Global Strategic Bond D Hedged (Acc) (PLN)</t>
  </si>
  <si>
    <t xml:space="preserve"> Templeton Latin America Fund PLN Hedged</t>
  </si>
  <si>
    <t>UniFundusze SFIO UniObligacje Aktywny</t>
  </si>
  <si>
    <t>NN FIO Akcji</t>
  </si>
  <si>
    <t>NN FIO Obligacji</t>
  </si>
  <si>
    <t>NN SFIO (L) Spółek Dywidendowych USA</t>
  </si>
  <si>
    <t>NN SFIO (L) Globalny Długu Korporacyjnego</t>
  </si>
  <si>
    <t>NN SFIO (L) Globalny Spółek Dywidendowych</t>
  </si>
  <si>
    <t>NN SFIO (L) Europejski Spółek Dywidendowych</t>
  </si>
  <si>
    <t xml:space="preserve">NN SFIO (L) Japonia </t>
  </si>
  <si>
    <t xml:space="preserve">NN SFIO (L) Obligacji Rynków Wschodzących WL </t>
  </si>
  <si>
    <t>NN SFIO (L) Nowej Azji</t>
  </si>
  <si>
    <t>Allianz FIO Akcji Globalnych</t>
  </si>
  <si>
    <t xml:space="preserve"> Investor SFIO Gotówkowy</t>
  </si>
  <si>
    <t xml:space="preserve"> Pioneer FIO Subf. Pioneer Akcji - Aktywna Selekcja</t>
  </si>
  <si>
    <t>UniFundusze SFIO Subf. UniObligacje Zamienne</t>
  </si>
  <si>
    <t>WARTOŚĆ AKTYWÓW NETTO FUNDUSZU</t>
  </si>
  <si>
    <t xml:space="preserve">II. </t>
  </si>
  <si>
    <t>ZMIANY WARTOŚCI AKTYWÓW NETTO FUNDUSZU</t>
  </si>
  <si>
    <t>3.1.</t>
  </si>
  <si>
    <t>3.2.</t>
  </si>
  <si>
    <t>wobec ubezpieczających, ubezpieczonych lub uprawnionych z umów ubezpieczenia</t>
  </si>
  <si>
    <t>Aktywa</t>
  </si>
  <si>
    <t>III.  Aktywa netto (I-II)</t>
  </si>
  <si>
    <t>Wynik netto z działalności operacyjnej (I-II)</t>
  </si>
  <si>
    <t>Liczba jednostek uczestnictwa funduszu:</t>
  </si>
  <si>
    <t>Wartość jednostki uczestnictwa funduszu:</t>
  </si>
  <si>
    <t>minimalna wartość jednostki uczestnictwa funduszu w okresie sprawozdawczym</t>
  </si>
  <si>
    <t>maksymalna wartość jednostki uczestnictwa funduszu w okresie sprawozdawczym</t>
  </si>
  <si>
    <t xml:space="preserve">     ZESTAWIENIE AKTYWÓW NETTO FUNDUSZU</t>
  </si>
  <si>
    <t>Udział w aktywach       netto funduszu (w %)</t>
  </si>
  <si>
    <t>instrumenty pochodne</t>
  </si>
  <si>
    <t>zagraniczne - państwa UE</t>
  </si>
  <si>
    <t>zagraniczne - państwa poza UE</t>
  </si>
  <si>
    <t>Portfel Aktywnej Alokacji</t>
  </si>
  <si>
    <t>Portfel Dynamiczny</t>
  </si>
  <si>
    <t>Allianz Pieniężny</t>
  </si>
  <si>
    <t xml:space="preserve">Skarbiec FIO Kasa </t>
  </si>
  <si>
    <t>Allianz FIO Surowców i Energii</t>
  </si>
  <si>
    <t>Allianz Dynamiczna Multistrategia SFIO</t>
  </si>
  <si>
    <t>Allianz Globalny Stabilnego Dochodu SFIO</t>
  </si>
  <si>
    <t>Allianz FIO Subfundusz Allianz Obligacji Globalnych</t>
  </si>
  <si>
    <t>Altus FIO Absolutnej Stopy Zwrotu Rynku Polskiego C</t>
  </si>
  <si>
    <t xml:space="preserve"> PKO Parasolowy FIO Subf. Stabilnego Wzrostu </t>
  </si>
  <si>
    <t>PKO Parasolowy FIO Subf. Zrównoważony</t>
  </si>
  <si>
    <t xml:space="preserve"> Investor FIO Płynna Lokata</t>
  </si>
  <si>
    <t xml:space="preserve"> Investor FIO Zabezpieczenia Emerytalnego</t>
  </si>
  <si>
    <t xml:space="preserve"> PZU FIO Papierów Dłużnych Polonez FIO Parasolowy</t>
  </si>
  <si>
    <t xml:space="preserve"> PZU FIO Parasolowy PZU Sejf+</t>
  </si>
  <si>
    <t xml:space="preserve"> Ipopema SFIO Akcji kat. B</t>
  </si>
  <si>
    <t>LICZBA I WARTOŚĆ JEDNOSTEK ROZRACHUNKOWYCH uczestnictwa funduszu</t>
  </si>
  <si>
    <t>Wartość bilansowa (w zł)</t>
  </si>
  <si>
    <t>31-12-2016</t>
  </si>
  <si>
    <t>-</t>
  </si>
  <si>
    <t>Allianz Defensywna Multistrategia SFIO</t>
  </si>
  <si>
    <t>GS Emerging Markets Debt Portfolio A (Acc) (PLN) (Hedged)</t>
  </si>
  <si>
    <t xml:space="preserve"> Investor FIO Akcji Spółek Dywidendowych</t>
  </si>
  <si>
    <t xml:space="preserve"> Investor SFIO Obligacji Korporacyjnych</t>
  </si>
  <si>
    <t>Pioneer Akcji MiŚS Rynków Rozwiniętych FG SFIO</t>
  </si>
  <si>
    <t>PZU FIO Akcji Krakowiak</t>
  </si>
  <si>
    <t xml:space="preserve"> Skarbiec Akcja (Skarbiec FIO)</t>
  </si>
  <si>
    <t xml:space="preserve"> Skarbiec FIO TOP Brands</t>
  </si>
  <si>
    <t>Portfel Strategicznej Alokacji</t>
  </si>
  <si>
    <t>Allianz Zbalansowana Multistrategia SFIO</t>
  </si>
  <si>
    <t>Portfel Obniżonego Ryzyka</t>
  </si>
  <si>
    <t>Fundusz Energetyczny</t>
  </si>
  <si>
    <t>NN SFIO Subfundusz Stabilny Globalnej Alokacji (L)</t>
  </si>
  <si>
    <t>NN SFIO Subf.Spółek Dywidendowych Rynków Wschodzących (L)</t>
  </si>
  <si>
    <t>GS Global Strategic Macro Bond Portfolio A (Acc) (PLN) (Hedged)</t>
  </si>
  <si>
    <t>ESALIENS FIO Akcji</t>
  </si>
  <si>
    <t>ESALIENS FIO Obligacji</t>
  </si>
  <si>
    <t>ESALIENS FIO Pieniężny</t>
  </si>
  <si>
    <t xml:space="preserve">ESALIENS FIO Strateg </t>
  </si>
  <si>
    <t>NN SFIO (L) Depozytowy</t>
  </si>
  <si>
    <t>Pioneer FG Obligacji i Dochodu SFIO</t>
  </si>
  <si>
    <t>31-12-2017</t>
  </si>
  <si>
    <t>Allianz Akcji Rynków Wschodzących SFIO</t>
  </si>
  <si>
    <t xml:space="preserve"> Investor FIO Akcji Spółek Wzrostowych</t>
  </si>
  <si>
    <t>JPM Global Markets Opportunities Fund D (PLN)</t>
  </si>
  <si>
    <t>SPORZĄDZONE NA DZIEŃ 31-12-2017</t>
  </si>
  <si>
    <t>NA DZIEŃ 31-12-2017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</si>
</sst>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z_ł_-;\-* #,##0.00\ _z_ł_-;_-* &quot;-&quot;??\ _z_ł_-;_-@_-"/>
    <numFmt numFmtId="164" formatCode="#,##0.0000"/>
    <numFmt numFmtId="165" formatCode="0.0000"/>
    <numFmt numFmtId="166" formatCode="_-* #,##0.0000\ _z_ł_-;\-* #,##0.0000\ _z_ł_-;_-* &quot;-&quot;????\ _z_ł_-;_-@_-"/>
    <numFmt numFmtId="167" formatCode="#,##0.0000_ ;\-#,##0.0000\ "/>
    <numFmt numFmtId="168" formatCode="0.000"/>
    <numFmt numFmtId="169" formatCode="#,##0.00000"/>
    <numFmt numFmtId="170" formatCode="#,##0.000000"/>
    <numFmt numFmtId="171" formatCode="0.000000"/>
    <numFmt numFmtId="172" formatCode="0.00000"/>
    <numFmt numFmtId="173" formatCode="#,##0.000000000"/>
  </numFmts>
  <fonts count="55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  <charset val="238"/>
    </font>
    <font>
      <sz val="10"/>
      <name val="MS Sans Serif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10"/>
      <color rgb="FF0070C0"/>
      <name val="Arial"/>
      <family val="2"/>
      <charset val="238"/>
    </font>
    <font>
      <sz val="10"/>
      <name val="Arial"/>
      <family val="2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21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21" borderId="4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0" borderId="0"/>
    <xf numFmtId="0" fontId="20" fillId="20" borderId="1" applyNumberFormat="0" applyAlignment="0" applyProtection="0"/>
    <xf numFmtId="9" fontId="1" fillId="0" borderId="0" applyFont="0" applyFill="0" applyBorder="0" applyAlignment="0" applyProtection="0"/>
    <xf numFmtId="0" fontId="21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9" fillId="23" borderId="9" applyNumberFormat="0" applyFont="0" applyAlignment="0" applyProtection="0"/>
    <xf numFmtId="0" fontId="25" fillId="3" borderId="0" applyNumberFormat="0" applyBorder="0" applyAlignment="0" applyProtection="0"/>
    <xf numFmtId="0" fontId="31" fillId="0" borderId="0"/>
    <xf numFmtId="0" fontId="19" fillId="23" borderId="66" applyNumberFormat="0" applyFont="0" applyAlignment="0" applyProtection="0"/>
    <xf numFmtId="0" fontId="21" fillId="0" borderId="65" applyNumberFormat="0" applyFill="0" applyAlignment="0" applyProtection="0"/>
    <xf numFmtId="0" fontId="20" fillId="20" borderId="63" applyNumberFormat="0" applyAlignment="0" applyProtection="0"/>
    <xf numFmtId="0" fontId="11" fillId="20" borderId="64" applyNumberFormat="0" applyAlignment="0" applyProtection="0"/>
    <xf numFmtId="0" fontId="10" fillId="7" borderId="63" applyNumberFormat="0" applyAlignment="0" applyProtection="0"/>
    <xf numFmtId="0" fontId="1" fillId="0" borderId="0"/>
    <xf numFmtId="0" fontId="19" fillId="23" borderId="70" applyNumberFormat="0" applyFont="0" applyAlignment="0" applyProtection="0"/>
    <xf numFmtId="0" fontId="21" fillId="0" borderId="69" applyNumberFormat="0" applyFill="0" applyAlignment="0" applyProtection="0"/>
    <xf numFmtId="0" fontId="20" fillId="20" borderId="67" applyNumberFormat="0" applyAlignment="0" applyProtection="0"/>
    <xf numFmtId="0" fontId="11" fillId="20" borderId="68" applyNumberFormat="0" applyAlignment="0" applyProtection="0"/>
    <xf numFmtId="0" fontId="10" fillId="7" borderId="67" applyNumberFormat="0" applyAlignment="0" applyProtection="0"/>
    <xf numFmtId="0" fontId="33" fillId="0" borderId="0"/>
    <xf numFmtId="0" fontId="34" fillId="33" borderId="0" applyNumberFormat="0" applyBorder="0" applyAlignment="0" applyProtection="0"/>
    <xf numFmtId="0" fontId="34" fillId="37" borderId="0" applyNumberFormat="0" applyBorder="0" applyAlignment="0" applyProtection="0"/>
    <xf numFmtId="0" fontId="34" fillId="41" borderId="0" applyNumberFormat="0" applyBorder="0" applyAlignment="0" applyProtection="0"/>
    <xf numFmtId="0" fontId="34" fillId="45" borderId="0" applyNumberFormat="0" applyBorder="0" applyAlignment="0" applyProtection="0"/>
    <xf numFmtId="0" fontId="34" fillId="49" borderId="0" applyNumberFormat="0" applyBorder="0" applyAlignment="0" applyProtection="0"/>
    <xf numFmtId="0" fontId="34" fillId="53" borderId="0" applyNumberFormat="0" applyBorder="0" applyAlignment="0" applyProtection="0"/>
    <xf numFmtId="0" fontId="34" fillId="34" borderId="0" applyNumberFormat="0" applyBorder="0" applyAlignment="0" applyProtection="0"/>
    <xf numFmtId="0" fontId="34" fillId="38" borderId="0" applyNumberFormat="0" applyBorder="0" applyAlignment="0" applyProtection="0"/>
    <xf numFmtId="0" fontId="34" fillId="42" borderId="0" applyNumberFormat="0" applyBorder="0" applyAlignment="0" applyProtection="0"/>
    <xf numFmtId="0" fontId="34" fillId="46" borderId="0" applyNumberFormat="0" applyBorder="0" applyAlignment="0" applyProtection="0"/>
    <xf numFmtId="0" fontId="34" fillId="50" borderId="0" applyNumberFormat="0" applyBorder="0" applyAlignment="0" applyProtection="0"/>
    <xf numFmtId="0" fontId="34" fillId="54" borderId="0" applyNumberFormat="0" applyBorder="0" applyAlignment="0" applyProtection="0"/>
    <xf numFmtId="0" fontId="35" fillId="35" borderId="0" applyNumberFormat="0" applyBorder="0" applyAlignment="0" applyProtection="0"/>
    <xf numFmtId="0" fontId="35" fillId="39" borderId="0" applyNumberFormat="0" applyBorder="0" applyAlignment="0" applyProtection="0"/>
    <xf numFmtId="0" fontId="35" fillId="43" borderId="0" applyNumberFormat="0" applyBorder="0" applyAlignment="0" applyProtection="0"/>
    <xf numFmtId="0" fontId="35" fillId="47" borderId="0" applyNumberFormat="0" applyBorder="0" applyAlignment="0" applyProtection="0"/>
    <xf numFmtId="0" fontId="35" fillId="51" borderId="0" applyNumberFormat="0" applyBorder="0" applyAlignment="0" applyProtection="0"/>
    <xf numFmtId="0" fontId="35" fillId="55" borderId="0" applyNumberFormat="0" applyBorder="0" applyAlignment="0" applyProtection="0"/>
    <xf numFmtId="0" fontId="35" fillId="32" borderId="0" applyNumberFormat="0" applyBorder="0" applyAlignment="0" applyProtection="0"/>
    <xf numFmtId="0" fontId="35" fillId="36" borderId="0" applyNumberFormat="0" applyBorder="0" applyAlignment="0" applyProtection="0"/>
    <xf numFmtId="0" fontId="35" fillId="40" borderId="0" applyNumberFormat="0" applyBorder="0" applyAlignment="0" applyProtection="0"/>
    <xf numFmtId="0" fontId="35" fillId="44" borderId="0" applyNumberFormat="0" applyBorder="0" applyAlignment="0" applyProtection="0"/>
    <xf numFmtId="0" fontId="35" fillId="48" borderId="0" applyNumberFormat="0" applyBorder="0" applyAlignment="0" applyProtection="0"/>
    <xf numFmtId="0" fontId="35" fillId="52" borderId="0" applyNumberFormat="0" applyBorder="0" applyAlignment="0" applyProtection="0"/>
    <xf numFmtId="0" fontId="36" fillId="26" borderId="0" applyNumberFormat="0" applyBorder="0" applyAlignment="0" applyProtection="0"/>
    <xf numFmtId="0" fontId="37" fillId="29" borderId="74" applyNumberFormat="0" applyAlignment="0" applyProtection="0"/>
    <xf numFmtId="0" fontId="38" fillId="30" borderId="77" applyNumberFormat="0" applyAlignment="0" applyProtection="0"/>
    <xf numFmtId="0" fontId="39" fillId="0" borderId="0" applyNumberFormat="0" applyFill="0" applyBorder="0" applyAlignment="0" applyProtection="0"/>
    <xf numFmtId="0" fontId="40" fillId="25" borderId="0" applyNumberFormat="0" applyBorder="0" applyAlignment="0" applyProtection="0"/>
    <xf numFmtId="0" fontId="41" fillId="0" borderId="71" applyNumberFormat="0" applyFill="0" applyAlignment="0" applyProtection="0"/>
    <xf numFmtId="0" fontId="42" fillId="0" borderId="72" applyNumberFormat="0" applyFill="0" applyAlignment="0" applyProtection="0"/>
    <xf numFmtId="0" fontId="43" fillId="0" borderId="73" applyNumberFormat="0" applyFill="0" applyAlignment="0" applyProtection="0"/>
    <xf numFmtId="0" fontId="43" fillId="0" borderId="0" applyNumberFormat="0" applyFill="0" applyBorder="0" applyAlignment="0" applyProtection="0"/>
    <xf numFmtId="0" fontId="44" fillId="28" borderId="74" applyNumberFormat="0" applyAlignment="0" applyProtection="0"/>
    <xf numFmtId="0" fontId="45" fillId="0" borderId="76" applyNumberFormat="0" applyFill="0" applyAlignment="0" applyProtection="0"/>
    <xf numFmtId="0" fontId="46" fillId="27" borderId="0" applyNumberFormat="0" applyBorder="0" applyAlignment="0" applyProtection="0"/>
    <xf numFmtId="0" fontId="33" fillId="31" borderId="78" applyNumberFormat="0" applyFont="0" applyAlignment="0" applyProtection="0"/>
    <xf numFmtId="0" fontId="47" fillId="29" borderId="75" applyNumberFormat="0" applyAlignment="0" applyProtection="0"/>
    <xf numFmtId="0" fontId="48" fillId="0" borderId="0" applyNumberFormat="0" applyFill="0" applyBorder="0" applyAlignment="0" applyProtection="0"/>
    <xf numFmtId="0" fontId="49" fillId="0" borderId="79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/>
    <xf numFmtId="0" fontId="51" fillId="31" borderId="78" applyNumberFormat="0" applyFont="0" applyAlignment="0" applyProtection="0"/>
    <xf numFmtId="0" fontId="1" fillId="31" borderId="78" applyNumberFormat="0" applyFont="0" applyAlignment="0" applyProtection="0"/>
    <xf numFmtId="0" fontId="54" fillId="0" borderId="0"/>
    <xf numFmtId="0" fontId="1" fillId="0" borderId="0"/>
    <xf numFmtId="0" fontId="10" fillId="7" borderId="90" applyNumberFormat="0" applyAlignment="0" applyProtection="0"/>
    <xf numFmtId="0" fontId="11" fillId="20" borderId="91" applyNumberFormat="0" applyAlignment="0" applyProtection="0"/>
    <xf numFmtId="0" fontId="20" fillId="20" borderId="90" applyNumberFormat="0" applyAlignment="0" applyProtection="0"/>
    <xf numFmtId="0" fontId="21" fillId="0" borderId="92" applyNumberFormat="0" applyFill="0" applyAlignment="0" applyProtection="0"/>
    <xf numFmtId="0" fontId="19" fillId="23" borderId="93" applyNumberFormat="0" applyFont="0" applyAlignment="0" applyProtection="0"/>
    <xf numFmtId="0" fontId="21" fillId="0" borderId="92" applyNumberFormat="0" applyFill="0" applyAlignment="0" applyProtection="0"/>
    <xf numFmtId="0" fontId="11" fillId="20" borderId="91" applyNumberFormat="0" applyAlignment="0" applyProtection="0"/>
    <xf numFmtId="0" fontId="19" fillId="23" borderId="93" applyNumberFormat="0" applyFont="0" applyAlignment="0" applyProtection="0"/>
    <xf numFmtId="0" fontId="19" fillId="23" borderId="93" applyNumberFormat="0" applyFont="0" applyAlignment="0" applyProtection="0"/>
    <xf numFmtId="0" fontId="1" fillId="0" borderId="0"/>
    <xf numFmtId="0" fontId="10" fillId="7" borderId="90" applyNumberFormat="0" applyAlignment="0" applyProtection="0"/>
    <xf numFmtId="0" fontId="11" fillId="20" borderId="91" applyNumberFormat="0" applyAlignment="0" applyProtection="0"/>
    <xf numFmtId="0" fontId="20" fillId="20" borderId="90" applyNumberFormat="0" applyAlignment="0" applyProtection="0"/>
    <xf numFmtId="0" fontId="21" fillId="0" borderId="92" applyNumberFormat="0" applyFill="0" applyAlignment="0" applyProtection="0"/>
    <xf numFmtId="0" fontId="20" fillId="20" borderId="90" applyNumberFormat="0" applyAlignment="0" applyProtection="0"/>
    <xf numFmtId="0" fontId="10" fillId="7" borderId="90" applyNumberFormat="0" applyAlignment="0" applyProtection="0"/>
    <xf numFmtId="0" fontId="1" fillId="0" borderId="0"/>
    <xf numFmtId="0" fontId="1" fillId="31" borderId="78" applyNumberFormat="0" applyFont="0" applyAlignment="0" applyProtection="0"/>
  </cellStyleXfs>
  <cellXfs count="352">
    <xf numFmtId="0" fontId="0" fillId="0" borderId="0" xfId="0"/>
    <xf numFmtId="0" fontId="2" fillId="24" borderId="0" xfId="0" applyFont="1" applyFill="1"/>
    <xf numFmtId="4" fontId="2" fillId="24" borderId="0" xfId="0" applyNumberFormat="1" applyFont="1" applyFill="1"/>
    <xf numFmtId="0" fontId="2" fillId="24" borderId="0" xfId="0" applyFont="1" applyFill="1" applyBorder="1" applyAlignment="1">
      <alignment horizontal="left" wrapText="1"/>
    </xf>
    <xf numFmtId="0" fontId="5" fillId="24" borderId="10" xfId="0" applyFont="1" applyFill="1" applyBorder="1" applyAlignment="1">
      <alignment wrapText="1"/>
    </xf>
    <xf numFmtId="0" fontId="6" fillId="24" borderId="13" xfId="0" applyFont="1" applyFill="1" applyBorder="1" applyAlignment="1">
      <alignment horizontal="center"/>
    </xf>
    <xf numFmtId="0" fontId="6" fillId="24" borderId="18" xfId="0" applyFont="1" applyFill="1" applyBorder="1" applyAlignment="1">
      <alignment wrapText="1"/>
    </xf>
    <xf numFmtId="0" fontId="2" fillId="24" borderId="0" xfId="0" applyFont="1" applyFill="1" applyBorder="1" applyAlignment="1">
      <alignment horizontal="center" wrapText="1"/>
    </xf>
    <xf numFmtId="43" fontId="2" fillId="24" borderId="0" xfId="0" applyNumberFormat="1" applyFont="1" applyFill="1" applyBorder="1" applyAlignment="1">
      <alignment wrapText="1"/>
    </xf>
    <xf numFmtId="43" fontId="5" fillId="24" borderId="24" xfId="0" applyNumberFormat="1" applyFont="1" applyFill="1" applyBorder="1" applyAlignment="1">
      <alignment horizontal="right" wrapText="1"/>
    </xf>
    <xf numFmtId="0" fontId="5" fillId="24" borderId="17" xfId="0" applyFont="1" applyFill="1" applyBorder="1" applyAlignment="1">
      <alignment horizontal="left" wrapText="1"/>
    </xf>
    <xf numFmtId="0" fontId="5" fillId="24" borderId="18" xfId="0" applyFont="1" applyFill="1" applyBorder="1" applyAlignment="1">
      <alignment horizontal="left" wrapText="1"/>
    </xf>
    <xf numFmtId="0" fontId="5" fillId="24" borderId="18" xfId="0" applyFont="1" applyFill="1" applyBorder="1" applyAlignment="1">
      <alignment wrapText="1"/>
    </xf>
    <xf numFmtId="0" fontId="6" fillId="24" borderId="27" xfId="0" applyFont="1" applyFill="1" applyBorder="1" applyAlignment="1">
      <alignment wrapText="1"/>
    </xf>
    <xf numFmtId="0" fontId="5" fillId="24" borderId="22" xfId="0" applyFont="1" applyFill="1" applyBorder="1"/>
    <xf numFmtId="0" fontId="6" fillId="24" borderId="17" xfId="0" applyFont="1" applyFill="1" applyBorder="1" applyAlignment="1">
      <alignment horizontal="center"/>
    </xf>
    <xf numFmtId="0" fontId="6" fillId="24" borderId="18" xfId="0" applyNumberFormat="1" applyFont="1" applyFill="1" applyBorder="1" applyAlignment="1">
      <alignment wrapText="1"/>
    </xf>
    <xf numFmtId="0" fontId="6" fillId="24" borderId="20" xfId="0" applyFont="1" applyFill="1" applyBorder="1" applyAlignment="1">
      <alignment horizontal="center"/>
    </xf>
    <xf numFmtId="0" fontId="6" fillId="24" borderId="19" xfId="0" applyNumberFormat="1" applyFont="1" applyFill="1" applyBorder="1" applyAlignment="1">
      <alignment wrapText="1"/>
    </xf>
    <xf numFmtId="4" fontId="2" fillId="24" borderId="27" xfId="0" applyNumberFormat="1" applyFont="1" applyFill="1" applyBorder="1" applyAlignment="1">
      <alignment horizontal="center" wrapText="1"/>
    </xf>
    <xf numFmtId="4" fontId="2" fillId="24" borderId="28" xfId="0" applyNumberFormat="1" applyFont="1" applyFill="1" applyBorder="1" applyAlignment="1">
      <alignment horizontal="center" wrapText="1"/>
    </xf>
    <xf numFmtId="0" fontId="5" fillId="24" borderId="29" xfId="0" applyFont="1" applyFill="1" applyBorder="1" applyAlignment="1">
      <alignment horizontal="left" wrapText="1"/>
    </xf>
    <xf numFmtId="0" fontId="6" fillId="24" borderId="26" xfId="0" applyFont="1" applyFill="1" applyBorder="1" applyAlignment="1">
      <alignment horizontal="center"/>
    </xf>
    <xf numFmtId="0" fontId="6" fillId="24" borderId="27" xfId="0" applyNumberFormat="1" applyFont="1" applyFill="1" applyBorder="1" applyAlignment="1">
      <alignment wrapText="1"/>
    </xf>
    <xf numFmtId="0" fontId="5" fillId="24" borderId="32" xfId="0" applyFont="1" applyFill="1" applyBorder="1"/>
    <xf numFmtId="0" fontId="5" fillId="24" borderId="33" xfId="0" applyNumberFormat="1" applyFont="1" applyFill="1" applyBorder="1" applyAlignment="1">
      <alignment wrapText="1"/>
    </xf>
    <xf numFmtId="4" fontId="5" fillId="24" borderId="33" xfId="0" applyNumberFormat="1" applyFont="1" applyFill="1" applyBorder="1"/>
    <xf numFmtId="10" fontId="5" fillId="24" borderId="34" xfId="37" applyNumberFormat="1" applyFont="1" applyFill="1" applyBorder="1"/>
    <xf numFmtId="0" fontId="0" fillId="24" borderId="0" xfId="0" applyFill="1"/>
    <xf numFmtId="4" fontId="5" fillId="24" borderId="24" xfId="0" applyNumberFormat="1" applyFont="1" applyFill="1" applyBorder="1"/>
    <xf numFmtId="4" fontId="5" fillId="24" borderId="37" xfId="0" applyNumberFormat="1" applyFont="1" applyFill="1" applyBorder="1" applyAlignment="1">
      <alignment horizontal="center" wrapText="1"/>
    </xf>
    <xf numFmtId="0" fontId="5" fillId="24" borderId="13" xfId="0" applyFont="1" applyFill="1" applyBorder="1" applyAlignment="1">
      <alignment horizontal="center"/>
    </xf>
    <xf numFmtId="0" fontId="5" fillId="24" borderId="38" xfId="0" applyNumberFormat="1" applyFont="1" applyFill="1" applyBorder="1" applyAlignment="1">
      <alignment wrapText="1"/>
    </xf>
    <xf numFmtId="10" fontId="5" fillId="24" borderId="15" xfId="37" applyNumberFormat="1" applyFont="1" applyFill="1" applyBorder="1"/>
    <xf numFmtId="0" fontId="19" fillId="0" borderId="0" xfId="35"/>
    <xf numFmtId="0" fontId="26" fillId="0" borderId="0" xfId="35" applyFont="1"/>
    <xf numFmtId="43" fontId="26" fillId="0" borderId="0" xfId="35" applyNumberFormat="1" applyFont="1"/>
    <xf numFmtId="0" fontId="27" fillId="0" borderId="29" xfId="35" applyFont="1" applyBorder="1"/>
    <xf numFmtId="0" fontId="27" fillId="0" borderId="41" xfId="35" applyFont="1" applyBorder="1"/>
    <xf numFmtId="43" fontId="27" fillId="0" borderId="42" xfId="35" applyNumberFormat="1" applyFont="1" applyBorder="1"/>
    <xf numFmtId="43" fontId="27" fillId="0" borderId="37" xfId="35" applyNumberFormat="1" applyFont="1" applyBorder="1"/>
    <xf numFmtId="43" fontId="27" fillId="0" borderId="0" xfId="35" applyNumberFormat="1" applyFont="1"/>
    <xf numFmtId="0" fontId="27" fillId="0" borderId="0" xfId="35" applyFont="1"/>
    <xf numFmtId="0" fontId="27" fillId="0" borderId="43" xfId="35" applyFont="1" applyBorder="1"/>
    <xf numFmtId="0" fontId="27" fillId="0" borderId="0" xfId="35" applyFont="1" applyBorder="1"/>
    <xf numFmtId="43" fontId="28" fillId="0" borderId="44" xfId="35" applyNumberFormat="1" applyFont="1" applyBorder="1" applyAlignment="1">
      <alignment horizontal="center"/>
    </xf>
    <xf numFmtId="43" fontId="28" fillId="0" borderId="45" xfId="35" applyNumberFormat="1" applyFont="1" applyBorder="1" applyAlignment="1">
      <alignment horizontal="center"/>
    </xf>
    <xf numFmtId="0" fontId="27" fillId="0" borderId="46" xfId="35" applyFont="1" applyBorder="1"/>
    <xf numFmtId="0" fontId="27" fillId="0" borderId="47" xfId="35" applyFont="1" applyBorder="1"/>
    <xf numFmtId="43" fontId="28" fillId="0" borderId="48" xfId="35" applyNumberFormat="1" applyFont="1" applyBorder="1" applyAlignment="1">
      <alignment horizontal="center"/>
    </xf>
    <xf numFmtId="43" fontId="28" fillId="0" borderId="49" xfId="35" applyNumberFormat="1" applyFont="1" applyBorder="1" applyAlignment="1">
      <alignment horizontal="center"/>
    </xf>
    <xf numFmtId="43" fontId="27" fillId="0" borderId="44" xfId="35" applyNumberFormat="1" applyFont="1" applyBorder="1"/>
    <xf numFmtId="43" fontId="27" fillId="0" borderId="45" xfId="35" applyNumberFormat="1" applyFont="1" applyBorder="1"/>
    <xf numFmtId="0" fontId="28" fillId="0" borderId="43" xfId="35" applyFont="1" applyBorder="1"/>
    <xf numFmtId="0" fontId="28" fillId="0" borderId="0" xfId="35" applyFont="1" applyBorder="1"/>
    <xf numFmtId="43" fontId="28" fillId="0" borderId="44" xfId="35" applyNumberFormat="1" applyFont="1" applyFill="1" applyBorder="1"/>
    <xf numFmtId="43" fontId="28" fillId="0" borderId="45" xfId="35" applyNumberFormat="1" applyFont="1" applyFill="1" applyBorder="1"/>
    <xf numFmtId="43" fontId="28" fillId="0" borderId="44" xfId="35" applyNumberFormat="1" applyFont="1" applyBorder="1"/>
    <xf numFmtId="43" fontId="28" fillId="0" borderId="45" xfId="35" applyNumberFormat="1" applyFont="1" applyBorder="1"/>
    <xf numFmtId="4" fontId="27" fillId="0" borderId="0" xfId="35" applyNumberFormat="1" applyFont="1"/>
    <xf numFmtId="0" fontId="28" fillId="0" borderId="29" xfId="35" applyFont="1" applyBorder="1"/>
    <xf numFmtId="0" fontId="28" fillId="0" borderId="41" xfId="35" applyFont="1" applyBorder="1"/>
    <xf numFmtId="43" fontId="28" fillId="0" borderId="42" xfId="35" applyNumberFormat="1" applyFont="1" applyBorder="1"/>
    <xf numFmtId="43" fontId="28" fillId="0" borderId="37" xfId="35" applyNumberFormat="1" applyFont="1" applyBorder="1"/>
    <xf numFmtId="0" fontId="28" fillId="0" borderId="46" xfId="35" applyFont="1" applyBorder="1"/>
    <xf numFmtId="0" fontId="28" fillId="0" borderId="47" xfId="35" applyFont="1" applyBorder="1"/>
    <xf numFmtId="43" fontId="28" fillId="0" borderId="48" xfId="35" applyNumberFormat="1" applyFont="1" applyBorder="1"/>
    <xf numFmtId="43" fontId="28" fillId="0" borderId="49" xfId="35" applyNumberFormat="1" applyFont="1" applyBorder="1"/>
    <xf numFmtId="43" fontId="27" fillId="0" borderId="48" xfId="35" applyNumberFormat="1" applyFont="1" applyBorder="1"/>
    <xf numFmtId="43" fontId="27" fillId="0" borderId="49" xfId="35" applyNumberFormat="1" applyFont="1" applyBorder="1"/>
    <xf numFmtId="10" fontId="5" fillId="24" borderId="31" xfId="37" applyNumberFormat="1" applyFont="1" applyFill="1" applyBorder="1"/>
    <xf numFmtId="43" fontId="0" fillId="0" borderId="0" xfId="0" applyNumberFormat="1"/>
    <xf numFmtId="0" fontId="6" fillId="24" borderId="39" xfId="0" applyFont="1" applyFill="1" applyBorder="1" applyAlignment="1">
      <alignment wrapText="1"/>
    </xf>
    <xf numFmtId="0" fontId="6" fillId="24" borderId="40" xfId="0" applyFont="1" applyFill="1" applyBorder="1" applyAlignment="1">
      <alignment wrapText="1"/>
    </xf>
    <xf numFmtId="4" fontId="5" fillId="24" borderId="14" xfId="0" applyNumberFormat="1" applyFont="1" applyFill="1" applyBorder="1" applyAlignment="1">
      <alignment horizontal="center" wrapText="1"/>
    </xf>
    <xf numFmtId="43" fontId="19" fillId="0" borderId="0" xfId="35" applyNumberFormat="1"/>
    <xf numFmtId="4" fontId="19" fillId="0" borderId="0" xfId="35" applyNumberFormat="1"/>
    <xf numFmtId="4" fontId="0" fillId="0" borderId="0" xfId="0" applyNumberFormat="1"/>
    <xf numFmtId="43" fontId="19" fillId="0" borderId="0" xfId="35" applyNumberFormat="1" applyAlignment="1">
      <alignment horizontal="right"/>
    </xf>
    <xf numFmtId="43" fontId="29" fillId="0" borderId="44" xfId="35" applyNumberFormat="1" applyFont="1" applyFill="1" applyBorder="1"/>
    <xf numFmtId="164" fontId="1" fillId="24" borderId="25" xfId="0" applyNumberFormat="1" applyFont="1" applyFill="1" applyBorder="1"/>
    <xf numFmtId="4" fontId="5" fillId="0" borderId="0" xfId="0" applyNumberFormat="1" applyFont="1"/>
    <xf numFmtId="165" fontId="1" fillId="24" borderId="25" xfId="0" applyNumberFormat="1" applyFont="1" applyFill="1" applyBorder="1"/>
    <xf numFmtId="165" fontId="1" fillId="24" borderId="36" xfId="0" applyNumberFormat="1" applyFont="1" applyFill="1" applyBorder="1"/>
    <xf numFmtId="164" fontId="1" fillId="24" borderId="50" xfId="0" applyNumberFormat="1" applyFont="1" applyFill="1" applyBorder="1"/>
    <xf numFmtId="0" fontId="6" fillId="24" borderId="11" xfId="0" applyFont="1" applyFill="1" applyBorder="1" applyAlignment="1">
      <alignment horizontal="center"/>
    </xf>
    <xf numFmtId="4" fontId="30" fillId="0" borderId="0" xfId="0" applyNumberFormat="1" applyFont="1"/>
    <xf numFmtId="43" fontId="5" fillId="24" borderId="21" xfId="0" applyNumberFormat="1" applyFont="1" applyFill="1" applyBorder="1" applyAlignment="1">
      <alignment horizontal="right" wrapText="1"/>
    </xf>
    <xf numFmtId="4" fontId="1" fillId="24" borderId="18" xfId="0" applyNumberFormat="1" applyFont="1" applyFill="1" applyBorder="1"/>
    <xf numFmtId="10" fontId="1" fillId="24" borderId="31" xfId="37" applyNumberFormat="1" applyFont="1" applyFill="1" applyBorder="1"/>
    <xf numFmtId="4" fontId="1" fillId="24" borderId="27" xfId="0" applyNumberFormat="1" applyFont="1" applyFill="1" applyBorder="1"/>
    <xf numFmtId="10" fontId="1" fillId="24" borderId="28" xfId="37" applyNumberFormat="1" applyFont="1" applyFill="1" applyBorder="1"/>
    <xf numFmtId="4" fontId="1" fillId="24" borderId="19" xfId="0" applyNumberFormat="1" applyFont="1" applyFill="1" applyBorder="1"/>
    <xf numFmtId="10" fontId="1" fillId="24" borderId="35" xfId="37" applyNumberFormat="1" applyFont="1" applyFill="1" applyBorder="1"/>
    <xf numFmtId="0" fontId="1" fillId="24" borderId="0" xfId="0" applyFont="1" applyFill="1"/>
    <xf numFmtId="43" fontId="1" fillId="24" borderId="55" xfId="0" applyNumberFormat="1" applyFont="1" applyFill="1" applyBorder="1" applyAlignment="1">
      <alignment horizontal="right" wrapText="1"/>
    </xf>
    <xf numFmtId="43" fontId="1" fillId="24" borderId="50" xfId="0" applyNumberFormat="1" applyFont="1" applyFill="1" applyBorder="1" applyAlignment="1">
      <alignment horizontal="right" wrapText="1"/>
    </xf>
    <xf numFmtId="43" fontId="1" fillId="24" borderId="36" xfId="0" applyNumberFormat="1" applyFont="1" applyFill="1" applyBorder="1" applyAlignment="1">
      <alignment horizontal="right" wrapText="1"/>
    </xf>
    <xf numFmtId="0" fontId="5" fillId="0" borderId="0" xfId="0" applyFont="1"/>
    <xf numFmtId="0" fontId="4" fillId="24" borderId="0" xfId="0" applyFont="1" applyFill="1" applyBorder="1" applyAlignment="1">
      <alignment horizontal="center"/>
    </xf>
    <xf numFmtId="0" fontId="5" fillId="24" borderId="10" xfId="0" applyFont="1" applyFill="1" applyBorder="1" applyAlignment="1">
      <alignment wrapText="1"/>
    </xf>
    <xf numFmtId="0" fontId="4" fillId="24" borderId="0" xfId="0" applyFont="1" applyFill="1" applyBorder="1" applyAlignment="1">
      <alignment horizontal="center"/>
    </xf>
    <xf numFmtId="0" fontId="5" fillId="24" borderId="10" xfId="0" applyFont="1" applyFill="1" applyBorder="1" applyAlignment="1">
      <alignment wrapText="1"/>
    </xf>
    <xf numFmtId="0" fontId="32" fillId="24" borderId="0" xfId="0" applyFont="1" applyFill="1" applyBorder="1" applyAlignment="1">
      <alignment horizontal="left" vertical="center" wrapText="1"/>
    </xf>
    <xf numFmtId="0" fontId="5" fillId="24" borderId="22" xfId="0" applyFont="1" applyFill="1" applyBorder="1" applyAlignment="1">
      <alignment wrapText="1"/>
    </xf>
    <xf numFmtId="0" fontId="6" fillId="24" borderId="57" xfId="0" applyFont="1" applyFill="1" applyBorder="1" applyAlignment="1">
      <alignment wrapText="1"/>
    </xf>
    <xf numFmtId="0" fontId="5" fillId="24" borderId="17" xfId="0" applyFont="1" applyFill="1" applyBorder="1" applyAlignment="1">
      <alignment wrapText="1"/>
    </xf>
    <xf numFmtId="43" fontId="5" fillId="24" borderId="55" xfId="0" applyNumberFormat="1" applyFont="1" applyFill="1" applyBorder="1" applyAlignment="1">
      <alignment horizontal="right" wrapText="1"/>
    </xf>
    <xf numFmtId="0" fontId="5" fillId="24" borderId="0" xfId="0" applyFont="1" applyFill="1" applyBorder="1" applyAlignment="1">
      <alignment horizontal="left" wrapText="1"/>
    </xf>
    <xf numFmtId="43" fontId="5" fillId="24" borderId="0" xfId="0" applyNumberFormat="1" applyFont="1" applyFill="1" applyBorder="1" applyAlignment="1">
      <alignment horizontal="right" wrapText="1"/>
    </xf>
    <xf numFmtId="0" fontId="5" fillId="24" borderId="30" xfId="0" applyFont="1" applyFill="1" applyBorder="1" applyAlignment="1">
      <alignment horizontal="left" wrapText="1"/>
    </xf>
    <xf numFmtId="0" fontId="5" fillId="24" borderId="14" xfId="0" applyFont="1" applyFill="1" applyBorder="1" applyAlignment="1">
      <alignment horizontal="left" wrapText="1"/>
    </xf>
    <xf numFmtId="43" fontId="5" fillId="24" borderId="37" xfId="0" applyNumberFormat="1" applyFont="1" applyFill="1" applyBorder="1" applyAlignment="1">
      <alignment horizontal="right" wrapText="1"/>
    </xf>
    <xf numFmtId="0" fontId="5" fillId="24" borderId="26" xfId="0" applyFont="1" applyFill="1" applyBorder="1" applyAlignment="1">
      <alignment horizontal="left" wrapText="1"/>
    </xf>
    <xf numFmtId="0" fontId="5" fillId="24" borderId="27" xfId="0" applyFont="1" applyFill="1" applyBorder="1" applyAlignment="1">
      <alignment horizontal="left" wrapText="1"/>
    </xf>
    <xf numFmtId="43" fontId="5" fillId="24" borderId="50" xfId="0" applyNumberFormat="1" applyFont="1" applyFill="1" applyBorder="1" applyAlignment="1">
      <alignment horizontal="right" wrapText="1"/>
    </xf>
    <xf numFmtId="0" fontId="5" fillId="24" borderId="54" xfId="0" applyFont="1" applyFill="1" applyBorder="1" applyAlignment="1">
      <alignment horizontal="left" wrapText="1"/>
    </xf>
    <xf numFmtId="0" fontId="5" fillId="24" borderId="21" xfId="0" applyFont="1" applyFill="1" applyBorder="1" applyAlignment="1">
      <alignment horizontal="left" wrapText="1"/>
    </xf>
    <xf numFmtId="4" fontId="5" fillId="24" borderId="16" xfId="0" applyNumberFormat="1" applyFont="1" applyFill="1" applyBorder="1"/>
    <xf numFmtId="0" fontId="6" fillId="24" borderId="17" xfId="0" applyFont="1" applyFill="1" applyBorder="1" applyAlignment="1">
      <alignment horizontal="left"/>
    </xf>
    <xf numFmtId="0" fontId="6" fillId="24" borderId="20" xfId="0" applyFont="1" applyFill="1" applyBorder="1" applyAlignment="1">
      <alignment horizontal="left"/>
    </xf>
    <xf numFmtId="0" fontId="6" fillId="24" borderId="17" xfId="0" applyFont="1" applyFill="1" applyBorder="1" applyAlignment="1">
      <alignment wrapText="1"/>
    </xf>
    <xf numFmtId="0" fontId="6" fillId="24" borderId="26" xfId="0" applyFont="1" applyFill="1" applyBorder="1" applyAlignment="1">
      <alignment wrapText="1"/>
    </xf>
    <xf numFmtId="0" fontId="6" fillId="24" borderId="17" xfId="0" applyFont="1" applyFill="1" applyBorder="1" applyAlignment="1">
      <alignment horizontal="left" wrapText="1"/>
    </xf>
    <xf numFmtId="0" fontId="6" fillId="24" borderId="26" xfId="0" applyFont="1" applyFill="1" applyBorder="1" applyAlignment="1">
      <alignment horizontal="left" wrapText="1"/>
    </xf>
    <xf numFmtId="0" fontId="6" fillId="24" borderId="20" xfId="0" applyFont="1" applyFill="1" applyBorder="1" applyAlignment="1">
      <alignment horizontal="left" wrapText="1"/>
    </xf>
    <xf numFmtId="0" fontId="6" fillId="24" borderId="0" xfId="0" applyFont="1" applyFill="1" applyBorder="1" applyAlignment="1">
      <alignment horizontal="left"/>
    </xf>
    <xf numFmtId="0" fontId="6" fillId="24" borderId="0" xfId="0" applyNumberFormat="1" applyFont="1" applyFill="1" applyBorder="1" applyAlignment="1">
      <alignment wrapText="1"/>
    </xf>
    <xf numFmtId="165" fontId="1" fillId="24" borderId="0" xfId="0" applyNumberFormat="1" applyFont="1" applyFill="1" applyBorder="1"/>
    <xf numFmtId="0" fontId="6" fillId="24" borderId="32" xfId="0" applyFont="1" applyFill="1" applyBorder="1" applyAlignment="1">
      <alignment horizontal="center"/>
    </xf>
    <xf numFmtId="0" fontId="6" fillId="24" borderId="33" xfId="0" applyNumberFormat="1" applyFont="1" applyFill="1" applyBorder="1" applyAlignment="1">
      <alignment wrapText="1"/>
    </xf>
    <xf numFmtId="4" fontId="1" fillId="24" borderId="33" xfId="0" applyNumberFormat="1" applyFont="1" applyFill="1" applyBorder="1"/>
    <xf numFmtId="10" fontId="1" fillId="24" borderId="34" xfId="37" applyNumberFormat="1" applyFont="1" applyFill="1" applyBorder="1"/>
    <xf numFmtId="0" fontId="5" fillId="24" borderId="60" xfId="0" applyFont="1" applyFill="1" applyBorder="1"/>
    <xf numFmtId="0" fontId="5" fillId="24" borderId="61" xfId="0" applyNumberFormat="1" applyFont="1" applyFill="1" applyBorder="1" applyAlignment="1">
      <alignment wrapText="1"/>
    </xf>
    <xf numFmtId="4" fontId="5" fillId="24" borderId="61" xfId="0" applyNumberFormat="1" applyFont="1" applyFill="1" applyBorder="1"/>
    <xf numFmtId="10" fontId="5" fillId="24" borderId="62" xfId="37" applyNumberFormat="1" applyFont="1" applyFill="1" applyBorder="1"/>
    <xf numFmtId="0" fontId="5" fillId="24" borderId="17" xfId="0" applyFont="1" applyFill="1" applyBorder="1"/>
    <xf numFmtId="0" fontId="5" fillId="24" borderId="18" xfId="0" applyNumberFormat="1" applyFont="1" applyFill="1" applyBorder="1" applyAlignment="1">
      <alignment wrapText="1"/>
    </xf>
    <xf numFmtId="4" fontId="5" fillId="24" borderId="18" xfId="0" applyNumberFormat="1" applyFont="1" applyFill="1" applyBorder="1"/>
    <xf numFmtId="0" fontId="6" fillId="24" borderId="26" xfId="0" applyFont="1" applyFill="1" applyBorder="1" applyAlignment="1">
      <alignment horizontal="left"/>
    </xf>
    <xf numFmtId="0" fontId="5" fillId="24" borderId="39" xfId="0" applyNumberFormat="1" applyFont="1" applyFill="1" applyBorder="1" applyAlignment="1">
      <alignment wrapText="1"/>
    </xf>
    <xf numFmtId="4" fontId="1" fillId="24" borderId="55" xfId="0" applyNumberFormat="1" applyFont="1" applyFill="1" applyBorder="1"/>
    <xf numFmtId="0" fontId="5" fillId="24" borderId="14" xfId="0" applyNumberFormat="1" applyFont="1" applyFill="1" applyBorder="1" applyAlignment="1">
      <alignment wrapText="1"/>
    </xf>
    <xf numFmtId="4" fontId="5" fillId="24" borderId="14" xfId="0" applyNumberFormat="1" applyFont="1" applyFill="1" applyBorder="1" applyAlignment="1">
      <alignment horizontal="right" wrapText="1"/>
    </xf>
    <xf numFmtId="0" fontId="5" fillId="24" borderId="23" xfId="0" applyFont="1" applyFill="1" applyBorder="1" applyAlignment="1">
      <alignment wrapText="1"/>
    </xf>
    <xf numFmtId="0" fontId="6" fillId="24" borderId="32" xfId="0" applyFont="1" applyFill="1" applyBorder="1" applyAlignment="1">
      <alignment horizontal="left"/>
    </xf>
    <xf numFmtId="0" fontId="5" fillId="24" borderId="17" xfId="0" applyFont="1" applyFill="1" applyBorder="1" applyAlignment="1">
      <alignment horizontal="left"/>
    </xf>
    <xf numFmtId="0" fontId="5" fillId="24" borderId="60" xfId="0" applyFont="1" applyFill="1" applyBorder="1" applyAlignment="1">
      <alignment horizontal="left"/>
    </xf>
    <xf numFmtId="0" fontId="5" fillId="24" borderId="32" xfId="0" applyFont="1" applyFill="1" applyBorder="1" applyAlignment="1">
      <alignment horizontal="left"/>
    </xf>
    <xf numFmtId="0" fontId="32" fillId="24" borderId="0" xfId="0" applyFont="1" applyFill="1" applyBorder="1" applyAlignment="1">
      <alignment horizontal="left" vertical="center" wrapText="1"/>
    </xf>
    <xf numFmtId="0" fontId="4" fillId="24" borderId="0" xfId="0" applyFont="1" applyFill="1" applyBorder="1" applyAlignment="1">
      <alignment horizontal="center"/>
    </xf>
    <xf numFmtId="0" fontId="5" fillId="24" borderId="10" xfId="0" applyFont="1" applyFill="1" applyBorder="1" applyAlignment="1">
      <alignment wrapText="1"/>
    </xf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0" fontId="4" fillId="24" borderId="0" xfId="0" applyFont="1" applyFill="1" applyBorder="1" applyAlignment="1">
      <alignment horizontal="center"/>
    </xf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0" fontId="4" fillId="24" borderId="0" xfId="0" applyFont="1" applyFill="1" applyBorder="1" applyAlignment="1">
      <alignment horizontal="center"/>
    </xf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0" fontId="4" fillId="24" borderId="0" xfId="0" applyFont="1" applyFill="1" applyBorder="1" applyAlignment="1">
      <alignment horizontal="center"/>
    </xf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0" fontId="4" fillId="24" borderId="0" xfId="0" applyFont="1" applyFill="1" applyBorder="1" applyAlignment="1">
      <alignment horizontal="center"/>
    </xf>
    <xf numFmtId="43" fontId="5" fillId="24" borderId="12" xfId="0" applyNumberFormat="1" applyFont="1" applyFill="1" applyBorder="1" applyAlignment="1">
      <alignment horizontal="right" wrapText="1"/>
    </xf>
    <xf numFmtId="164" fontId="1" fillId="24" borderId="50" xfId="0" applyNumberFormat="1" applyFont="1" applyFill="1" applyBorder="1"/>
    <xf numFmtId="165" fontId="1" fillId="24" borderId="36" xfId="0" applyNumberFormat="1" applyFont="1" applyFill="1" applyBorder="1"/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166" fontId="0" fillId="0" borderId="0" xfId="0" applyNumberFormat="1"/>
    <xf numFmtId="4" fontId="1" fillId="0" borderId="0" xfId="0" applyNumberFormat="1" applyFont="1"/>
    <xf numFmtId="0" fontId="0" fillId="0" borderId="0" xfId="0" applyAlignment="1">
      <alignment vertical="top"/>
    </xf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0" fontId="27" fillId="0" borderId="0" xfId="35" applyNumberFormat="1" applyFont="1"/>
    <xf numFmtId="4" fontId="1" fillId="0" borderId="0" xfId="35" applyNumberFormat="1" applyFont="1"/>
    <xf numFmtId="164" fontId="0" fillId="0" borderId="0" xfId="0" applyNumberFormat="1"/>
    <xf numFmtId="0" fontId="0" fillId="0" borderId="0" xfId="0" applyFill="1"/>
    <xf numFmtId="0" fontId="5" fillId="0" borderId="0" xfId="0" applyFont="1" applyFill="1"/>
    <xf numFmtId="4" fontId="0" fillId="0" borderId="0" xfId="0" applyNumberFormat="1" applyFill="1"/>
    <xf numFmtId="4" fontId="5" fillId="0" borderId="0" xfId="0" applyNumberFormat="1" applyFont="1" applyFill="1"/>
    <xf numFmtId="0" fontId="0" fillId="0" borderId="0" xfId="0" applyNumberFormat="1" applyFill="1"/>
    <xf numFmtId="4" fontId="30" fillId="0" borderId="0" xfId="0" applyNumberFormat="1" applyFont="1" applyFill="1"/>
    <xf numFmtId="43" fontId="0" fillId="0" borderId="0" xfId="0" applyNumberFormat="1" applyFill="1"/>
    <xf numFmtId="4" fontId="5" fillId="0" borderId="16" xfId="0" applyNumberFormat="1" applyFont="1" applyFill="1" applyBorder="1"/>
    <xf numFmtId="4" fontId="5" fillId="0" borderId="24" xfId="0" applyNumberFormat="1" applyFont="1" applyFill="1" applyBorder="1"/>
    <xf numFmtId="4" fontId="1" fillId="0" borderId="55" xfId="0" applyNumberFormat="1" applyFont="1" applyFill="1" applyBorder="1"/>
    <xf numFmtId="43" fontId="30" fillId="0" borderId="0" xfId="0" applyNumberFormat="1" applyFont="1"/>
    <xf numFmtId="2" fontId="30" fillId="0" borderId="0" xfId="0" applyNumberFormat="1" applyFont="1"/>
    <xf numFmtId="43" fontId="5" fillId="0" borderId="0" xfId="0" applyNumberFormat="1" applyFont="1" applyFill="1" applyBorder="1" applyAlignment="1">
      <alignment horizontal="right" wrapText="1"/>
    </xf>
    <xf numFmtId="164" fontId="53" fillId="24" borderId="51" xfId="0" applyNumberFormat="1" applyFont="1" applyFill="1" applyBorder="1"/>
    <xf numFmtId="164" fontId="53" fillId="24" borderId="59" xfId="0" applyNumberFormat="1" applyFont="1" applyFill="1" applyBorder="1"/>
    <xf numFmtId="164" fontId="53" fillId="24" borderId="25" xfId="0" applyNumberFormat="1" applyFont="1" applyFill="1" applyBorder="1"/>
    <xf numFmtId="164" fontId="53" fillId="24" borderId="58" xfId="0" applyNumberFormat="1" applyFont="1" applyFill="1" applyBorder="1"/>
    <xf numFmtId="164" fontId="53" fillId="24" borderId="52" xfId="0" applyNumberFormat="1" applyFont="1" applyFill="1" applyBorder="1"/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43" fontId="27" fillId="0" borderId="0" xfId="35" applyNumberFormat="1" applyFont="1" applyAlignment="1">
      <alignment horizontal="left"/>
    </xf>
    <xf numFmtId="43" fontId="19" fillId="0" borderId="0" xfId="35" applyNumberFormat="1" applyAlignment="1">
      <alignment horizontal="left"/>
    </xf>
    <xf numFmtId="168" fontId="0" fillId="0" borderId="0" xfId="0" applyNumberFormat="1"/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0" fontId="5" fillId="24" borderId="10" xfId="0" applyFont="1" applyFill="1" applyBorder="1" applyAlignment="1">
      <alignment wrapText="1"/>
    </xf>
    <xf numFmtId="0" fontId="5" fillId="24" borderId="10" xfId="0" applyFont="1" applyFill="1" applyBorder="1" applyAlignment="1">
      <alignment wrapText="1"/>
    </xf>
    <xf numFmtId="165" fontId="1" fillId="0" borderId="25" xfId="0" applyNumberFormat="1" applyFont="1" applyFill="1" applyBorder="1"/>
    <xf numFmtId="0" fontId="1" fillId="0" borderId="0" xfId="0" applyFont="1"/>
    <xf numFmtId="0" fontId="1" fillId="24" borderId="17" xfId="0" applyFont="1" applyFill="1" applyBorder="1" applyAlignment="1">
      <alignment horizontal="left" wrapText="1"/>
    </xf>
    <xf numFmtId="0" fontId="1" fillId="24" borderId="18" xfId="0" applyFont="1" applyFill="1" applyBorder="1" applyAlignment="1">
      <alignment wrapText="1"/>
    </xf>
    <xf numFmtId="0" fontId="1" fillId="24" borderId="39" xfId="0" applyFont="1" applyFill="1" applyBorder="1" applyAlignment="1">
      <alignment wrapText="1"/>
    </xf>
    <xf numFmtId="0" fontId="1" fillId="24" borderId="26" xfId="0" applyFont="1" applyFill="1" applyBorder="1" applyAlignment="1">
      <alignment horizontal="left" wrapText="1"/>
    </xf>
    <xf numFmtId="0" fontId="1" fillId="24" borderId="57" xfId="0" applyFont="1" applyFill="1" applyBorder="1" applyAlignment="1">
      <alignment wrapText="1"/>
    </xf>
    <xf numFmtId="0" fontId="1" fillId="24" borderId="20" xfId="0" applyFont="1" applyFill="1" applyBorder="1" applyAlignment="1">
      <alignment horizontal="left" wrapText="1"/>
    </xf>
    <xf numFmtId="0" fontId="1" fillId="24" borderId="40" xfId="0" applyFont="1" applyFill="1" applyBorder="1" applyAlignment="1">
      <alignment wrapText="1"/>
    </xf>
    <xf numFmtId="0" fontId="1" fillId="24" borderId="13" xfId="0" applyFont="1" applyFill="1" applyBorder="1" applyAlignment="1">
      <alignment horizontal="center"/>
    </xf>
    <xf numFmtId="0" fontId="1" fillId="24" borderId="17" xfId="0" applyFont="1" applyFill="1" applyBorder="1" applyAlignment="1">
      <alignment wrapText="1"/>
    </xf>
    <xf numFmtId="0" fontId="1" fillId="24" borderId="26" xfId="0" applyFont="1" applyFill="1" applyBorder="1" applyAlignment="1">
      <alignment wrapText="1"/>
    </xf>
    <xf numFmtId="0" fontId="1" fillId="24" borderId="27" xfId="0" applyFont="1" applyFill="1" applyBorder="1" applyAlignment="1">
      <alignment wrapText="1"/>
    </xf>
    <xf numFmtId="0" fontId="1" fillId="24" borderId="17" xfId="0" applyFont="1" applyFill="1" applyBorder="1" applyAlignment="1">
      <alignment horizontal="left"/>
    </xf>
    <xf numFmtId="0" fontId="1" fillId="24" borderId="18" xfId="0" applyNumberFormat="1" applyFont="1" applyFill="1" applyBorder="1" applyAlignment="1">
      <alignment wrapText="1"/>
    </xf>
    <xf numFmtId="0" fontId="1" fillId="24" borderId="26" xfId="0" applyFont="1" applyFill="1" applyBorder="1" applyAlignment="1">
      <alignment horizontal="left"/>
    </xf>
    <xf numFmtId="0" fontId="1" fillId="24" borderId="27" xfId="0" applyNumberFormat="1" applyFont="1" applyFill="1" applyBorder="1" applyAlignment="1">
      <alignment wrapText="1"/>
    </xf>
    <xf numFmtId="0" fontId="1" fillId="24" borderId="20" xfId="0" applyFont="1" applyFill="1" applyBorder="1" applyAlignment="1">
      <alignment horizontal="left"/>
    </xf>
    <xf numFmtId="0" fontId="1" fillId="24" borderId="19" xfId="0" applyNumberFormat="1" applyFont="1" applyFill="1" applyBorder="1" applyAlignment="1">
      <alignment wrapText="1"/>
    </xf>
    <xf numFmtId="0" fontId="1" fillId="24" borderId="0" xfId="0" applyFont="1" applyFill="1" applyBorder="1" applyAlignment="1">
      <alignment horizontal="left"/>
    </xf>
    <xf numFmtId="0" fontId="1" fillId="24" borderId="0" xfId="0" applyNumberFormat="1" applyFont="1" applyFill="1" applyBorder="1" applyAlignment="1">
      <alignment wrapText="1"/>
    </xf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172" fontId="0" fillId="0" borderId="0" xfId="0" applyNumberFormat="1"/>
    <xf numFmtId="0" fontId="5" fillId="24" borderId="38" xfId="0" applyFont="1" applyFill="1" applyBorder="1" applyAlignment="1">
      <alignment wrapText="1"/>
    </xf>
    <xf numFmtId="0" fontId="6" fillId="24" borderId="87" xfId="0" applyFont="1" applyFill="1" applyBorder="1" applyAlignment="1">
      <alignment wrapText="1"/>
    </xf>
    <xf numFmtId="0" fontId="6" fillId="24" borderId="88" xfId="0" applyFont="1" applyFill="1" applyBorder="1" applyAlignment="1">
      <alignment wrapText="1"/>
    </xf>
    <xf numFmtId="0" fontId="5" fillId="24" borderId="87" xfId="0" applyFont="1" applyFill="1" applyBorder="1" applyAlignment="1">
      <alignment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65" fontId="53" fillId="24" borderId="25" xfId="0" applyNumberFormat="1" applyFont="1" applyFill="1" applyBorder="1"/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165" fontId="53" fillId="24" borderId="0" xfId="0" applyNumberFormat="1" applyFont="1" applyFill="1" applyBorder="1"/>
    <xf numFmtId="43" fontId="5" fillId="0" borderId="0" xfId="35" applyNumberFormat="1" applyFont="1"/>
    <xf numFmtId="4" fontId="5" fillId="0" borderId="0" xfId="35" applyNumberFormat="1" applyFont="1"/>
    <xf numFmtId="43" fontId="5" fillId="24" borderId="53" xfId="0" applyNumberFormat="1" applyFont="1" applyFill="1" applyBorder="1" applyAlignment="1">
      <alignment horizontal="right" wrapText="1"/>
    </xf>
    <xf numFmtId="43" fontId="5" fillId="24" borderId="51" xfId="0" applyNumberFormat="1" applyFont="1" applyFill="1" applyBorder="1" applyAlignment="1">
      <alignment horizontal="right" wrapText="1"/>
    </xf>
    <xf numFmtId="43" fontId="1" fillId="24" borderId="51" xfId="0" applyNumberFormat="1" applyFont="1" applyFill="1" applyBorder="1" applyAlignment="1">
      <alignment horizontal="right" wrapText="1"/>
    </xf>
    <xf numFmtId="43" fontId="1" fillId="24" borderId="59" xfId="0" applyNumberFormat="1" applyFont="1" applyFill="1" applyBorder="1" applyAlignment="1">
      <alignment horizontal="right" wrapText="1"/>
    </xf>
    <xf numFmtId="43" fontId="5" fillId="24" borderId="59" xfId="0" applyNumberFormat="1" applyFont="1" applyFill="1" applyBorder="1" applyAlignment="1">
      <alignment horizontal="right" wrapText="1"/>
    </xf>
    <xf numFmtId="43" fontId="5" fillId="24" borderId="13" xfId="0" applyNumberFormat="1" applyFont="1" applyFill="1" applyBorder="1" applyAlignment="1">
      <alignment horizontal="right" wrapText="1"/>
    </xf>
    <xf numFmtId="164" fontId="1" fillId="24" borderId="51" xfId="0" applyNumberFormat="1" applyFont="1" applyFill="1" applyBorder="1"/>
    <xf numFmtId="164" fontId="1" fillId="24" borderId="59" xfId="0" applyNumberFormat="1" applyFont="1" applyFill="1" applyBorder="1"/>
    <xf numFmtId="4" fontId="1" fillId="24" borderId="58" xfId="0" applyNumberFormat="1" applyFont="1" applyFill="1" applyBorder="1"/>
    <xf numFmtId="165" fontId="1" fillId="24" borderId="51" xfId="0" applyNumberFormat="1" applyFont="1" applyFill="1" applyBorder="1"/>
    <xf numFmtId="165" fontId="1" fillId="24" borderId="52" xfId="0" applyNumberFormat="1" applyFont="1" applyFill="1" applyBorder="1"/>
    <xf numFmtId="0" fontId="5" fillId="24" borderId="10" xfId="0" applyFont="1" applyFill="1" applyBorder="1" applyAlignment="1">
      <alignment wrapText="1"/>
    </xf>
    <xf numFmtId="0" fontId="1" fillId="24" borderId="51" xfId="0" applyNumberFormat="1" applyFont="1" applyFill="1" applyBorder="1"/>
    <xf numFmtId="43" fontId="1" fillId="0" borderId="80" xfId="0" applyNumberFormat="1" applyFont="1" applyFill="1" applyBorder="1" applyAlignment="1">
      <alignment horizontal="right" wrapText="1"/>
    </xf>
    <xf numFmtId="43" fontId="5" fillId="0" borderId="12" xfId="0" applyNumberFormat="1" applyFont="1" applyFill="1" applyBorder="1" applyAlignment="1">
      <alignment horizontal="right" wrapText="1"/>
    </xf>
    <xf numFmtId="4" fontId="1" fillId="24" borderId="86" xfId="0" applyNumberFormat="1" applyFont="1" applyFill="1" applyBorder="1"/>
    <xf numFmtId="165" fontId="1" fillId="24" borderId="31" xfId="0" applyNumberFormat="1" applyFont="1" applyFill="1" applyBorder="1"/>
    <xf numFmtId="172" fontId="1" fillId="0" borderId="0" xfId="0" applyNumberFormat="1" applyFont="1"/>
    <xf numFmtId="166" fontId="1" fillId="0" borderId="0" xfId="0" applyNumberFormat="1" applyFont="1"/>
    <xf numFmtId="0" fontId="5" fillId="24" borderId="10" xfId="0" applyFont="1" applyFill="1" applyBorder="1" applyAlignment="1">
      <alignment wrapText="1"/>
    </xf>
    <xf numFmtId="0" fontId="32" fillId="24" borderId="0" xfId="0" applyFont="1" applyFill="1" applyBorder="1" applyAlignment="1">
      <alignment horizontal="left" vertical="center" wrapText="1"/>
    </xf>
    <xf numFmtId="173" fontId="0" fillId="0" borderId="0" xfId="0" applyNumberFormat="1"/>
    <xf numFmtId="0" fontId="5" fillId="24" borderId="10" xfId="0" applyFont="1" applyFill="1" applyBorder="1" applyAlignment="1">
      <alignment wrapText="1"/>
    </xf>
    <xf numFmtId="4" fontId="52" fillId="24" borderId="24" xfId="0" applyNumberFormat="1" applyFont="1" applyFill="1" applyBorder="1"/>
    <xf numFmtId="164" fontId="1" fillId="24" borderId="55" xfId="0" applyNumberFormat="1" applyFont="1" applyFill="1" applyBorder="1"/>
    <xf numFmtId="43" fontId="5" fillId="0" borderId="55" xfId="0" applyNumberFormat="1" applyFont="1" applyFill="1" applyBorder="1" applyAlignment="1">
      <alignment horizontal="right" wrapText="1"/>
    </xf>
    <xf numFmtId="43" fontId="1" fillId="0" borderId="55" xfId="0" applyNumberFormat="1" applyFont="1" applyFill="1" applyBorder="1" applyAlignment="1">
      <alignment horizontal="right" wrapText="1"/>
    </xf>
    <xf numFmtId="43" fontId="27" fillId="0" borderId="0" xfId="35" applyNumberFormat="1" applyFont="1" applyAlignment="1">
      <alignment horizontal="center"/>
    </xf>
    <xf numFmtId="0" fontId="27" fillId="0" borderId="0" xfId="35" applyFont="1" applyAlignment="1">
      <alignment horizontal="center"/>
    </xf>
    <xf numFmtId="164" fontId="1" fillId="0" borderId="51" xfId="0" applyNumberFormat="1" applyFont="1" applyFill="1" applyBorder="1"/>
    <xf numFmtId="164" fontId="1" fillId="0" borderId="25" xfId="0" applyNumberFormat="1" applyFont="1" applyFill="1" applyBorder="1"/>
    <xf numFmtId="164" fontId="1" fillId="0" borderId="59" xfId="0" applyNumberFormat="1" applyFont="1" applyFill="1" applyBorder="1"/>
    <xf numFmtId="164" fontId="1" fillId="0" borderId="50" xfId="0" applyNumberFormat="1" applyFont="1" applyFill="1" applyBorder="1"/>
    <xf numFmtId="4" fontId="1" fillId="0" borderId="58" xfId="0" applyNumberFormat="1" applyFont="1" applyFill="1" applyBorder="1"/>
    <xf numFmtId="0" fontId="1" fillId="0" borderId="51" xfId="0" applyNumberFormat="1" applyFont="1" applyFill="1" applyBorder="1"/>
    <xf numFmtId="165" fontId="1" fillId="0" borderId="52" xfId="0" applyNumberFormat="1" applyFont="1" applyFill="1" applyBorder="1"/>
    <xf numFmtId="165" fontId="1" fillId="0" borderId="36" xfId="0" applyNumberFormat="1" applyFont="1" applyFill="1" applyBorder="1"/>
    <xf numFmtId="43" fontId="5" fillId="0" borderId="53" xfId="0" applyNumberFormat="1" applyFont="1" applyFill="1" applyBorder="1" applyAlignment="1">
      <alignment horizontal="right" wrapText="1"/>
    </xf>
    <xf numFmtId="43" fontId="5" fillId="0" borderId="37" xfId="0" applyNumberFormat="1" applyFont="1" applyFill="1" applyBorder="1" applyAlignment="1">
      <alignment horizontal="right" wrapText="1"/>
    </xf>
    <xf numFmtId="43" fontId="5" fillId="0" borderId="51" xfId="0" applyNumberFormat="1" applyFont="1" applyFill="1" applyBorder="1" applyAlignment="1">
      <alignment horizontal="right" wrapText="1"/>
    </xf>
    <xf numFmtId="43" fontId="5" fillId="0" borderId="25" xfId="0" applyNumberFormat="1" applyFont="1" applyFill="1" applyBorder="1" applyAlignment="1">
      <alignment horizontal="right" wrapText="1"/>
    </xf>
    <xf numFmtId="43" fontId="1" fillId="0" borderId="51" xfId="0" applyNumberFormat="1" applyFont="1" applyFill="1" applyBorder="1" applyAlignment="1">
      <alignment horizontal="right" wrapText="1"/>
    </xf>
    <xf numFmtId="43" fontId="1" fillId="0" borderId="25" xfId="0" applyNumberFormat="1" applyFont="1" applyFill="1" applyBorder="1" applyAlignment="1">
      <alignment horizontal="right" wrapText="1"/>
    </xf>
    <xf numFmtId="43" fontId="1" fillId="0" borderId="59" xfId="0" applyNumberFormat="1" applyFont="1" applyFill="1" applyBorder="1" applyAlignment="1">
      <alignment horizontal="right" wrapText="1"/>
    </xf>
    <xf numFmtId="43" fontId="1" fillId="0" borderId="50" xfId="0" applyNumberFormat="1" applyFont="1" applyFill="1" applyBorder="1" applyAlignment="1">
      <alignment horizontal="right" wrapText="1"/>
    </xf>
    <xf numFmtId="43" fontId="5" fillId="0" borderId="59" xfId="0" applyNumberFormat="1" applyFont="1" applyFill="1" applyBorder="1" applyAlignment="1">
      <alignment horizontal="right" wrapText="1"/>
    </xf>
    <xf numFmtId="43" fontId="5" fillId="0" borderId="50" xfId="0" applyNumberFormat="1" applyFont="1" applyFill="1" applyBorder="1" applyAlignment="1">
      <alignment horizontal="right" wrapText="1"/>
    </xf>
    <xf numFmtId="43" fontId="5" fillId="0" borderId="13" xfId="0" applyNumberFormat="1" applyFont="1" applyFill="1" applyBorder="1" applyAlignment="1">
      <alignment horizontal="right" wrapText="1"/>
    </xf>
    <xf numFmtId="43" fontId="5" fillId="24" borderId="23" xfId="0" applyNumberFormat="1" applyFont="1" applyFill="1" applyBorder="1" applyAlignment="1">
      <alignment horizontal="right" wrapText="1"/>
    </xf>
    <xf numFmtId="43" fontId="1" fillId="24" borderId="80" xfId="0" applyNumberFormat="1" applyFont="1" applyFill="1" applyBorder="1" applyAlignment="1">
      <alignment horizontal="right" wrapText="1"/>
    </xf>
    <xf numFmtId="43" fontId="1" fillId="24" borderId="81" xfId="0" applyNumberFormat="1" applyFont="1" applyFill="1" applyBorder="1" applyAlignment="1">
      <alignment horizontal="right" wrapText="1"/>
    </xf>
    <xf numFmtId="43" fontId="5" fillId="24" borderId="80" xfId="0" applyNumberFormat="1" applyFont="1" applyFill="1" applyBorder="1" applyAlignment="1">
      <alignment horizontal="right" wrapText="1"/>
    </xf>
    <xf numFmtId="43" fontId="1" fillId="24" borderId="19" xfId="0" applyNumberFormat="1" applyFont="1" applyFill="1" applyBorder="1" applyAlignment="1">
      <alignment horizontal="right" wrapText="1"/>
    </xf>
    <xf numFmtId="43" fontId="1" fillId="24" borderId="18" xfId="0" applyNumberFormat="1" applyFont="1" applyFill="1" applyBorder="1" applyAlignment="1">
      <alignment horizontal="right" wrapText="1"/>
    </xf>
    <xf numFmtId="43" fontId="1" fillId="24" borderId="27" xfId="0" applyNumberFormat="1" applyFont="1" applyFill="1" applyBorder="1" applyAlignment="1">
      <alignment horizontal="right" wrapText="1"/>
    </xf>
    <xf numFmtId="43" fontId="5" fillId="24" borderId="27" xfId="0" applyNumberFormat="1" applyFont="1" applyFill="1" applyBorder="1" applyAlignment="1">
      <alignment horizontal="right" wrapText="1"/>
    </xf>
    <xf numFmtId="164" fontId="1" fillId="24" borderId="36" xfId="0" applyNumberFormat="1" applyFont="1" applyFill="1" applyBorder="1"/>
    <xf numFmtId="164" fontId="1" fillId="24" borderId="35" xfId="0" applyNumberFormat="1" applyFont="1" applyFill="1" applyBorder="1"/>
    <xf numFmtId="164" fontId="1" fillId="24" borderId="82" xfId="0" applyNumberFormat="1" applyFont="1" applyFill="1" applyBorder="1"/>
    <xf numFmtId="4" fontId="1" fillId="24" borderId="82" xfId="0" applyNumberFormat="1" applyFont="1" applyFill="1" applyBorder="1"/>
    <xf numFmtId="43" fontId="5" fillId="24" borderId="14" xfId="0" applyNumberFormat="1" applyFont="1" applyFill="1" applyBorder="1" applyAlignment="1">
      <alignment horizontal="right" wrapText="1"/>
    </xf>
    <xf numFmtId="43" fontId="5" fillId="0" borderId="80" xfId="0" applyNumberFormat="1" applyFont="1" applyFill="1" applyBorder="1" applyAlignment="1">
      <alignment horizontal="right" wrapText="1"/>
    </xf>
    <xf numFmtId="43" fontId="1" fillId="0" borderId="81" xfId="0" applyNumberFormat="1" applyFont="1" applyFill="1" applyBorder="1" applyAlignment="1">
      <alignment horizontal="right" wrapText="1"/>
    </xf>
    <xf numFmtId="43" fontId="5" fillId="24" borderId="81" xfId="0" applyNumberFormat="1" applyFont="1" applyFill="1" applyBorder="1" applyAlignment="1">
      <alignment horizontal="right" wrapText="1"/>
    </xf>
    <xf numFmtId="164" fontId="1" fillId="24" borderId="83" xfId="0" applyNumberFormat="1" applyFont="1" applyFill="1" applyBorder="1"/>
    <xf numFmtId="4" fontId="1" fillId="24" borderId="84" xfId="0" applyNumberFormat="1" applyFont="1" applyFill="1" applyBorder="1"/>
    <xf numFmtId="165" fontId="1" fillId="24" borderId="82" xfId="0" applyNumberFormat="1" applyFont="1" applyFill="1" applyBorder="1"/>
    <xf numFmtId="165" fontId="1" fillId="0" borderId="82" xfId="0" applyNumberFormat="1" applyFont="1" applyFill="1" applyBorder="1"/>
    <xf numFmtId="4" fontId="1" fillId="0" borderId="89" xfId="0" applyNumberFormat="1" applyFont="1" applyBorder="1"/>
    <xf numFmtId="165" fontId="1" fillId="24" borderId="85" xfId="0" applyNumberFormat="1" applyFont="1" applyFill="1" applyBorder="1"/>
    <xf numFmtId="165" fontId="1" fillId="0" borderId="31" xfId="0" applyNumberFormat="1" applyFont="1" applyFill="1" applyBorder="1"/>
    <xf numFmtId="165" fontId="1" fillId="24" borderId="35" xfId="0" applyNumberFormat="1" applyFont="1" applyFill="1" applyBorder="1"/>
    <xf numFmtId="43" fontId="5" fillId="0" borderId="24" xfId="0" applyNumberFormat="1" applyFont="1" applyFill="1" applyBorder="1" applyAlignment="1">
      <alignment horizontal="right" wrapText="1"/>
    </xf>
    <xf numFmtId="43" fontId="1" fillId="0" borderId="36" xfId="0" applyNumberFormat="1" applyFont="1" applyFill="1" applyBorder="1" applyAlignment="1">
      <alignment horizontal="right" wrapText="1"/>
    </xf>
    <xf numFmtId="4" fontId="1" fillId="0" borderId="31" xfId="0" applyNumberFormat="1" applyFont="1" applyBorder="1" applyAlignment="1">
      <alignment horizontal="right" vertical="top"/>
    </xf>
    <xf numFmtId="167" fontId="1" fillId="24" borderId="35" xfId="0" applyNumberFormat="1" applyFont="1" applyFill="1" applyBorder="1" applyAlignment="1">
      <alignment horizontal="right" wrapText="1"/>
    </xf>
    <xf numFmtId="4" fontId="1" fillId="0" borderId="31" xfId="50" applyNumberFormat="1" applyFont="1" applyBorder="1" applyAlignment="1">
      <alignment horizontal="right" vertical="top"/>
    </xf>
    <xf numFmtId="164" fontId="1" fillId="0" borderId="81" xfId="0" applyNumberFormat="1" applyFont="1" applyBorder="1"/>
    <xf numFmtId="164" fontId="1" fillId="0" borderId="80" xfId="0" applyNumberFormat="1" applyFont="1" applyBorder="1"/>
    <xf numFmtId="164" fontId="1" fillId="0" borderId="0" xfId="0" applyNumberFormat="1" applyFont="1"/>
    <xf numFmtId="164" fontId="1" fillId="0" borderId="19" xfId="0" applyNumberFormat="1" applyFont="1" applyBorder="1"/>
    <xf numFmtId="167" fontId="1" fillId="0" borderId="25" xfId="0" applyNumberFormat="1" applyFont="1" applyFill="1" applyBorder="1" applyAlignment="1">
      <alignment horizontal="right" wrapText="1"/>
    </xf>
    <xf numFmtId="164" fontId="1" fillId="24" borderId="85" xfId="0" applyNumberFormat="1" applyFont="1" applyFill="1" applyBorder="1"/>
    <xf numFmtId="165" fontId="1" fillId="24" borderId="86" xfId="0" applyNumberFormat="1" applyFont="1" applyFill="1" applyBorder="1"/>
    <xf numFmtId="0" fontId="1" fillId="24" borderId="11" xfId="0" applyFont="1" applyFill="1" applyBorder="1" applyAlignment="1">
      <alignment horizontal="center"/>
    </xf>
    <xf numFmtId="0" fontId="5" fillId="0" borderId="0" xfId="35" applyFont="1"/>
    <xf numFmtId="0" fontId="5" fillId="24" borderId="29" xfId="0" applyFont="1" applyFill="1" applyBorder="1" applyAlignment="1">
      <alignment horizontal="center" wrapText="1"/>
    </xf>
    <xf numFmtId="0" fontId="5" fillId="24" borderId="53" xfId="0" applyFont="1" applyFill="1" applyBorder="1" applyAlignment="1">
      <alignment horizontal="center" wrapText="1"/>
    </xf>
    <xf numFmtId="0" fontId="3" fillId="24" borderId="0" xfId="0" applyFont="1" applyFill="1" applyBorder="1" applyAlignment="1">
      <alignment horizontal="center"/>
    </xf>
    <xf numFmtId="0" fontId="32" fillId="24" borderId="0" xfId="0" applyFont="1" applyFill="1" applyBorder="1" applyAlignment="1">
      <alignment horizontal="left"/>
    </xf>
    <xf numFmtId="0" fontId="32" fillId="24" borderId="0" xfId="0" applyFont="1" applyFill="1" applyBorder="1" applyAlignment="1">
      <alignment horizontal="left" vertical="center" wrapText="1"/>
    </xf>
    <xf numFmtId="0" fontId="3" fillId="24" borderId="47" xfId="0" applyFont="1" applyFill="1" applyBorder="1" applyAlignment="1">
      <alignment horizontal="center" wrapText="1"/>
    </xf>
    <xf numFmtId="0" fontId="3" fillId="24" borderId="0" xfId="0" applyFont="1" applyFill="1" applyBorder="1" applyAlignment="1">
      <alignment horizontal="center" wrapText="1"/>
    </xf>
    <xf numFmtId="0" fontId="3" fillId="24" borderId="0" xfId="0" applyFont="1" applyFill="1" applyAlignment="1">
      <alignment horizontal="center" wrapText="1"/>
    </xf>
    <xf numFmtId="0" fontId="0" fillId="0" borderId="0" xfId="0" applyAlignment="1"/>
    <xf numFmtId="0" fontId="0" fillId="0" borderId="47" xfId="0" applyBorder="1" applyAlignment="1">
      <alignment horizontal="center" wrapText="1"/>
    </xf>
    <xf numFmtId="0" fontId="5" fillId="24" borderId="10" xfId="0" applyFont="1" applyFill="1" applyBorder="1" applyAlignment="1">
      <alignment wrapText="1"/>
    </xf>
    <xf numFmtId="0" fontId="5" fillId="24" borderId="13" xfId="0" applyFont="1" applyFill="1" applyBorder="1" applyAlignment="1">
      <alignment wrapText="1"/>
    </xf>
    <xf numFmtId="0" fontId="5" fillId="24" borderId="54" xfId="0" applyFont="1" applyFill="1" applyBorder="1" applyAlignment="1">
      <alignment wrapText="1"/>
    </xf>
    <xf numFmtId="0" fontId="5" fillId="24" borderId="56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47" xfId="0" applyBorder="1" applyAlignment="1">
      <alignment wrapText="1"/>
    </xf>
    <xf numFmtId="0" fontId="1" fillId="0" borderId="47" xfId="0" applyFont="1" applyBorder="1" applyAlignment="1">
      <alignment horizontal="center" wrapText="1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47" xfId="0" applyFont="1" applyBorder="1" applyAlignment="1">
      <alignment wrapText="1"/>
    </xf>
    <xf numFmtId="0" fontId="5" fillId="24" borderId="10" xfId="0" applyFont="1" applyFill="1" applyBorder="1" applyAlignment="1">
      <alignment horizontal="center" wrapText="1"/>
    </xf>
    <xf numFmtId="0" fontId="5" fillId="24" borderId="13" xfId="0" applyFont="1" applyFill="1" applyBorder="1" applyAlignment="1">
      <alignment horizontal="center" wrapText="1"/>
    </xf>
  </cellXfs>
  <cellStyles count="121">
    <cellStyle name="=D:\WINNT\SYSTEM32\COMMAND.COM" xfId="102"/>
    <cellStyle name="20% - Accent1" xfId="57"/>
    <cellStyle name="20% - Accent2" xfId="58"/>
    <cellStyle name="20% - Accent3" xfId="59"/>
    <cellStyle name="20% - Accent4" xfId="60"/>
    <cellStyle name="20% - Accent5" xfId="61"/>
    <cellStyle name="20% - Accent6" xfId="62"/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ccent1" xfId="63"/>
    <cellStyle name="40% - Accent2" xfId="64"/>
    <cellStyle name="40% - Accent3" xfId="65"/>
    <cellStyle name="40% - Accent4" xfId="66"/>
    <cellStyle name="40% - Accent5" xfId="67"/>
    <cellStyle name="40% - Accent6" xfId="68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ccent1" xfId="69"/>
    <cellStyle name="60% - Accent2" xfId="70"/>
    <cellStyle name="60% - Accent3" xfId="71"/>
    <cellStyle name="60% - Accent4" xfId="72"/>
    <cellStyle name="60% - Accent5" xfId="73"/>
    <cellStyle name="60% - Accent6" xfId="74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ccent1" xfId="75"/>
    <cellStyle name="Accent2" xfId="76"/>
    <cellStyle name="Accent3" xfId="77"/>
    <cellStyle name="Accent4" xfId="78"/>
    <cellStyle name="Accent5" xfId="79"/>
    <cellStyle name="Accent6" xfId="80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Bad" xfId="81"/>
    <cellStyle name="Calculation" xfId="82"/>
    <cellStyle name="Check Cell" xfId="83"/>
    <cellStyle name="Dane wejściowe" xfId="25" builtinId="20" customBuiltin="1"/>
    <cellStyle name="Dane wejściowe 2" xfId="49"/>
    <cellStyle name="Dane wejściowe 2 2" xfId="55"/>
    <cellStyle name="Dane wejściowe 2 2 2" xfId="103"/>
    <cellStyle name="Dane wejściowe 2 3" xfId="113"/>
    <cellStyle name="Dane wejściowe 3" xfId="118"/>
    <cellStyle name="Dane wyjściowe" xfId="26" builtinId="21" customBuiltin="1"/>
    <cellStyle name="Dane wyjściowe 2" xfId="48"/>
    <cellStyle name="Dane wyjściowe 2 2" xfId="54"/>
    <cellStyle name="Dane wyjściowe 2 2 2" xfId="104"/>
    <cellStyle name="Dane wyjściowe 2 3" xfId="114"/>
    <cellStyle name="Dane wyjściowe 3" xfId="109"/>
    <cellStyle name="Dobre" xfId="27" builtinId="26" customBuiltin="1"/>
    <cellStyle name="Explanatory Text" xfId="84"/>
    <cellStyle name="Good" xfId="85"/>
    <cellStyle name="Heading 1" xfId="86"/>
    <cellStyle name="Heading 2" xfId="87"/>
    <cellStyle name="Heading 3" xfId="88"/>
    <cellStyle name="Heading 4" xfId="89"/>
    <cellStyle name="Input" xfId="90"/>
    <cellStyle name="Komórka połączona" xfId="28" builtinId="24" customBuiltin="1"/>
    <cellStyle name="Komórka zaznaczona" xfId="29" builtinId="23" customBuiltin="1"/>
    <cellStyle name="Linked Cell" xfId="9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" xfId="92"/>
    <cellStyle name="Neutralne" xfId="34" builtinId="28" customBuiltin="1"/>
    <cellStyle name="Normalny" xfId="0" builtinId="0"/>
    <cellStyle name="Normalny 2" xfId="44"/>
    <cellStyle name="Normalny 3" xfId="50"/>
    <cellStyle name="Normalny 4" xfId="56"/>
    <cellStyle name="Normalny 4 2" xfId="112"/>
    <cellStyle name="Normalny 5" xfId="98"/>
    <cellStyle name="Normalny 5 2" xfId="119"/>
    <cellStyle name="Normalny 6" xfId="101"/>
    <cellStyle name="Normalny_Arkusz1" xfId="35"/>
    <cellStyle name="Note" xfId="93"/>
    <cellStyle name="Note 2" xfId="99"/>
    <cellStyle name="Note 2 2" xfId="120"/>
    <cellStyle name="Note 3" xfId="100"/>
    <cellStyle name="Obliczenia" xfId="36" builtinId="22" customBuiltin="1"/>
    <cellStyle name="Obliczenia 2" xfId="47"/>
    <cellStyle name="Obliczenia 2 2" xfId="53"/>
    <cellStyle name="Obliczenia 2 2 2" xfId="105"/>
    <cellStyle name="Obliczenia 2 3" xfId="115"/>
    <cellStyle name="Obliczenia 3" xfId="117"/>
    <cellStyle name="Output" xfId="94"/>
    <cellStyle name="Procentowy" xfId="37" builtinId="5"/>
    <cellStyle name="Suma" xfId="38" builtinId="25" customBuiltin="1"/>
    <cellStyle name="Suma 2" xfId="46"/>
    <cellStyle name="Suma 2 2" xfId="52"/>
    <cellStyle name="Suma 2 2 2" xfId="106"/>
    <cellStyle name="Suma 2 3" xfId="108"/>
    <cellStyle name="Suma 3" xfId="116"/>
    <cellStyle name="Tekst objaśnienia" xfId="39" builtinId="53" customBuiltin="1"/>
    <cellStyle name="Tekst ostrzeżenia" xfId="40" builtinId="11" customBuiltin="1"/>
    <cellStyle name="Title" xfId="95"/>
    <cellStyle name="Total" xfId="96"/>
    <cellStyle name="Tytuł" xfId="41" builtinId="15" customBuiltin="1"/>
    <cellStyle name="Uwaga" xfId="42" builtinId="10" customBuiltin="1"/>
    <cellStyle name="Uwaga 2" xfId="45"/>
    <cellStyle name="Uwaga 2 2" xfId="51"/>
    <cellStyle name="Uwaga 2 2 2" xfId="107"/>
    <cellStyle name="Uwaga 2 3" xfId="111"/>
    <cellStyle name="Uwaga 3" xfId="110"/>
    <cellStyle name="Warning Text" xfId="97"/>
    <cellStyle name="Złe" xfId="43" builtinId="27" customBuiltin="1"/>
  </cellStyles>
  <dxfs count="0"/>
  <tableStyles count="0" defaultTableStyle="TableStyleMedium9" defaultPivotStyle="PivotStyleLight16"/>
  <colors>
    <mruColors>
      <color rgb="FF00FF00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38" Type="http://schemas.openxmlformats.org/officeDocument/2006/relationships/worksheet" Target="worksheets/sheet138.xml"/><Relationship Id="rId154" Type="http://schemas.openxmlformats.org/officeDocument/2006/relationships/worksheet" Target="worksheets/sheet154.xml"/><Relationship Id="rId159" Type="http://schemas.openxmlformats.org/officeDocument/2006/relationships/worksheet" Target="worksheets/sheet159.xml"/><Relationship Id="rId175" Type="http://schemas.openxmlformats.org/officeDocument/2006/relationships/worksheet" Target="worksheets/sheet175.xml"/><Relationship Id="rId170" Type="http://schemas.openxmlformats.org/officeDocument/2006/relationships/worksheet" Target="worksheets/sheet170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28" Type="http://schemas.openxmlformats.org/officeDocument/2006/relationships/worksheet" Target="worksheets/sheet128.xml"/><Relationship Id="rId144" Type="http://schemas.openxmlformats.org/officeDocument/2006/relationships/worksheet" Target="worksheets/sheet144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65" Type="http://schemas.openxmlformats.org/officeDocument/2006/relationships/worksheet" Target="worksheets/sheet16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134" Type="http://schemas.openxmlformats.org/officeDocument/2006/relationships/worksheet" Target="worksheets/sheet134.xml"/><Relationship Id="rId139" Type="http://schemas.openxmlformats.org/officeDocument/2006/relationships/worksheet" Target="worksheets/sheet13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55" Type="http://schemas.openxmlformats.org/officeDocument/2006/relationships/worksheet" Target="worksheets/sheet155.xml"/><Relationship Id="rId171" Type="http://schemas.openxmlformats.org/officeDocument/2006/relationships/worksheet" Target="worksheets/sheet171.xml"/><Relationship Id="rId176" Type="http://schemas.openxmlformats.org/officeDocument/2006/relationships/theme" Target="theme/theme1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24" Type="http://schemas.openxmlformats.org/officeDocument/2006/relationships/worksheet" Target="worksheets/sheet124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worksheet" Target="worksheets/sheet16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64" Type="http://schemas.openxmlformats.org/officeDocument/2006/relationships/worksheet" Target="worksheets/sheet164.xml"/><Relationship Id="rId169" Type="http://schemas.openxmlformats.org/officeDocument/2006/relationships/worksheet" Target="worksheets/sheet169.xml"/><Relationship Id="rId177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72" Type="http://schemas.openxmlformats.org/officeDocument/2006/relationships/worksheet" Target="worksheets/sheet172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178" Type="http://schemas.openxmlformats.org/officeDocument/2006/relationships/sharedStrings" Target="sharedStrings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73" Type="http://schemas.openxmlformats.org/officeDocument/2006/relationships/worksheet" Target="worksheets/sheet173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Relationship Id="rId174" Type="http://schemas.openxmlformats.org/officeDocument/2006/relationships/worksheet" Target="worksheets/sheet174.xml"/><Relationship Id="rId179" Type="http://schemas.openxmlformats.org/officeDocument/2006/relationships/calcChain" Target="calcChain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1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1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1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1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1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1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1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1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1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1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1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1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1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1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_rels/sheet1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9.bin"/></Relationships>
</file>

<file path=xl/worksheets/_rels/sheet1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0.bin"/></Relationships>
</file>

<file path=xl/worksheets/_rels/sheet1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1.bin"/></Relationships>
</file>

<file path=xl/worksheets/_rels/sheet1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2.bin"/></Relationships>
</file>

<file path=xl/worksheets/_rels/sheet1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4.bin"/></Relationships>
</file>

<file path=xl/worksheets/_rels/sheet1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5.bin"/></Relationships>
</file>

<file path=xl/worksheets/_rels/sheet1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6.bin"/></Relationships>
</file>

<file path=xl/worksheets/_rels/sheet1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7.bin"/></Relationships>
</file>

<file path=xl/worksheets/_rels/sheet1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8.bin"/></Relationships>
</file>

<file path=xl/worksheets/_rels/sheet1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9.bin"/></Relationships>
</file>

<file path=xl/worksheets/_rels/sheet1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1.bin"/></Relationships>
</file>

<file path=xl/worksheets/_rels/sheet1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2.bin"/></Relationships>
</file>

<file path=xl/worksheets/_rels/sheet1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3.bin"/></Relationships>
</file>

<file path=xl/worksheets/_rels/sheet1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4.bin"/></Relationships>
</file>

<file path=xl/worksheets/_rels/sheet1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5.bin"/></Relationships>
</file>

<file path=xl/worksheets/_rels/sheet1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6.bin"/></Relationships>
</file>

<file path=xl/worksheets/_rels/sheet1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7.bin"/></Relationships>
</file>

<file path=xl/worksheets/_rels/sheet1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9.bin"/></Relationships>
</file>

<file path=xl/worksheets/_rels/sheet1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0.bin"/></Relationships>
</file>

<file path=xl/worksheets/_rels/sheet1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1.bin"/></Relationships>
</file>

<file path=xl/worksheets/_rels/sheet1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2.bin"/></Relationships>
</file>

<file path=xl/worksheets/_rels/sheet1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L81"/>
  <sheetViews>
    <sheetView tabSelected="1"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21.140625" customWidth="1"/>
    <col min="9" max="9" width="13.28515625" customWidth="1"/>
    <col min="10" max="10" width="15.140625" customWidth="1"/>
    <col min="11" max="11" width="14.42578125" bestFit="1" customWidth="1"/>
    <col min="12" max="12" width="15.85546875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99"/>
      <c r="C4" s="99"/>
      <c r="D4" s="99"/>
      <c r="E4" s="99"/>
    </row>
    <row r="5" spans="2:12" ht="14.25">
      <c r="B5" s="333" t="s">
        <v>1</v>
      </c>
      <c r="C5" s="333"/>
      <c r="D5" s="333"/>
      <c r="E5" s="333"/>
    </row>
    <row r="6" spans="2:12" ht="14.25" customHeight="1">
      <c r="B6" s="334" t="s">
        <v>84</v>
      </c>
      <c r="C6" s="334"/>
      <c r="D6" s="334"/>
      <c r="E6" s="334"/>
    </row>
    <row r="7" spans="2:12" ht="14.25">
      <c r="B7" s="203"/>
      <c r="C7" s="203"/>
      <c r="D7" s="203"/>
      <c r="E7" s="203"/>
    </row>
    <row r="8" spans="2:12" ht="12.75" customHeight="1">
      <c r="B8" s="336" t="s">
        <v>18</v>
      </c>
      <c r="C8" s="336"/>
      <c r="D8" s="336"/>
      <c r="E8" s="336"/>
    </row>
    <row r="9" spans="2:12" ht="15.75" customHeight="1" thickBot="1">
      <c r="B9" s="335" t="s">
        <v>209</v>
      </c>
      <c r="C9" s="335"/>
      <c r="D9" s="335"/>
      <c r="E9" s="335"/>
    </row>
    <row r="10" spans="2:12" ht="13.5" thickBot="1">
      <c r="B10" s="204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232" t="s">
        <v>215</v>
      </c>
      <c r="D11" s="292">
        <f>D12+D13+D14</f>
        <v>257596191.25</v>
      </c>
      <c r="E11" s="9">
        <f>E12+E13+E14</f>
        <v>227811051.02999997</v>
      </c>
    </row>
    <row r="12" spans="2:12">
      <c r="B12" s="123" t="s">
        <v>4</v>
      </c>
      <c r="C12" s="233" t="s">
        <v>5</v>
      </c>
      <c r="D12" s="257">
        <f>266194327.03-8600638.78</f>
        <v>257593688.25</v>
      </c>
      <c r="E12" s="270">
        <f>237762873.6-9957765.27</f>
        <v>227805108.32999998</v>
      </c>
    </row>
    <row r="13" spans="2:12" ht="12.75" customHeight="1">
      <c r="B13" s="123" t="s">
        <v>6</v>
      </c>
      <c r="C13" s="233" t="s">
        <v>7</v>
      </c>
      <c r="D13" s="293">
        <v>82.03</v>
      </c>
      <c r="E13" s="95"/>
    </row>
    <row r="14" spans="2:12">
      <c r="B14" s="123" t="s">
        <v>8</v>
      </c>
      <c r="C14" s="233" t="s">
        <v>10</v>
      </c>
      <c r="D14" s="293">
        <f>D15</f>
        <v>2420.9699999999998</v>
      </c>
      <c r="E14" s="95">
        <f>E15</f>
        <v>5942.7</v>
      </c>
    </row>
    <row r="15" spans="2:12">
      <c r="B15" s="123" t="s">
        <v>212</v>
      </c>
      <c r="C15" s="233" t="s">
        <v>11</v>
      </c>
      <c r="D15" s="293">
        <v>2420.9699999999998</v>
      </c>
      <c r="E15" s="95">
        <v>5942.7</v>
      </c>
    </row>
    <row r="16" spans="2:12">
      <c r="B16" s="124" t="s">
        <v>213</v>
      </c>
      <c r="C16" s="234" t="s">
        <v>12</v>
      </c>
      <c r="D16" s="294"/>
      <c r="E16" s="96"/>
    </row>
    <row r="17" spans="2:12">
      <c r="B17" s="10" t="s">
        <v>13</v>
      </c>
      <c r="C17" s="235" t="s">
        <v>65</v>
      </c>
      <c r="D17" s="295">
        <f>SUM(D18:D19)</f>
        <v>262464.32</v>
      </c>
      <c r="E17" s="107">
        <f>SUM(E18:E19)</f>
        <v>692765.75</v>
      </c>
    </row>
    <row r="18" spans="2:12">
      <c r="B18" s="123" t="s">
        <v>4</v>
      </c>
      <c r="C18" s="233" t="s">
        <v>11</v>
      </c>
      <c r="D18" s="294">
        <v>262464.32</v>
      </c>
      <c r="E18" s="96">
        <v>692765.75</v>
      </c>
    </row>
    <row r="19" spans="2:12" ht="15" customHeight="1">
      <c r="B19" s="123" t="s">
        <v>6</v>
      </c>
      <c r="C19" s="233" t="s">
        <v>214</v>
      </c>
      <c r="D19" s="293"/>
      <c r="E19" s="95"/>
    </row>
    <row r="20" spans="2:12" ht="13.5" thickBot="1">
      <c r="B20" s="125" t="s">
        <v>8</v>
      </c>
      <c r="C20" s="73" t="s">
        <v>14</v>
      </c>
      <c r="D20" s="296"/>
      <c r="E20" s="97"/>
    </row>
    <row r="21" spans="2:12" ht="13.5" customHeight="1" thickBot="1">
      <c r="B21" s="340" t="s">
        <v>216</v>
      </c>
      <c r="C21" s="341"/>
      <c r="D21" s="87">
        <f>D11-D17</f>
        <v>257333726.93000001</v>
      </c>
      <c r="E21" s="165">
        <f>E11-E17</f>
        <v>227118285.27999997</v>
      </c>
      <c r="F21" s="86"/>
      <c r="G21" s="86"/>
      <c r="H21" s="188"/>
      <c r="J21" s="188"/>
      <c r="K21" s="188">
        <f>E21-E41</f>
        <v>0</v>
      </c>
    </row>
    <row r="22" spans="2:12">
      <c r="B22" s="3"/>
      <c r="C22" s="7"/>
      <c r="D22" s="8"/>
      <c r="E22" s="8"/>
      <c r="G22" s="77"/>
    </row>
    <row r="23" spans="2:12" ht="14.25" customHeight="1">
      <c r="B23" s="336" t="s">
        <v>210</v>
      </c>
      <c r="C23" s="336"/>
      <c r="D23" s="336"/>
      <c r="E23" s="336"/>
      <c r="G23" s="77"/>
    </row>
    <row r="24" spans="2:12" ht="16.5" customHeight="1" thickBot="1">
      <c r="B24" s="335" t="s">
        <v>211</v>
      </c>
      <c r="C24" s="335"/>
      <c r="D24" s="335"/>
      <c r="E24" s="335"/>
    </row>
    <row r="25" spans="2:12" ht="13.5" thickBot="1">
      <c r="B25" s="204"/>
      <c r="C25" s="5" t="s">
        <v>2</v>
      </c>
      <c r="D25" s="74" t="s">
        <v>245</v>
      </c>
      <c r="E25" s="30" t="s">
        <v>268</v>
      </c>
    </row>
    <row r="26" spans="2:12">
      <c r="B26" s="110" t="s">
        <v>15</v>
      </c>
      <c r="C26" s="111" t="s">
        <v>16</v>
      </c>
      <c r="D26" s="281">
        <v>306731797.72999996</v>
      </c>
      <c r="E26" s="282">
        <f>D21</f>
        <v>257333726.93000001</v>
      </c>
      <c r="F26" s="178"/>
      <c r="G26" s="190"/>
    </row>
    <row r="27" spans="2:12">
      <c r="B27" s="10" t="s">
        <v>17</v>
      </c>
      <c r="C27" s="11" t="s">
        <v>217</v>
      </c>
      <c r="D27" s="283">
        <v>-50035712.649999954</v>
      </c>
      <c r="E27" s="269">
        <f>E28-E32</f>
        <v>-30897351.639999993</v>
      </c>
      <c r="F27" s="180"/>
      <c r="G27" s="181"/>
      <c r="H27" s="77"/>
      <c r="I27" s="77"/>
      <c r="J27" s="77"/>
      <c r="K27" s="77"/>
      <c r="L27" s="71"/>
    </row>
    <row r="28" spans="2:12">
      <c r="B28" s="10" t="s">
        <v>18</v>
      </c>
      <c r="C28" s="11" t="s">
        <v>19</v>
      </c>
      <c r="D28" s="283">
        <v>6949068.8899999997</v>
      </c>
      <c r="E28" s="284">
        <f>SUM(E29:E31)</f>
        <v>5282857.96</v>
      </c>
      <c r="F28" s="180"/>
      <c r="G28" s="181"/>
      <c r="H28" s="77"/>
      <c r="I28" s="77"/>
      <c r="J28" s="77"/>
      <c r="K28" s="77"/>
    </row>
    <row r="29" spans="2:12">
      <c r="B29" s="121" t="s">
        <v>4</v>
      </c>
      <c r="C29" s="6" t="s">
        <v>20</v>
      </c>
      <c r="D29" s="285">
        <v>6404037.8799999999</v>
      </c>
      <c r="E29" s="286">
        <v>4294339.7</v>
      </c>
      <c r="F29" s="180"/>
      <c r="G29" s="180"/>
      <c r="H29" s="77"/>
      <c r="I29" s="77"/>
      <c r="J29" s="77"/>
      <c r="K29" s="77"/>
    </row>
    <row r="30" spans="2:12">
      <c r="B30" s="121" t="s">
        <v>6</v>
      </c>
      <c r="C30" s="6" t="s">
        <v>21</v>
      </c>
      <c r="D30" s="285"/>
      <c r="E30" s="286"/>
      <c r="F30" s="180"/>
      <c r="G30" s="180"/>
      <c r="H30" s="77"/>
      <c r="I30" s="77"/>
      <c r="J30" s="77"/>
      <c r="K30" s="77"/>
    </row>
    <row r="31" spans="2:12">
      <c r="B31" s="121" t="s">
        <v>8</v>
      </c>
      <c r="C31" s="6" t="s">
        <v>22</v>
      </c>
      <c r="D31" s="285">
        <v>545031.01</v>
      </c>
      <c r="E31" s="286">
        <v>988518.26</v>
      </c>
      <c r="F31" s="180"/>
      <c r="G31" s="180"/>
      <c r="H31" s="77"/>
      <c r="I31" s="77"/>
      <c r="J31" s="77"/>
      <c r="K31" s="77"/>
    </row>
    <row r="32" spans="2:12">
      <c r="B32" s="106" t="s">
        <v>23</v>
      </c>
      <c r="C32" s="12" t="s">
        <v>24</v>
      </c>
      <c r="D32" s="283">
        <v>56984781.539999954</v>
      </c>
      <c r="E32" s="284">
        <f>SUM(E33:E39)</f>
        <v>36180209.599999994</v>
      </c>
      <c r="F32" s="180"/>
      <c r="G32" s="181"/>
      <c r="H32" s="77"/>
      <c r="I32" s="77"/>
      <c r="J32" s="77"/>
      <c r="K32" s="77"/>
    </row>
    <row r="33" spans="2:11">
      <c r="B33" s="121" t="s">
        <v>4</v>
      </c>
      <c r="C33" s="6" t="s">
        <v>25</v>
      </c>
      <c r="D33" s="285">
        <v>49498491.710000001</v>
      </c>
      <c r="E33" s="286">
        <f>30841952.89+1357126.49</f>
        <v>32199079.379999999</v>
      </c>
      <c r="F33" s="180"/>
      <c r="G33" s="180"/>
      <c r="H33" s="77"/>
      <c r="I33" s="77"/>
      <c r="J33" s="77"/>
      <c r="K33" s="77"/>
    </row>
    <row r="34" spans="2:11">
      <c r="B34" s="121" t="s">
        <v>6</v>
      </c>
      <c r="C34" s="6" t="s">
        <v>26</v>
      </c>
      <c r="D34" s="285"/>
      <c r="E34" s="286"/>
      <c r="F34" s="180"/>
      <c r="G34" s="180"/>
      <c r="H34" s="77"/>
      <c r="I34" s="77"/>
      <c r="J34" s="77"/>
      <c r="K34" s="77"/>
    </row>
    <row r="35" spans="2:11">
      <c r="B35" s="121" t="s">
        <v>8</v>
      </c>
      <c r="C35" s="6" t="s">
        <v>27</v>
      </c>
      <c r="D35" s="285">
        <v>3444829.81</v>
      </c>
      <c r="E35" s="286">
        <v>2280749.5599999996</v>
      </c>
      <c r="F35" s="180"/>
      <c r="G35" s="180"/>
      <c r="H35" s="77"/>
      <c r="I35" s="77"/>
      <c r="J35" s="77"/>
      <c r="K35" s="77"/>
    </row>
    <row r="36" spans="2:11">
      <c r="B36" s="121" t="s">
        <v>9</v>
      </c>
      <c r="C36" s="6" t="s">
        <v>28</v>
      </c>
      <c r="D36" s="285"/>
      <c r="E36" s="286"/>
      <c r="F36" s="180"/>
      <c r="G36" s="180"/>
      <c r="H36" s="77"/>
      <c r="I36" s="77"/>
      <c r="J36" s="77"/>
      <c r="K36" s="77"/>
    </row>
    <row r="37" spans="2:11" ht="25.5">
      <c r="B37" s="121" t="s">
        <v>29</v>
      </c>
      <c r="C37" s="6" t="s">
        <v>30</v>
      </c>
      <c r="D37" s="285"/>
      <c r="E37" s="286"/>
      <c r="F37" s="180"/>
      <c r="G37" s="182"/>
      <c r="H37" s="77"/>
      <c r="I37" s="77"/>
      <c r="J37" s="77"/>
      <c r="K37" s="77"/>
    </row>
    <row r="38" spans="2:11">
      <c r="B38" s="121" t="s">
        <v>31</v>
      </c>
      <c r="C38" s="6" t="s">
        <v>32</v>
      </c>
      <c r="D38" s="285"/>
      <c r="E38" s="286"/>
      <c r="F38" s="180"/>
      <c r="G38" s="182"/>
      <c r="H38" s="77"/>
      <c r="I38" s="77"/>
      <c r="J38" s="77"/>
      <c r="K38" s="77"/>
    </row>
    <row r="39" spans="2:11">
      <c r="B39" s="122" t="s">
        <v>33</v>
      </c>
      <c r="C39" s="13" t="s">
        <v>34</v>
      </c>
      <c r="D39" s="287">
        <v>4041460.0199999525</v>
      </c>
      <c r="E39" s="288">
        <v>1700380.66</v>
      </c>
      <c r="F39" s="180"/>
      <c r="G39" s="184"/>
      <c r="H39" s="77"/>
      <c r="I39" s="77"/>
      <c r="J39" s="77"/>
      <c r="K39" s="77"/>
    </row>
    <row r="40" spans="2:11" ht="13.5" thickBot="1">
      <c r="B40" s="113" t="s">
        <v>35</v>
      </c>
      <c r="C40" s="114" t="s">
        <v>36</v>
      </c>
      <c r="D40" s="289">
        <v>637641.85</v>
      </c>
      <c r="E40" s="290">
        <v>681909.99</v>
      </c>
      <c r="F40" s="178"/>
      <c r="G40" s="179"/>
      <c r="H40" s="77"/>
    </row>
    <row r="41" spans="2:11" ht="13.5" thickBot="1">
      <c r="B41" s="116" t="s">
        <v>37</v>
      </c>
      <c r="C41" s="117" t="s">
        <v>38</v>
      </c>
      <c r="D41" s="291">
        <v>257333726.93000001</v>
      </c>
      <c r="E41" s="258">
        <f>E26+E27+E40</f>
        <v>227118285.28000003</v>
      </c>
      <c r="F41" s="183"/>
      <c r="G41" s="184"/>
    </row>
    <row r="42" spans="2:11" ht="13.5" customHeight="1">
      <c r="B42" s="108"/>
      <c r="C42" s="108"/>
      <c r="D42" s="109"/>
      <c r="E42" s="109"/>
      <c r="F42" s="86"/>
      <c r="G42" s="71"/>
    </row>
    <row r="43" spans="2:11" ht="13.5">
      <c r="B43" s="337" t="s">
        <v>60</v>
      </c>
      <c r="C43" s="338"/>
      <c r="D43" s="338"/>
      <c r="E43" s="338"/>
      <c r="G43" s="77"/>
    </row>
    <row r="44" spans="2:11" ht="19.5" customHeight="1" thickBot="1">
      <c r="B44" s="335" t="s">
        <v>243</v>
      </c>
      <c r="C44" s="339"/>
      <c r="D44" s="339"/>
      <c r="E44" s="339"/>
      <c r="G44" s="77"/>
    </row>
    <row r="45" spans="2:11" ht="13.5" thickBot="1">
      <c r="B45" s="4"/>
      <c r="C45" s="31" t="s">
        <v>39</v>
      </c>
      <c r="D45" s="74" t="s">
        <v>245</v>
      </c>
      <c r="E45" s="30" t="s">
        <v>268</v>
      </c>
      <c r="G45" s="77"/>
    </row>
    <row r="46" spans="2:11">
      <c r="B46" s="14" t="s">
        <v>18</v>
      </c>
      <c r="C46" s="32" t="s">
        <v>218</v>
      </c>
      <c r="D46" s="185"/>
      <c r="E46" s="186"/>
      <c r="G46" s="228"/>
    </row>
    <row r="47" spans="2:11">
      <c r="B47" s="119" t="s">
        <v>4</v>
      </c>
      <c r="C47" s="16" t="s">
        <v>40</v>
      </c>
      <c r="D47" s="273">
        <v>13681525.652100001</v>
      </c>
      <c r="E47" s="274">
        <v>11453892.879713135</v>
      </c>
      <c r="G47" s="228"/>
    </row>
    <row r="48" spans="2:11">
      <c r="B48" s="140" t="s">
        <v>6</v>
      </c>
      <c r="C48" s="23" t="s">
        <v>41</v>
      </c>
      <c r="D48" s="275">
        <v>11453892.879713135</v>
      </c>
      <c r="E48" s="276">
        <v>10073175.2467</v>
      </c>
      <c r="G48" s="231"/>
    </row>
    <row r="49" spans="2:7">
      <c r="B49" s="137" t="s">
        <v>23</v>
      </c>
      <c r="C49" s="141" t="s">
        <v>219</v>
      </c>
      <c r="D49" s="277"/>
      <c r="E49" s="187"/>
    </row>
    <row r="50" spans="2:7">
      <c r="B50" s="119" t="s">
        <v>4</v>
      </c>
      <c r="C50" s="16" t="s">
        <v>40</v>
      </c>
      <c r="D50" s="273">
        <v>22.4194</v>
      </c>
      <c r="E50" s="207">
        <v>22.466922786206901</v>
      </c>
      <c r="G50" s="261"/>
    </row>
    <row r="51" spans="2:7">
      <c r="B51" s="119" t="s">
        <v>6</v>
      </c>
      <c r="C51" s="16" t="s">
        <v>220</v>
      </c>
      <c r="D51" s="278">
        <v>22.246099999999998</v>
      </c>
      <c r="E51" s="207">
        <v>22.344100000000001</v>
      </c>
      <c r="G51" s="208"/>
    </row>
    <row r="52" spans="2:7">
      <c r="B52" s="119" t="s">
        <v>8</v>
      </c>
      <c r="C52" s="16" t="s">
        <v>221</v>
      </c>
      <c r="D52" s="278">
        <v>22.466899999999999</v>
      </c>
      <c r="E52" s="207">
        <v>22.546800000000001</v>
      </c>
    </row>
    <row r="53" spans="2:7" ht="13.5" thickBot="1">
      <c r="B53" s="120" t="s">
        <v>9</v>
      </c>
      <c r="C53" s="18" t="s">
        <v>41</v>
      </c>
      <c r="D53" s="279">
        <v>22.466922786206901</v>
      </c>
      <c r="E53" s="280">
        <v>22.5468414593803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D59+D69</f>
        <v>227805108.32999998</v>
      </c>
      <c r="E58" s="33">
        <f>D58/E21</f>
        <v>1.003024076415306</v>
      </c>
    </row>
    <row r="59" spans="2:7" ht="25.5">
      <c r="B59" s="140" t="s">
        <v>4</v>
      </c>
      <c r="C59" s="23" t="s">
        <v>44</v>
      </c>
      <c r="D59" s="90">
        <f>236908200-9957765.27</f>
        <v>226950434.72999999</v>
      </c>
      <c r="E59" s="91">
        <f>D59/E21</f>
        <v>0.99926095536608583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v>0</v>
      </c>
      <c r="E64" s="91">
        <v>0</v>
      </c>
    </row>
    <row r="65" spans="2:5" ht="13.5" customHeight="1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854673.60000000009</v>
      </c>
      <c r="E69" s="89">
        <f>D69/E21</f>
        <v>3.7631210492203491E-3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5942.7</v>
      </c>
      <c r="E72" s="136">
        <f>D72/E21</f>
        <v>2.6165660737855675E-5</v>
      </c>
    </row>
    <row r="73" spans="2:5">
      <c r="B73" s="149" t="s">
        <v>62</v>
      </c>
      <c r="C73" s="25" t="s">
        <v>65</v>
      </c>
      <c r="D73" s="26">
        <f>E17</f>
        <v>692765.75</v>
      </c>
      <c r="E73" s="27">
        <f>D73/E21</f>
        <v>3.0502420760439093E-3</v>
      </c>
    </row>
    <row r="74" spans="2:5">
      <c r="B74" s="147" t="s">
        <v>64</v>
      </c>
      <c r="C74" s="138" t="s">
        <v>66</v>
      </c>
      <c r="D74" s="139">
        <f>D58+D71+D72-D73</f>
        <v>227118285.27999997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227118285.27999997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7:C57"/>
    <mergeCell ref="B2:E2"/>
    <mergeCell ref="B3:E3"/>
    <mergeCell ref="B5:E5"/>
    <mergeCell ref="B6:E6"/>
    <mergeCell ref="B9:E9"/>
    <mergeCell ref="B8:E8"/>
    <mergeCell ref="B23:E23"/>
    <mergeCell ref="B24:E24"/>
    <mergeCell ref="B43:E43"/>
    <mergeCell ref="B44:E44"/>
    <mergeCell ref="B55:E55"/>
    <mergeCell ref="B56:E56"/>
    <mergeCell ref="B21:C21"/>
  </mergeCells>
  <phoneticPr fontId="7" type="noConversion"/>
  <pageMargins left="0.47244094488188981" right="0.74803149606299213" top="0.47244094488188981" bottom="0.47244094488188981" header="0.51181102362204722" footer="0.51181102362204722"/>
  <pageSetup paperSize="9" scale="7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21.7109375" customWidth="1"/>
    <col min="9" max="9" width="13.28515625" customWidth="1"/>
    <col min="10" max="10" width="13.5703125" customWidth="1"/>
    <col min="11" max="11" width="7.42578125" customWidth="1"/>
    <col min="12" max="12" width="12.42578125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99"/>
      <c r="C4" s="99"/>
      <c r="D4" s="99"/>
      <c r="E4" s="99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90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0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16732776.200000001</v>
      </c>
      <c r="E11" s="9">
        <f>E12+E13+E14</f>
        <v>18530686.300000001</v>
      </c>
    </row>
    <row r="12" spans="2:12">
      <c r="B12" s="123" t="s">
        <v>4</v>
      </c>
      <c r="C12" s="6" t="s">
        <v>5</v>
      </c>
      <c r="D12" s="297">
        <v>16682496.590000002</v>
      </c>
      <c r="E12" s="95">
        <f>18534900.46-62700.57</f>
        <v>18472199.890000001</v>
      </c>
    </row>
    <row r="13" spans="2:12">
      <c r="B13" s="123" t="s">
        <v>6</v>
      </c>
      <c r="C13" s="72" t="s">
        <v>7</v>
      </c>
      <c r="D13" s="297">
        <v>19.36</v>
      </c>
      <c r="E13" s="95"/>
    </row>
    <row r="14" spans="2:12">
      <c r="B14" s="123" t="s">
        <v>8</v>
      </c>
      <c r="C14" s="72" t="s">
        <v>10</v>
      </c>
      <c r="D14" s="297">
        <v>50260.25</v>
      </c>
      <c r="E14" s="95">
        <f>E15</f>
        <v>58486.41</v>
      </c>
    </row>
    <row r="15" spans="2:12">
      <c r="B15" s="123" t="s">
        <v>212</v>
      </c>
      <c r="C15" s="72" t="s">
        <v>11</v>
      </c>
      <c r="D15" s="297">
        <v>50260.25</v>
      </c>
      <c r="E15" s="95">
        <v>58486.41</v>
      </c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>
        <v>45292.72</v>
      </c>
      <c r="E17" s="107">
        <f>SUM(E18:E19)</f>
        <v>44781.34</v>
      </c>
    </row>
    <row r="18" spans="2:11">
      <c r="B18" s="123" t="s">
        <v>4</v>
      </c>
      <c r="C18" s="6" t="s">
        <v>11</v>
      </c>
      <c r="D18" s="297">
        <v>45292.72</v>
      </c>
      <c r="E18" s="96">
        <v>44781.34</v>
      </c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16687483.48</v>
      </c>
      <c r="E21" s="165">
        <f>E11-E17</f>
        <v>18485904.960000001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5.75">
      <c r="B23" s="336"/>
      <c r="C23" s="344"/>
      <c r="D23" s="344"/>
      <c r="E23" s="344"/>
      <c r="G23" s="77"/>
    </row>
    <row r="24" spans="2:11" ht="18" customHeight="1" thickBot="1">
      <c r="B24" s="335" t="s">
        <v>211</v>
      </c>
      <c r="C24" s="345"/>
      <c r="D24" s="345"/>
      <c r="E24" s="345"/>
    </row>
    <row r="25" spans="2:11" ht="13.5" thickBot="1">
      <c r="B25" s="100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16441778.170000002</v>
      </c>
      <c r="E26" s="112">
        <f>D21</f>
        <v>16687483.48</v>
      </c>
      <c r="G26" s="81"/>
    </row>
    <row r="27" spans="2:11">
      <c r="B27" s="10" t="s">
        <v>17</v>
      </c>
      <c r="C27" s="11" t="s">
        <v>217</v>
      </c>
      <c r="D27" s="245">
        <v>-987397.68999999948</v>
      </c>
      <c r="E27" s="269">
        <f>E28-E32</f>
        <v>-161016.19000000041</v>
      </c>
      <c r="F27" s="77"/>
      <c r="G27" s="81"/>
      <c r="H27" s="77"/>
      <c r="I27" s="81"/>
      <c r="J27" s="81"/>
    </row>
    <row r="28" spans="2:11">
      <c r="B28" s="10" t="s">
        <v>18</v>
      </c>
      <c r="C28" s="11" t="s">
        <v>19</v>
      </c>
      <c r="D28" s="245">
        <v>4187632.92</v>
      </c>
      <c r="E28" s="284">
        <f>SUM(E29:E31)</f>
        <v>4436455.29</v>
      </c>
      <c r="F28" s="77"/>
      <c r="G28" s="77"/>
      <c r="H28" s="77"/>
      <c r="I28" s="81"/>
      <c r="J28" s="81"/>
    </row>
    <row r="29" spans="2:11">
      <c r="B29" s="121" t="s">
        <v>4</v>
      </c>
      <c r="C29" s="6" t="s">
        <v>20</v>
      </c>
      <c r="D29" s="246">
        <v>3734601.36</v>
      </c>
      <c r="E29" s="286">
        <v>3569835.07</v>
      </c>
      <c r="F29" s="77"/>
      <c r="G29" s="77"/>
      <c r="H29" s="77"/>
      <c r="I29" s="81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81"/>
      <c r="J30" s="81"/>
    </row>
    <row r="31" spans="2:11">
      <c r="B31" s="121" t="s">
        <v>8</v>
      </c>
      <c r="C31" s="6" t="s">
        <v>22</v>
      </c>
      <c r="D31" s="246">
        <v>453031.56</v>
      </c>
      <c r="E31" s="286">
        <v>866620.22</v>
      </c>
      <c r="F31" s="77"/>
      <c r="G31" s="77"/>
      <c r="H31" s="77"/>
      <c r="I31" s="81"/>
      <c r="J31" s="81"/>
    </row>
    <row r="32" spans="2:11">
      <c r="B32" s="106" t="s">
        <v>23</v>
      </c>
      <c r="C32" s="12" t="s">
        <v>24</v>
      </c>
      <c r="D32" s="245">
        <v>5175030.6099999994</v>
      </c>
      <c r="E32" s="284">
        <f>SUM(E33:E39)</f>
        <v>4597471.4800000004</v>
      </c>
      <c r="F32" s="77"/>
      <c r="G32" s="81"/>
      <c r="H32" s="77"/>
      <c r="I32" s="81"/>
      <c r="J32" s="81"/>
    </row>
    <row r="33" spans="2:10">
      <c r="B33" s="121" t="s">
        <v>4</v>
      </c>
      <c r="C33" s="6" t="s">
        <v>25</v>
      </c>
      <c r="D33" s="246">
        <v>3085390.6</v>
      </c>
      <c r="E33" s="286">
        <f>3199410.6-848.88</f>
        <v>3198561.72</v>
      </c>
      <c r="F33" s="77"/>
      <c r="G33" s="77"/>
      <c r="H33" s="77"/>
      <c r="I33" s="81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81"/>
      <c r="J34" s="81"/>
    </row>
    <row r="35" spans="2:10">
      <c r="B35" s="121" t="s">
        <v>8</v>
      </c>
      <c r="C35" s="6" t="s">
        <v>27</v>
      </c>
      <c r="D35" s="246">
        <v>602654.82000000007</v>
      </c>
      <c r="E35" s="286">
        <v>541565.98</v>
      </c>
      <c r="F35" s="77"/>
      <c r="G35" s="77"/>
      <c r="H35" s="77"/>
      <c r="I35" s="81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81"/>
      <c r="J36" s="81"/>
    </row>
    <row r="37" spans="2:10" ht="25.5">
      <c r="B37" s="121" t="s">
        <v>29</v>
      </c>
      <c r="C37" s="6" t="s">
        <v>30</v>
      </c>
      <c r="D37" s="246"/>
      <c r="E37" s="286"/>
      <c r="F37" s="77"/>
      <c r="G37" s="77"/>
      <c r="H37" s="77"/>
      <c r="I37" s="81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81"/>
      <c r="J38" s="81"/>
    </row>
    <row r="39" spans="2:10">
      <c r="B39" s="122" t="s">
        <v>33</v>
      </c>
      <c r="C39" s="13" t="s">
        <v>34</v>
      </c>
      <c r="D39" s="247">
        <v>1486985.19</v>
      </c>
      <c r="E39" s="288">
        <v>857343.78</v>
      </c>
      <c r="F39" s="77"/>
      <c r="G39" s="77"/>
      <c r="H39" s="77"/>
      <c r="I39" s="81"/>
      <c r="J39" s="81"/>
    </row>
    <row r="40" spans="2:10" ht="13.5" thickBot="1">
      <c r="B40" s="113" t="s">
        <v>35</v>
      </c>
      <c r="C40" s="114" t="s">
        <v>36</v>
      </c>
      <c r="D40" s="248">
        <v>1233103</v>
      </c>
      <c r="E40" s="115">
        <v>1959437.67</v>
      </c>
      <c r="G40" s="81"/>
    </row>
    <row r="41" spans="2:10" ht="13.5" thickBot="1">
      <c r="B41" s="116" t="s">
        <v>37</v>
      </c>
      <c r="C41" s="117" t="s">
        <v>38</v>
      </c>
      <c r="D41" s="249">
        <v>16687483.480000002</v>
      </c>
      <c r="E41" s="165">
        <f>E26+E27+E40</f>
        <v>18485904.960000001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7.25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0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1715620.8659999999</v>
      </c>
      <c r="E47" s="80">
        <v>1612649.2980929622</v>
      </c>
      <c r="G47" s="228"/>
    </row>
    <row r="48" spans="2:10">
      <c r="B48" s="140" t="s">
        <v>6</v>
      </c>
      <c r="C48" s="23" t="s">
        <v>41</v>
      </c>
      <c r="D48" s="251">
        <v>1612649.2980929622</v>
      </c>
      <c r="E48" s="80">
        <v>1597461.52211</v>
      </c>
      <c r="G48" s="231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9.5835732100497797</v>
      </c>
      <c r="E50" s="80">
        <v>10.3478688762236</v>
      </c>
      <c r="G50" s="261"/>
    </row>
    <row r="51" spans="2:7">
      <c r="B51" s="119" t="s">
        <v>6</v>
      </c>
      <c r="C51" s="16" t="s">
        <v>220</v>
      </c>
      <c r="D51" s="256">
        <v>8.7256999999999998</v>
      </c>
      <c r="E51" s="82">
        <v>10.347899999999999</v>
      </c>
      <c r="G51" s="208"/>
    </row>
    <row r="52" spans="2:7" ht="12.75" customHeight="1">
      <c r="B52" s="119" t="s">
        <v>8</v>
      </c>
      <c r="C52" s="16" t="s">
        <v>221</v>
      </c>
      <c r="D52" s="256">
        <v>10.347899999999999</v>
      </c>
      <c r="E52" s="82">
        <v>11.950100000000001</v>
      </c>
    </row>
    <row r="53" spans="2:7" ht="13.5" thickBot="1">
      <c r="B53" s="120" t="s">
        <v>9</v>
      </c>
      <c r="C53" s="18" t="s">
        <v>41</v>
      </c>
      <c r="D53" s="254">
        <v>10.3478688762236</v>
      </c>
      <c r="E53" s="167">
        <v>11.572050221037401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SUM(D59:D70)</f>
        <v>18472199.890000001</v>
      </c>
      <c r="E58" s="33">
        <f>D58/E21</f>
        <v>0.99925862055281278</v>
      </c>
    </row>
    <row r="59" spans="2:7" ht="25.5">
      <c r="B59" s="22" t="s">
        <v>4</v>
      </c>
      <c r="C59" s="23" t="s">
        <v>44</v>
      </c>
      <c r="D59" s="90">
        <v>0</v>
      </c>
      <c r="E59" s="91">
        <v>0</v>
      </c>
    </row>
    <row r="60" spans="2:7" ht="24" customHeight="1">
      <c r="B60" s="15" t="s">
        <v>6</v>
      </c>
      <c r="C60" s="16" t="s">
        <v>45</v>
      </c>
      <c r="D60" s="88">
        <v>0</v>
      </c>
      <c r="E60" s="89">
        <v>0</v>
      </c>
    </row>
    <row r="61" spans="2:7">
      <c r="B61" s="15" t="s">
        <v>8</v>
      </c>
      <c r="C61" s="16" t="s">
        <v>46</v>
      </c>
      <c r="D61" s="88">
        <v>0</v>
      </c>
      <c r="E61" s="89">
        <v>0</v>
      </c>
    </row>
    <row r="62" spans="2:7">
      <c r="B62" s="15" t="s">
        <v>9</v>
      </c>
      <c r="C62" s="16" t="s">
        <v>47</v>
      </c>
      <c r="D62" s="88">
        <v>0</v>
      </c>
      <c r="E62" s="89">
        <v>0</v>
      </c>
    </row>
    <row r="63" spans="2:7">
      <c r="B63" s="15" t="s">
        <v>29</v>
      </c>
      <c r="C63" s="16" t="s">
        <v>48</v>
      </c>
      <c r="D63" s="88">
        <v>0</v>
      </c>
      <c r="E63" s="89">
        <v>0</v>
      </c>
    </row>
    <row r="64" spans="2:7">
      <c r="B64" s="22" t="s">
        <v>31</v>
      </c>
      <c r="C64" s="23" t="s">
        <v>49</v>
      </c>
      <c r="D64" s="90">
        <f>17940410.46-62700.57</f>
        <v>17877709.890000001</v>
      </c>
      <c r="E64" s="91">
        <f>D64/E21</f>
        <v>0.96709952413387279</v>
      </c>
    </row>
    <row r="65" spans="2:5">
      <c r="B65" s="22" t="s">
        <v>33</v>
      </c>
      <c r="C65" s="23" t="s">
        <v>224</v>
      </c>
      <c r="D65" s="90">
        <v>0</v>
      </c>
      <c r="E65" s="91">
        <v>0</v>
      </c>
    </row>
    <row r="66" spans="2:5">
      <c r="B66" s="22" t="s">
        <v>50</v>
      </c>
      <c r="C66" s="23" t="s">
        <v>51</v>
      </c>
      <c r="D66" s="90">
        <v>0</v>
      </c>
      <c r="E66" s="91">
        <v>0</v>
      </c>
    </row>
    <row r="67" spans="2:5">
      <c r="B67" s="15" t="s">
        <v>52</v>
      </c>
      <c r="C67" s="16" t="s">
        <v>53</v>
      </c>
      <c r="D67" s="88">
        <v>0</v>
      </c>
      <c r="E67" s="89">
        <v>0</v>
      </c>
    </row>
    <row r="68" spans="2:5">
      <c r="B68" s="15" t="s">
        <v>54</v>
      </c>
      <c r="C68" s="16" t="s">
        <v>55</v>
      </c>
      <c r="D68" s="88">
        <v>0</v>
      </c>
      <c r="E68" s="89">
        <v>0</v>
      </c>
    </row>
    <row r="69" spans="2:5">
      <c r="B69" s="15" t="s">
        <v>56</v>
      </c>
      <c r="C69" s="16" t="s">
        <v>57</v>
      </c>
      <c r="D69" s="88">
        <v>594490</v>
      </c>
      <c r="E69" s="89">
        <f>D69/E21</f>
        <v>3.2159096418939936E-2</v>
      </c>
    </row>
    <row r="70" spans="2:5">
      <c r="B70" s="129" t="s">
        <v>58</v>
      </c>
      <c r="C70" s="130" t="s">
        <v>59</v>
      </c>
      <c r="D70" s="131">
        <v>0</v>
      </c>
      <c r="E70" s="132">
        <v>0</v>
      </c>
    </row>
    <row r="71" spans="2:5">
      <c r="B71" s="137" t="s">
        <v>23</v>
      </c>
      <c r="C71" s="138" t="s">
        <v>61</v>
      </c>
      <c r="D71" s="139">
        <f>E13</f>
        <v>0</v>
      </c>
      <c r="E71" s="70">
        <v>0</v>
      </c>
    </row>
    <row r="72" spans="2:5">
      <c r="B72" s="133" t="s">
        <v>60</v>
      </c>
      <c r="C72" s="134" t="s">
        <v>63</v>
      </c>
      <c r="D72" s="135">
        <f>E14</f>
        <v>58486.41</v>
      </c>
      <c r="E72" s="136">
        <f>D72/E21</f>
        <v>3.1638380769864133E-3</v>
      </c>
    </row>
    <row r="73" spans="2:5">
      <c r="B73" s="24" t="s">
        <v>62</v>
      </c>
      <c r="C73" s="25" t="s">
        <v>65</v>
      </c>
      <c r="D73" s="26">
        <f>E17</f>
        <v>44781.34</v>
      </c>
      <c r="E73" s="27">
        <f>D73/E21</f>
        <v>2.4224586297992086E-3</v>
      </c>
    </row>
    <row r="74" spans="2:5">
      <c r="B74" s="137" t="s">
        <v>64</v>
      </c>
      <c r="C74" s="138" t="s">
        <v>66</v>
      </c>
      <c r="D74" s="139">
        <f>D58+D71+D72-D73</f>
        <v>18485904.960000001</v>
      </c>
      <c r="E74" s="70">
        <f>E58+E72-E73</f>
        <v>1</v>
      </c>
    </row>
    <row r="75" spans="2:5">
      <c r="B75" s="15" t="s">
        <v>4</v>
      </c>
      <c r="C75" s="16" t="s">
        <v>67</v>
      </c>
      <c r="D75" s="88">
        <f>D74</f>
        <v>18485904.960000001</v>
      </c>
      <c r="E75" s="89">
        <f>E74</f>
        <v>1</v>
      </c>
    </row>
    <row r="76" spans="2:5">
      <c r="B76" s="15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7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118110236220474" right="0.74803149606299213" top="0.51181102362204722" bottom="0.47244094488188981" header="0.51181102362204722" footer="0.51181102362204722"/>
  <pageSetup paperSize="9" scale="70" orientation="portrait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8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5"/>
      <c r="C4" s="155"/>
      <c r="D4" s="155"/>
      <c r="E4" s="155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259</v>
      </c>
      <c r="C6" s="334"/>
      <c r="D6" s="334"/>
      <c r="E6" s="334"/>
    </row>
    <row r="7" spans="2:12" ht="14.25">
      <c r="B7" s="153"/>
      <c r="C7" s="153"/>
      <c r="D7" s="153"/>
      <c r="E7" s="15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4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100624.35</v>
      </c>
      <c r="E11" s="9">
        <f>E12</f>
        <v>85953.39</v>
      </c>
    </row>
    <row r="12" spans="2:12">
      <c r="B12" s="209" t="s">
        <v>4</v>
      </c>
      <c r="C12" s="210" t="s">
        <v>5</v>
      </c>
      <c r="D12" s="297">
        <v>100624.35</v>
      </c>
      <c r="E12" s="95">
        <v>85953.39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100624.35</v>
      </c>
      <c r="E21" s="165">
        <f>E11</f>
        <v>85953.39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97701.77</v>
      </c>
      <c r="E26" s="112">
        <f>D21</f>
        <v>100624.35</v>
      </c>
      <c r="G26" s="81"/>
    </row>
    <row r="27" spans="2:11">
      <c r="B27" s="10" t="s">
        <v>17</v>
      </c>
      <c r="C27" s="11" t="s">
        <v>217</v>
      </c>
      <c r="D27" s="245">
        <v>-1416.62</v>
      </c>
      <c r="E27" s="269">
        <f>E28-E32</f>
        <v>-16924.090000000004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509.73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509.73</v>
      </c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1926.35</v>
      </c>
      <c r="E32" s="284">
        <f>SUM(E33:E39)</f>
        <v>16924.090000000004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>
        <v>14426.12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564.86</v>
      </c>
      <c r="E35" s="286">
        <v>560.95000000000005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1361.49</v>
      </c>
      <c r="E37" s="286">
        <v>1399.28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>
        <v>537.74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4339.2</v>
      </c>
      <c r="E40" s="115">
        <v>2253.13</v>
      </c>
      <c r="G40" s="81"/>
    </row>
    <row r="41" spans="2:10" ht="13.5" thickBot="1">
      <c r="B41" s="116" t="s">
        <v>37</v>
      </c>
      <c r="C41" s="117" t="s">
        <v>38</v>
      </c>
      <c r="D41" s="249">
        <v>100624.35</v>
      </c>
      <c r="E41" s="165">
        <f>E26+E27+E40</f>
        <v>85953.390000000014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864.46439999999996</v>
      </c>
      <c r="E47" s="166">
        <v>852.17100000000005</v>
      </c>
      <c r="G47" s="77"/>
    </row>
    <row r="48" spans="2:10">
      <c r="B48" s="222" t="s">
        <v>6</v>
      </c>
      <c r="C48" s="223" t="s">
        <v>41</v>
      </c>
      <c r="D48" s="251">
        <v>852.17100000000005</v>
      </c>
      <c r="E48" s="166">
        <v>711.24027999999998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113.02</v>
      </c>
      <c r="E50" s="166">
        <v>118.08</v>
      </c>
      <c r="G50" s="208"/>
    </row>
    <row r="51" spans="2:7">
      <c r="B51" s="220" t="s">
        <v>6</v>
      </c>
      <c r="C51" s="221" t="s">
        <v>220</v>
      </c>
      <c r="D51" s="253">
        <v>109.5</v>
      </c>
      <c r="E51" s="166">
        <v>117.55</v>
      </c>
      <c r="G51" s="208"/>
    </row>
    <row r="52" spans="2:7">
      <c r="B52" s="220" t="s">
        <v>8</v>
      </c>
      <c r="C52" s="221" t="s">
        <v>221</v>
      </c>
      <c r="D52" s="253">
        <v>118.34</v>
      </c>
      <c r="E52" s="82">
        <v>121.58</v>
      </c>
    </row>
    <row r="53" spans="2:7" ht="13.5" customHeight="1" thickBot="1">
      <c r="B53" s="224" t="s">
        <v>9</v>
      </c>
      <c r="C53" s="225" t="s">
        <v>41</v>
      </c>
      <c r="D53" s="254">
        <v>118.08</v>
      </c>
      <c r="E53" s="167">
        <v>120.85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8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85953.39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85953.39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85953.39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85953.39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9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21.28515625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14.25">
      <c r="B5" s="333" t="s">
        <v>1</v>
      </c>
      <c r="C5" s="333"/>
      <c r="D5" s="333"/>
      <c r="E5" s="333"/>
    </row>
    <row r="6" spans="2:12" ht="14.25">
      <c r="B6" s="334" t="s">
        <v>260</v>
      </c>
      <c r="C6" s="334"/>
      <c r="D6" s="334"/>
      <c r="E6" s="334"/>
    </row>
    <row r="7" spans="2:12" ht="14.25">
      <c r="B7" s="196"/>
      <c r="C7" s="196"/>
      <c r="D7" s="196"/>
      <c r="E7" s="19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9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14721.76</v>
      </c>
      <c r="E11" s="9">
        <f>E12</f>
        <v>0</v>
      </c>
    </row>
    <row r="12" spans="2:12">
      <c r="B12" s="209" t="s">
        <v>4</v>
      </c>
      <c r="C12" s="210" t="s">
        <v>5</v>
      </c>
      <c r="D12" s="297">
        <v>14721.76</v>
      </c>
      <c r="E12" s="95">
        <f>21.86-21.86</f>
        <v>0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14721.76</v>
      </c>
      <c r="E21" s="165">
        <f>E11</f>
        <v>0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/>
      <c r="E26" s="112">
        <f>D21</f>
        <v>14721.76</v>
      </c>
      <c r="G26" s="81"/>
    </row>
    <row r="27" spans="2:11">
      <c r="B27" s="10" t="s">
        <v>17</v>
      </c>
      <c r="C27" s="11" t="s">
        <v>217</v>
      </c>
      <c r="D27" s="245">
        <v>14242.56</v>
      </c>
      <c r="E27" s="269">
        <f>E28-E32</f>
        <v>-15705.960000000001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16756.12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16756.12</v>
      </c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2513.5599999999995</v>
      </c>
      <c r="E32" s="284">
        <f>SUM(E33:E39)</f>
        <v>15705.960000000001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2507.2399999999998</v>
      </c>
      <c r="E33" s="286">
        <f>15491.54+21.86-0.01</f>
        <v>15513.390000000001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3.91</v>
      </c>
      <c r="E35" s="286">
        <v>17.16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2.41</v>
      </c>
      <c r="E37" s="286">
        <v>175.41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479.2</v>
      </c>
      <c r="E40" s="115">
        <v>984.2</v>
      </c>
      <c r="G40" s="81"/>
    </row>
    <row r="41" spans="2:10" ht="13.5" thickBot="1">
      <c r="B41" s="116" t="s">
        <v>37</v>
      </c>
      <c r="C41" s="117" t="s">
        <v>38</v>
      </c>
      <c r="D41" s="249">
        <v>14721.76</v>
      </c>
      <c r="E41" s="165">
        <f>E26+E27+E40</f>
        <v>0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/>
      <c r="E47" s="166">
        <v>139.19968</v>
      </c>
      <c r="G47" s="77"/>
    </row>
    <row r="48" spans="2:10">
      <c r="B48" s="222" t="s">
        <v>6</v>
      </c>
      <c r="C48" s="223" t="s">
        <v>41</v>
      </c>
      <c r="D48" s="251">
        <v>139.19968</v>
      </c>
      <c r="E48" s="166"/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/>
      <c r="E50" s="166">
        <v>105.76</v>
      </c>
      <c r="G50" s="208"/>
    </row>
    <row r="51" spans="2:7">
      <c r="B51" s="220" t="s">
        <v>6</v>
      </c>
      <c r="C51" s="221" t="s">
        <v>220</v>
      </c>
      <c r="D51" s="253">
        <v>77.88</v>
      </c>
      <c r="E51" s="166">
        <v>105.74</v>
      </c>
      <c r="G51" s="208"/>
    </row>
    <row r="52" spans="2:7">
      <c r="B52" s="220" t="s">
        <v>8</v>
      </c>
      <c r="C52" s="221" t="s">
        <v>221</v>
      </c>
      <c r="D52" s="253">
        <v>107.68</v>
      </c>
      <c r="E52" s="82">
        <v>119.81</v>
      </c>
    </row>
    <row r="53" spans="2:7" ht="13.5" thickBot="1">
      <c r="B53" s="224" t="s">
        <v>9</v>
      </c>
      <c r="C53" s="225" t="s">
        <v>41</v>
      </c>
      <c r="D53" s="254">
        <v>105.76</v>
      </c>
      <c r="E53" s="167"/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0</v>
      </c>
      <c r="E58" s="33">
        <v>0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0</v>
      </c>
      <c r="E64" s="91">
        <f>E58</f>
        <v>0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0</v>
      </c>
      <c r="E74" s="70">
        <f>E58+E72-E73</f>
        <v>0</v>
      </c>
    </row>
    <row r="75" spans="2:5">
      <c r="B75" s="119" t="s">
        <v>4</v>
      </c>
      <c r="C75" s="16" t="s">
        <v>67</v>
      </c>
      <c r="D75" s="88">
        <f>D74</f>
        <v>0</v>
      </c>
      <c r="E75" s="89">
        <f>E74</f>
        <v>0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0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14.25">
      <c r="B5" s="333" t="s">
        <v>1</v>
      </c>
      <c r="C5" s="333"/>
      <c r="D5" s="333"/>
      <c r="E5" s="333"/>
    </row>
    <row r="6" spans="2:12" ht="14.25">
      <c r="B6" s="334" t="s">
        <v>266</v>
      </c>
      <c r="C6" s="334"/>
      <c r="D6" s="334"/>
      <c r="E6" s="334"/>
    </row>
    <row r="7" spans="2:12" ht="14.25">
      <c r="B7" s="239"/>
      <c r="C7" s="239"/>
      <c r="D7" s="239"/>
      <c r="E7" s="239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240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/>
      <c r="E11" s="9">
        <f>E12</f>
        <v>6775.97</v>
      </c>
    </row>
    <row r="12" spans="2:12">
      <c r="B12" s="209" t="s">
        <v>4</v>
      </c>
      <c r="C12" s="210" t="s">
        <v>5</v>
      </c>
      <c r="D12" s="297"/>
      <c r="E12" s="95">
        <v>6775.97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/>
      <c r="E21" s="165">
        <f>E11</f>
        <v>6775.97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/>
      <c r="E26" s="112">
        <f>D21</f>
        <v>0</v>
      </c>
      <c r="G26" s="81"/>
    </row>
    <row r="27" spans="2:11">
      <c r="B27" s="10" t="s">
        <v>17</v>
      </c>
      <c r="C27" s="11" t="s">
        <v>217</v>
      </c>
      <c r="D27" s="245"/>
      <c r="E27" s="269">
        <f>E28-E32</f>
        <v>6332.6300000000047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/>
      <c r="E28" s="284">
        <f>SUM(E29:E31)</f>
        <v>84641.3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>
        <v>84641.3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/>
      <c r="E32" s="284">
        <f>SUM(E33:E39)</f>
        <v>78308.67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>
        <v>62157.07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/>
      <c r="E35" s="286">
        <v>18.809999999999999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/>
      <c r="E37" s="286">
        <v>489.67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>
        <v>15643.12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/>
      <c r="E40" s="115">
        <v>443.34</v>
      </c>
      <c r="G40" s="81"/>
    </row>
    <row r="41" spans="2:10" ht="13.5" thickBot="1">
      <c r="B41" s="116" t="s">
        <v>37</v>
      </c>
      <c r="C41" s="117" t="s">
        <v>38</v>
      </c>
      <c r="D41" s="249"/>
      <c r="E41" s="165">
        <f>E26+E27+E40</f>
        <v>6775.9700000000048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/>
      <c r="E47" s="166"/>
      <c r="G47" s="77"/>
    </row>
    <row r="48" spans="2:10">
      <c r="B48" s="222" t="s">
        <v>6</v>
      </c>
      <c r="C48" s="223" t="s">
        <v>41</v>
      </c>
      <c r="D48" s="251"/>
      <c r="E48" s="166">
        <v>58.509390000000003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/>
      <c r="E50" s="166"/>
      <c r="G50" s="208"/>
    </row>
    <row r="51" spans="2:7">
      <c r="B51" s="220" t="s">
        <v>6</v>
      </c>
      <c r="C51" s="221" t="s">
        <v>220</v>
      </c>
      <c r="D51" s="253"/>
      <c r="E51" s="166">
        <v>114.07</v>
      </c>
      <c r="G51" s="208"/>
    </row>
    <row r="52" spans="2:7">
      <c r="B52" s="220" t="s">
        <v>8</v>
      </c>
      <c r="C52" s="221" t="s">
        <v>221</v>
      </c>
      <c r="D52" s="253"/>
      <c r="E52" s="82">
        <v>115.84</v>
      </c>
    </row>
    <row r="53" spans="2:7" ht="13.5" thickBot="1">
      <c r="B53" s="224" t="s">
        <v>9</v>
      </c>
      <c r="C53" s="225" t="s">
        <v>41</v>
      </c>
      <c r="D53" s="254"/>
      <c r="E53" s="167">
        <v>115.81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6775.97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6775.97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6775.97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6775.97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1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124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81196.12</v>
      </c>
      <c r="E11" s="9">
        <f>E12</f>
        <v>81884.33</v>
      </c>
    </row>
    <row r="12" spans="2:12">
      <c r="B12" s="209" t="s">
        <v>4</v>
      </c>
      <c r="C12" s="210" t="s">
        <v>5</v>
      </c>
      <c r="D12" s="297">
        <v>81196.12</v>
      </c>
      <c r="E12" s="95">
        <v>81884.33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81196.12</v>
      </c>
      <c r="E21" s="165">
        <f>E11</f>
        <v>81884.33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382125.79</v>
      </c>
      <c r="E26" s="112">
        <f>D21</f>
        <v>81196.12</v>
      </c>
      <c r="G26" s="81"/>
    </row>
    <row r="27" spans="2:11">
      <c r="B27" s="10" t="s">
        <v>17</v>
      </c>
      <c r="C27" s="11" t="s">
        <v>217</v>
      </c>
      <c r="D27" s="245">
        <v>-289748.67999999993</v>
      </c>
      <c r="E27" s="269">
        <f>E28-E32</f>
        <v>-8707.61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30295.22</v>
      </c>
      <c r="E28" s="284">
        <f>SUM(E29:E31)</f>
        <v>28826.21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30295.22</v>
      </c>
      <c r="E31" s="286">
        <v>28826.21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320043.89999999997</v>
      </c>
      <c r="E32" s="284">
        <f>SUM(E33:E39)</f>
        <v>37533.82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6870.08</v>
      </c>
      <c r="E33" s="286">
        <v>20711.5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201.55</v>
      </c>
      <c r="E35" s="286">
        <v>247.04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3399.67</v>
      </c>
      <c r="E37" s="286">
        <v>1603.29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309572.59999999998</v>
      </c>
      <c r="E39" s="288">
        <v>14971.99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-11180.99</v>
      </c>
      <c r="E40" s="115">
        <v>9395.82</v>
      </c>
      <c r="G40" s="81"/>
    </row>
    <row r="41" spans="2:10" ht="13.5" thickBot="1">
      <c r="B41" s="116" t="s">
        <v>37</v>
      </c>
      <c r="C41" s="117" t="s">
        <v>38</v>
      </c>
      <c r="D41" s="249">
        <v>81196.120000000039</v>
      </c>
      <c r="E41" s="165">
        <f>E26+E27+E40</f>
        <v>81884.329999999987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4167.5841</v>
      </c>
      <c r="E47" s="166">
        <v>810.50229999999999</v>
      </c>
      <c r="G47" s="77"/>
    </row>
    <row r="48" spans="2:10">
      <c r="B48" s="222" t="s">
        <v>6</v>
      </c>
      <c r="C48" s="223" t="s">
        <v>41</v>
      </c>
      <c r="D48" s="251">
        <v>810.50229999999999</v>
      </c>
      <c r="E48" s="166">
        <v>719.92550000000006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91.69</v>
      </c>
      <c r="E50" s="166">
        <v>100.18</v>
      </c>
      <c r="G50" s="208"/>
    </row>
    <row r="51" spans="2:7">
      <c r="B51" s="220" t="s">
        <v>6</v>
      </c>
      <c r="C51" s="221" t="s">
        <v>220</v>
      </c>
      <c r="D51" s="253">
        <v>82.63</v>
      </c>
      <c r="E51" s="82">
        <v>100.05</v>
      </c>
      <c r="G51" s="208"/>
    </row>
    <row r="52" spans="2:7">
      <c r="B52" s="220" t="s">
        <v>8</v>
      </c>
      <c r="C52" s="221" t="s">
        <v>221</v>
      </c>
      <c r="D52" s="253">
        <v>100.18</v>
      </c>
      <c r="E52" s="82">
        <v>115.46</v>
      </c>
    </row>
    <row r="53" spans="2:7" ht="12.75" customHeight="1" thickBot="1">
      <c r="B53" s="224" t="s">
        <v>9</v>
      </c>
      <c r="C53" s="225" t="s">
        <v>41</v>
      </c>
      <c r="D53" s="254">
        <v>100.18</v>
      </c>
      <c r="E53" s="167">
        <v>113.74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81884.33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81884.33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81884.33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81884.33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2">
    <pageSetUpPr fitToPage="1"/>
  </sheetPr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179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52673.43</v>
      </c>
      <c r="E11" s="9">
        <f>E12</f>
        <v>23977.95</v>
      </c>
    </row>
    <row r="12" spans="2:12">
      <c r="B12" s="209" t="s">
        <v>4</v>
      </c>
      <c r="C12" s="210" t="s">
        <v>5</v>
      </c>
      <c r="D12" s="297">
        <v>52673.43</v>
      </c>
      <c r="E12" s="95">
        <v>23977.95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52673.43</v>
      </c>
      <c r="E21" s="165">
        <f>E11</f>
        <v>23977.95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58468.14</v>
      </c>
      <c r="E26" s="112">
        <f>D21</f>
        <v>52673.43</v>
      </c>
      <c r="G26" s="81"/>
    </row>
    <row r="27" spans="2:11">
      <c r="B27" s="10" t="s">
        <v>17</v>
      </c>
      <c r="C27" s="11" t="s">
        <v>217</v>
      </c>
      <c r="D27" s="245">
        <v>-8078.78</v>
      </c>
      <c r="E27" s="269">
        <f>E28-E32</f>
        <v>-37735.629999999997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/>
      <c r="E28" s="284">
        <f>SUM(E29:E31)</f>
        <v>0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8078.78</v>
      </c>
      <c r="E32" s="284">
        <f>SUM(E33:E39)</f>
        <v>37735.629999999997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7043.46</v>
      </c>
      <c r="E33" s="286">
        <v>27846.53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104.23</v>
      </c>
      <c r="E35" s="286">
        <v>47.17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931.09</v>
      </c>
      <c r="E37" s="286">
        <v>777.96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>
        <v>9063.9699999999993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2284.0700000000002</v>
      </c>
      <c r="E40" s="115">
        <v>9040.15</v>
      </c>
      <c r="G40" s="81"/>
    </row>
    <row r="41" spans="2:10" ht="13.5" thickBot="1">
      <c r="B41" s="116" t="s">
        <v>37</v>
      </c>
      <c r="C41" s="117" t="s">
        <v>38</v>
      </c>
      <c r="D41" s="249">
        <v>52673.43</v>
      </c>
      <c r="E41" s="165">
        <f>E26+E27+E40</f>
        <v>23977.950000000004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500.49770000000001</v>
      </c>
      <c r="E47" s="166">
        <v>427.44</v>
      </c>
      <c r="G47" s="77"/>
    </row>
    <row r="48" spans="2:10">
      <c r="B48" s="222" t="s">
        <v>6</v>
      </c>
      <c r="C48" s="223" t="s">
        <v>41</v>
      </c>
      <c r="D48" s="251">
        <v>427.44</v>
      </c>
      <c r="E48" s="166">
        <v>160.4091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116.82</v>
      </c>
      <c r="E50" s="166">
        <v>123.23</v>
      </c>
      <c r="G50" s="208"/>
    </row>
    <row r="51" spans="2:7">
      <c r="B51" s="220" t="s">
        <v>6</v>
      </c>
      <c r="C51" s="221" t="s">
        <v>220</v>
      </c>
      <c r="D51" s="253">
        <v>104.60000000000001</v>
      </c>
      <c r="E51" s="82">
        <v>123.23</v>
      </c>
      <c r="G51" s="208"/>
    </row>
    <row r="52" spans="2:7">
      <c r="B52" s="220" t="s">
        <v>8</v>
      </c>
      <c r="C52" s="221" t="s">
        <v>221</v>
      </c>
      <c r="D52" s="253">
        <v>123.23</v>
      </c>
      <c r="E52" s="82">
        <v>150.03</v>
      </c>
    </row>
    <row r="53" spans="2:7" ht="13.5" customHeight="1" thickBot="1">
      <c r="B53" s="224" t="s">
        <v>9</v>
      </c>
      <c r="C53" s="225" t="s">
        <v>41</v>
      </c>
      <c r="D53" s="254">
        <v>123.23</v>
      </c>
      <c r="E53" s="167">
        <v>149.47999999999999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23977.95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23977.95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23977.95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23977.95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3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170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7702.11</v>
      </c>
      <c r="E11" s="9">
        <f>E12</f>
        <v>62665.32</v>
      </c>
    </row>
    <row r="12" spans="2:12">
      <c r="B12" s="209" t="s">
        <v>4</v>
      </c>
      <c r="C12" s="210" t="s">
        <v>5</v>
      </c>
      <c r="D12" s="297">
        <v>7702.11</v>
      </c>
      <c r="E12" s="95">
        <v>62665.32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7702.11</v>
      </c>
      <c r="E21" s="165">
        <f>E11</f>
        <v>62665.32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5058.6400000000003</v>
      </c>
      <c r="E26" s="112">
        <f>D21</f>
        <v>7702.11</v>
      </c>
      <c r="G26" s="81"/>
    </row>
    <row r="27" spans="2:11">
      <c r="B27" s="10" t="s">
        <v>17</v>
      </c>
      <c r="C27" s="11" t="s">
        <v>217</v>
      </c>
      <c r="D27" s="245">
        <v>2000.8400000000001</v>
      </c>
      <c r="E27" s="269">
        <f>E28-E32</f>
        <v>43949.159999999996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7430.5599999999995</v>
      </c>
      <c r="E28" s="284">
        <f>SUM(E29:E31)</f>
        <v>79517.53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2482.6799999999998</v>
      </c>
      <c r="E29" s="286">
        <v>9389.52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4947.88</v>
      </c>
      <c r="E31" s="286">
        <v>70128.009999999995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5429.7199999999993</v>
      </c>
      <c r="E32" s="284">
        <f>SUM(E33:E39)</f>
        <v>35568.370000000003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>
        <v>289.14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320.39</v>
      </c>
      <c r="E35" s="286">
        <v>302.70999999999998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130.85</v>
      </c>
      <c r="E37" s="286">
        <v>827.51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4978.4799999999996</v>
      </c>
      <c r="E39" s="288">
        <v>34149.01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642.63</v>
      </c>
      <c r="E40" s="115">
        <v>11014.05</v>
      </c>
      <c r="G40" s="81"/>
    </row>
    <row r="41" spans="2:10" ht="13.5" thickBot="1">
      <c r="B41" s="116" t="s">
        <v>37</v>
      </c>
      <c r="C41" s="117" t="s">
        <v>38</v>
      </c>
      <c r="D41" s="249">
        <v>7702.1100000000006</v>
      </c>
      <c r="E41" s="165">
        <f>E26+E27+E40</f>
        <v>62665.319999999992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841.70299999999997</v>
      </c>
      <c r="E47" s="166">
        <v>1199.7049999999999</v>
      </c>
      <c r="G47" s="77"/>
    </row>
    <row r="48" spans="2:10">
      <c r="B48" s="222" t="s">
        <v>6</v>
      </c>
      <c r="C48" s="223" t="s">
        <v>41</v>
      </c>
      <c r="D48" s="251">
        <v>1199.7049999999999</v>
      </c>
      <c r="E48" s="166">
        <v>7942.3720000000003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6.01</v>
      </c>
      <c r="E50" s="166">
        <v>6.42</v>
      </c>
      <c r="G50" s="208"/>
    </row>
    <row r="51" spans="2:7">
      <c r="B51" s="220" t="s">
        <v>6</v>
      </c>
      <c r="C51" s="221" t="s">
        <v>220</v>
      </c>
      <c r="D51" s="253">
        <v>5.18</v>
      </c>
      <c r="E51" s="82">
        <v>6.42</v>
      </c>
      <c r="G51" s="208"/>
    </row>
    <row r="52" spans="2:7">
      <c r="B52" s="220" t="s">
        <v>8</v>
      </c>
      <c r="C52" s="221" t="s">
        <v>221</v>
      </c>
      <c r="D52" s="253">
        <v>6.54</v>
      </c>
      <c r="E52" s="82">
        <v>7.99</v>
      </c>
    </row>
    <row r="53" spans="2:7" ht="13.5" customHeight="1" thickBot="1">
      <c r="B53" s="224" t="s">
        <v>9</v>
      </c>
      <c r="C53" s="225" t="s">
        <v>41</v>
      </c>
      <c r="D53" s="254">
        <v>6.42</v>
      </c>
      <c r="E53" s="167">
        <v>7.89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62665.32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62665.32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62665.32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62665.32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4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182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51862.78</v>
      </c>
      <c r="E11" s="9">
        <f>E12</f>
        <v>51498.74</v>
      </c>
    </row>
    <row r="12" spans="2:12">
      <c r="B12" s="209" t="s">
        <v>4</v>
      </c>
      <c r="C12" s="210" t="s">
        <v>5</v>
      </c>
      <c r="D12" s="297">
        <v>51862.78</v>
      </c>
      <c r="E12" s="95">
        <v>51498.74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51862.78</v>
      </c>
      <c r="E21" s="165">
        <f>E11</f>
        <v>51498.74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51003.22</v>
      </c>
      <c r="E26" s="112">
        <f>D21</f>
        <v>51862.78</v>
      </c>
      <c r="G26" s="81"/>
    </row>
    <row r="27" spans="2:11">
      <c r="B27" s="10" t="s">
        <v>17</v>
      </c>
      <c r="C27" s="11" t="s">
        <v>217</v>
      </c>
      <c r="D27" s="245">
        <v>-1270.06</v>
      </c>
      <c r="E27" s="269">
        <f>E28-E32</f>
        <v>-3572.8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/>
      <c r="E28" s="284">
        <f>SUM(E29:E31)</f>
        <v>0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1270.06</v>
      </c>
      <c r="E32" s="284">
        <f>SUM(E33:E39)</f>
        <v>3572.8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>
        <v>2507.92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315.95</v>
      </c>
      <c r="E35" s="286">
        <v>310.62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720.39</v>
      </c>
      <c r="E37" s="286">
        <v>754.26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233.72</v>
      </c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2129.62</v>
      </c>
      <c r="E40" s="115">
        <v>3208.76</v>
      </c>
      <c r="G40" s="81"/>
    </row>
    <row r="41" spans="2:10" ht="13.5" thickBot="1">
      <c r="B41" s="116" t="s">
        <v>37</v>
      </c>
      <c r="C41" s="117" t="s">
        <v>38</v>
      </c>
      <c r="D41" s="249">
        <v>51862.780000000006</v>
      </c>
      <c r="E41" s="165">
        <f>E26+E27+E40</f>
        <v>51498.74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5296.2849999999999</v>
      </c>
      <c r="E47" s="166">
        <v>5165.616</v>
      </c>
      <c r="G47" s="77"/>
    </row>
    <row r="48" spans="2:10">
      <c r="B48" s="222" t="s">
        <v>6</v>
      </c>
      <c r="C48" s="223" t="s">
        <v>41</v>
      </c>
      <c r="D48" s="251">
        <v>5165.616</v>
      </c>
      <c r="E48" s="166">
        <v>4826.4989999999998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9.6300000000000008</v>
      </c>
      <c r="E50" s="166">
        <v>10.039999999999999</v>
      </c>
      <c r="G50" s="208"/>
    </row>
    <row r="51" spans="2:7">
      <c r="B51" s="220" t="s">
        <v>6</v>
      </c>
      <c r="C51" s="221" t="s">
        <v>220</v>
      </c>
      <c r="D51" s="253">
        <v>9.01</v>
      </c>
      <c r="E51" s="166">
        <v>10.039999999999999</v>
      </c>
      <c r="G51" s="208"/>
    </row>
    <row r="52" spans="2:7">
      <c r="B52" s="220" t="s">
        <v>8</v>
      </c>
      <c r="C52" s="221" t="s">
        <v>221</v>
      </c>
      <c r="D52" s="253">
        <v>9.81</v>
      </c>
      <c r="E52" s="82">
        <v>10.68</v>
      </c>
    </row>
    <row r="53" spans="2:7" ht="12.75" customHeight="1" thickBot="1">
      <c r="B53" s="224" t="s">
        <v>9</v>
      </c>
      <c r="C53" s="225" t="s">
        <v>41</v>
      </c>
      <c r="D53" s="254">
        <v>10.039999999999999</v>
      </c>
      <c r="E53" s="167">
        <v>10.67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51498.74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51498.74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51498.74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51498.74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5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169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8930425.0099999998</v>
      </c>
      <c r="E11" s="9">
        <f>E12</f>
        <v>4421637.0599999996</v>
      </c>
    </row>
    <row r="12" spans="2:12">
      <c r="B12" s="209" t="s">
        <v>4</v>
      </c>
      <c r="C12" s="210" t="s">
        <v>5</v>
      </c>
      <c r="D12" s="297">
        <v>8930425.0099999998</v>
      </c>
      <c r="E12" s="95">
        <v>4421637.0599999996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8930425.0099999998</v>
      </c>
      <c r="E21" s="165">
        <f>E11</f>
        <v>4421637.0599999996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6689713.5300000003</v>
      </c>
      <c r="E26" s="112">
        <f>D21</f>
        <v>8930425.0099999998</v>
      </c>
      <c r="G26" s="81"/>
    </row>
    <row r="27" spans="2:11">
      <c r="B27" s="10" t="s">
        <v>17</v>
      </c>
      <c r="C27" s="11" t="s">
        <v>217</v>
      </c>
      <c r="D27" s="245">
        <v>1591291.9300000006</v>
      </c>
      <c r="E27" s="269">
        <f>E28-E32</f>
        <v>-4749625.7200000007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8082136.2700000005</v>
      </c>
      <c r="E28" s="284">
        <f>SUM(E29:E31)</f>
        <v>377750.13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264339.74</v>
      </c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7817796.5300000003</v>
      </c>
      <c r="E31" s="286">
        <v>377750.13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6490844.3399999999</v>
      </c>
      <c r="E32" s="284">
        <f>SUM(E33:E39)</f>
        <v>5127375.8500000006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2054951.15</v>
      </c>
      <c r="E33" s="286">
        <v>457311.63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11684.6</v>
      </c>
      <c r="E35" s="286">
        <v>4892.38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166539.59</v>
      </c>
      <c r="E37" s="286">
        <v>99538.1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4257669</v>
      </c>
      <c r="E39" s="288">
        <v>4565633.74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649419.55000000005</v>
      </c>
      <c r="E40" s="115">
        <v>240837.77</v>
      </c>
      <c r="G40" s="81"/>
    </row>
    <row r="41" spans="2:10" ht="13.5" thickBot="1">
      <c r="B41" s="116" t="s">
        <v>37</v>
      </c>
      <c r="C41" s="117" t="s">
        <v>38</v>
      </c>
      <c r="D41" s="249">
        <v>8930425.0100000016</v>
      </c>
      <c r="E41" s="165">
        <f>E26+E27+E40</f>
        <v>4421637.0599999987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394440.65600000002</v>
      </c>
      <c r="E47" s="166">
        <v>496686.59700000001</v>
      </c>
      <c r="G47" s="77"/>
    </row>
    <row r="48" spans="2:10">
      <c r="B48" s="222" t="s">
        <v>6</v>
      </c>
      <c r="C48" s="223" t="s">
        <v>41</v>
      </c>
      <c r="D48" s="251">
        <v>496686.59700000001</v>
      </c>
      <c r="E48" s="166">
        <v>237978.31299999999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16.96</v>
      </c>
      <c r="E50" s="166">
        <v>17.98</v>
      </c>
      <c r="G50" s="208"/>
    </row>
    <row r="51" spans="2:7">
      <c r="B51" s="220" t="s">
        <v>6</v>
      </c>
      <c r="C51" s="221" t="s">
        <v>220</v>
      </c>
      <c r="D51" s="253">
        <v>16.510000000000002</v>
      </c>
      <c r="E51" s="166">
        <v>17.98</v>
      </c>
      <c r="G51" s="208"/>
    </row>
    <row r="52" spans="2:7">
      <c r="B52" s="220" t="s">
        <v>8</v>
      </c>
      <c r="C52" s="221" t="s">
        <v>221</v>
      </c>
      <c r="D52" s="253">
        <v>18.079999999999998</v>
      </c>
      <c r="E52" s="82">
        <v>18.649999999999999</v>
      </c>
    </row>
    <row r="53" spans="2:7" ht="12.75" customHeight="1" thickBot="1">
      <c r="B53" s="224" t="s">
        <v>9</v>
      </c>
      <c r="C53" s="225" t="s">
        <v>41</v>
      </c>
      <c r="D53" s="254">
        <v>17.98</v>
      </c>
      <c r="E53" s="167">
        <v>18.579999999999998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8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4421637.0599999996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4421637.0599999996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4421637.0599999996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4421637.0599999996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6">
    <pageSetUpPr fitToPage="1"/>
  </sheetPr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183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493752.73</v>
      </c>
      <c r="E11" s="9">
        <f>E12</f>
        <v>293037.65000000002</v>
      </c>
    </row>
    <row r="12" spans="2:12">
      <c r="B12" s="209" t="s">
        <v>4</v>
      </c>
      <c r="C12" s="210" t="s">
        <v>5</v>
      </c>
      <c r="D12" s="297">
        <v>493752.73</v>
      </c>
      <c r="E12" s="95">
        <v>293037.65000000002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493752.73</v>
      </c>
      <c r="E21" s="165">
        <f>E11</f>
        <v>293037.65000000002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529616.92000000004</v>
      </c>
      <c r="E26" s="112">
        <f>D21</f>
        <v>493752.73</v>
      </c>
      <c r="G26" s="81"/>
    </row>
    <row r="27" spans="2:11">
      <c r="B27" s="10" t="s">
        <v>17</v>
      </c>
      <c r="C27" s="11" t="s">
        <v>217</v>
      </c>
      <c r="D27" s="245">
        <v>-41570.71</v>
      </c>
      <c r="E27" s="269">
        <f>E28-E32</f>
        <v>-209417.68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21937.5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21937.5</v>
      </c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63508.21</v>
      </c>
      <c r="E32" s="284">
        <f>SUM(E33:E39)</f>
        <v>209417.68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53775.75</v>
      </c>
      <c r="E33" s="286">
        <v>159406.63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2389.83</v>
      </c>
      <c r="E35" s="286">
        <v>1945.64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7342.63</v>
      </c>
      <c r="E37" s="286">
        <v>5523.11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>
        <v>42542.3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5706.52</v>
      </c>
      <c r="E40" s="115">
        <v>8702.6</v>
      </c>
      <c r="G40" s="81"/>
    </row>
    <row r="41" spans="2:10" ht="13.5" thickBot="1">
      <c r="B41" s="116" t="s">
        <v>37</v>
      </c>
      <c r="C41" s="117" t="s">
        <v>38</v>
      </c>
      <c r="D41" s="249">
        <v>493752.73000000004</v>
      </c>
      <c r="E41" s="165">
        <f>E26+E27+E40</f>
        <v>293037.64999999997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44356.525999999998</v>
      </c>
      <c r="E47" s="166">
        <v>40907.434000000001</v>
      </c>
      <c r="G47" s="77"/>
    </row>
    <row r="48" spans="2:10">
      <c r="B48" s="222" t="s">
        <v>6</v>
      </c>
      <c r="C48" s="223" t="s">
        <v>41</v>
      </c>
      <c r="D48" s="251">
        <v>40907.434000000001</v>
      </c>
      <c r="E48" s="166">
        <v>23727.744999999999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11.94</v>
      </c>
      <c r="E50" s="166">
        <v>12.07</v>
      </c>
      <c r="G50" s="208"/>
    </row>
    <row r="51" spans="2:7">
      <c r="B51" s="220" t="s">
        <v>6</v>
      </c>
      <c r="C51" s="221" t="s">
        <v>220</v>
      </c>
      <c r="D51" s="253">
        <v>11.94</v>
      </c>
      <c r="E51" s="166">
        <v>12.07</v>
      </c>
      <c r="G51" s="208"/>
    </row>
    <row r="52" spans="2:7">
      <c r="B52" s="220" t="s">
        <v>8</v>
      </c>
      <c r="C52" s="221" t="s">
        <v>221</v>
      </c>
      <c r="D52" s="253">
        <v>12.07</v>
      </c>
      <c r="E52" s="82">
        <v>12.35</v>
      </c>
    </row>
    <row r="53" spans="2:7" ht="13.5" customHeight="1" thickBot="1">
      <c r="B53" s="224" t="s">
        <v>9</v>
      </c>
      <c r="C53" s="225" t="s">
        <v>41</v>
      </c>
      <c r="D53" s="254">
        <v>12.07</v>
      </c>
      <c r="E53" s="167">
        <v>12.35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293037.65000000002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293037.65000000002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293037.65000000002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293037.65000000002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7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184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1027197.07</v>
      </c>
      <c r="E11" s="9">
        <f>E12</f>
        <v>868336.04</v>
      </c>
    </row>
    <row r="12" spans="2:12">
      <c r="B12" s="209" t="s">
        <v>4</v>
      </c>
      <c r="C12" s="210" t="s">
        <v>5</v>
      </c>
      <c r="D12" s="297">
        <v>1027197.07</v>
      </c>
      <c r="E12" s="95">
        <v>868336.04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1027197.07</v>
      </c>
      <c r="E21" s="165">
        <f>E11</f>
        <v>868336.04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4036994.82</v>
      </c>
      <c r="E26" s="112">
        <f>D21</f>
        <v>1027197.07</v>
      </c>
      <c r="G26" s="81"/>
    </row>
    <row r="27" spans="2:11">
      <c r="B27" s="10" t="s">
        <v>17</v>
      </c>
      <c r="C27" s="11" t="s">
        <v>217</v>
      </c>
      <c r="D27" s="245">
        <v>-2980272.4200000004</v>
      </c>
      <c r="E27" s="269">
        <f>E28-E32</f>
        <v>-205675.68000000002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0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2980272.4200000004</v>
      </c>
      <c r="E32" s="284">
        <f>SUM(E33:E39)</f>
        <v>205675.68000000002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362711.49</v>
      </c>
      <c r="E33" s="286">
        <v>189505.28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2144.75</v>
      </c>
      <c r="E35" s="286">
        <v>71.95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30106.21</v>
      </c>
      <c r="E37" s="286">
        <v>16098.45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2585309.9700000002</v>
      </c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-29525.33</v>
      </c>
      <c r="E40" s="115">
        <v>46814.65</v>
      </c>
      <c r="G40" s="81"/>
    </row>
    <row r="41" spans="2:10" ht="13.5" thickBot="1">
      <c r="B41" s="116" t="s">
        <v>37</v>
      </c>
      <c r="C41" s="117" t="s">
        <v>38</v>
      </c>
      <c r="D41" s="249">
        <v>1027197.0699999995</v>
      </c>
      <c r="E41" s="165">
        <f>E26+E27+E40</f>
        <v>868336.03999999992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363693.22700000001</v>
      </c>
      <c r="E47" s="166">
        <v>89789.953999999998</v>
      </c>
      <c r="G47" s="77"/>
    </row>
    <row r="48" spans="2:10">
      <c r="B48" s="222" t="s">
        <v>6</v>
      </c>
      <c r="C48" s="223" t="s">
        <v>41</v>
      </c>
      <c r="D48" s="251">
        <v>89789.953999999998</v>
      </c>
      <c r="E48" s="166">
        <v>72482.14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11.1</v>
      </c>
      <c r="E50" s="166">
        <v>11.44</v>
      </c>
      <c r="G50" s="208"/>
    </row>
    <row r="51" spans="2:7">
      <c r="B51" s="220" t="s">
        <v>6</v>
      </c>
      <c r="C51" s="221" t="s">
        <v>220</v>
      </c>
      <c r="D51" s="253">
        <v>9.9700000000000006</v>
      </c>
      <c r="E51" s="166">
        <v>11.44</v>
      </c>
      <c r="G51" s="208"/>
    </row>
    <row r="52" spans="2:7">
      <c r="B52" s="220" t="s">
        <v>8</v>
      </c>
      <c r="C52" s="221" t="s">
        <v>221</v>
      </c>
      <c r="D52" s="253">
        <v>11.45</v>
      </c>
      <c r="E52" s="82">
        <v>12.1</v>
      </c>
    </row>
    <row r="53" spans="2:7" ht="13.5" customHeight="1" thickBot="1">
      <c r="B53" s="224" t="s">
        <v>9</v>
      </c>
      <c r="C53" s="225" t="s">
        <v>41</v>
      </c>
      <c r="D53" s="254">
        <v>11.44</v>
      </c>
      <c r="E53" s="167">
        <v>11.98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868336.04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868336.04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868336.04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868336.04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3.8554687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99"/>
      <c r="C4" s="99"/>
      <c r="D4" s="99"/>
      <c r="E4" s="99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105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0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330936.65000000002</v>
      </c>
      <c r="E11" s="9">
        <f>E12+E13+E14</f>
        <v>499622.63</v>
      </c>
    </row>
    <row r="12" spans="2:12">
      <c r="B12" s="123" t="s">
        <v>4</v>
      </c>
      <c r="C12" s="6" t="s">
        <v>5</v>
      </c>
      <c r="D12" s="297">
        <v>329140.06</v>
      </c>
      <c r="E12" s="95">
        <v>498350.51</v>
      </c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>
        <v>1796.5900000000001</v>
      </c>
      <c r="E14" s="95">
        <f>E15</f>
        <v>1272.1199999999999</v>
      </c>
    </row>
    <row r="15" spans="2:12">
      <c r="B15" s="123" t="s">
        <v>212</v>
      </c>
      <c r="C15" s="72" t="s">
        <v>11</v>
      </c>
      <c r="D15" s="297">
        <v>1796.5900000000001</v>
      </c>
      <c r="E15" s="95">
        <v>1272.1199999999999</v>
      </c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>
        <v>636.20000000000005</v>
      </c>
      <c r="E17" s="107">
        <f>E18</f>
        <v>727.82</v>
      </c>
    </row>
    <row r="18" spans="2:11">
      <c r="B18" s="123" t="s">
        <v>4</v>
      </c>
      <c r="C18" s="6" t="s">
        <v>11</v>
      </c>
      <c r="D18" s="297">
        <v>636.20000000000005</v>
      </c>
      <c r="E18" s="96">
        <v>727.82</v>
      </c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330300.45</v>
      </c>
      <c r="E21" s="165">
        <f>E11-E17</f>
        <v>498894.81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6.5" customHeight="1" thickBot="1">
      <c r="B24" s="335" t="s">
        <v>211</v>
      </c>
      <c r="C24" s="345"/>
      <c r="D24" s="345"/>
      <c r="E24" s="345"/>
    </row>
    <row r="25" spans="2:11" ht="13.5" thickBot="1">
      <c r="B25" s="100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283755.16000000003</v>
      </c>
      <c r="E26" s="112">
        <f>D21</f>
        <v>330300.45</v>
      </c>
      <c r="G26" s="81"/>
    </row>
    <row r="27" spans="2:11">
      <c r="B27" s="10" t="s">
        <v>17</v>
      </c>
      <c r="C27" s="11" t="s">
        <v>217</v>
      </c>
      <c r="D27" s="245">
        <v>35832.44</v>
      </c>
      <c r="E27" s="269">
        <f>E28-E32</f>
        <v>121266.71000000002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152467.56</v>
      </c>
      <c r="E28" s="284">
        <f>SUM(E29:E31)</f>
        <v>170138.02000000002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134531.69</v>
      </c>
      <c r="E29" s="286">
        <v>167275.01</v>
      </c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>
        <v>17935.87</v>
      </c>
      <c r="E31" s="286">
        <v>2863.01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116635.12</v>
      </c>
      <c r="E32" s="284">
        <f>SUM(E33:E39)</f>
        <v>48871.310000000005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26875.96</v>
      </c>
      <c r="E33" s="286">
        <v>32948.75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11748.69</v>
      </c>
      <c r="E35" s="286">
        <v>12812.01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/>
      <c r="E37" s="286"/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>
        <v>78010.47</v>
      </c>
      <c r="E39" s="288">
        <v>3110.55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10712.85</v>
      </c>
      <c r="E40" s="115">
        <v>47327.65</v>
      </c>
      <c r="G40" s="81"/>
    </row>
    <row r="41" spans="2:10" ht="13.5" thickBot="1">
      <c r="B41" s="116" t="s">
        <v>37</v>
      </c>
      <c r="C41" s="117" t="s">
        <v>38</v>
      </c>
      <c r="D41" s="249">
        <v>330300.45</v>
      </c>
      <c r="E41" s="165">
        <f>E26+E27+E40</f>
        <v>498894.81000000006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6.5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0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27892.066800000001</v>
      </c>
      <c r="E47" s="80">
        <v>31299.363300000001</v>
      </c>
      <c r="G47" s="77"/>
    </row>
    <row r="48" spans="2:10">
      <c r="B48" s="140" t="s">
        <v>6</v>
      </c>
      <c r="C48" s="23" t="s">
        <v>41</v>
      </c>
      <c r="D48" s="251">
        <v>31299.363300000001</v>
      </c>
      <c r="E48" s="80">
        <v>42123.054300000003</v>
      </c>
      <c r="G48" s="231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10.173328568107401</v>
      </c>
      <c r="E50" s="80">
        <v>10.552944698398999</v>
      </c>
      <c r="G50" s="208"/>
    </row>
    <row r="51" spans="2:7">
      <c r="B51" s="119" t="s">
        <v>6</v>
      </c>
      <c r="C51" s="16" t="s">
        <v>220</v>
      </c>
      <c r="D51" s="256">
        <v>9.7194000000000003</v>
      </c>
      <c r="E51" s="82">
        <v>10.552899999999999</v>
      </c>
      <c r="G51" s="208"/>
    </row>
    <row r="52" spans="2:7">
      <c r="B52" s="119" t="s">
        <v>8</v>
      </c>
      <c r="C52" s="16" t="s">
        <v>221</v>
      </c>
      <c r="D52" s="256">
        <v>10.6043</v>
      </c>
      <c r="E52" s="82">
        <v>11.875</v>
      </c>
    </row>
    <row r="53" spans="2:7" ht="13.5" thickBot="1">
      <c r="B53" s="120" t="s">
        <v>9</v>
      </c>
      <c r="C53" s="18" t="s">
        <v>41</v>
      </c>
      <c r="D53" s="254">
        <v>10.552944698398999</v>
      </c>
      <c r="E53" s="167">
        <v>11.8437472849636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SUM(D59:D70)</f>
        <v>498350.51</v>
      </c>
      <c r="E58" s="33">
        <f>D58/E21</f>
        <v>0.99890898844988985</v>
      </c>
    </row>
    <row r="59" spans="2:7" ht="25.5">
      <c r="B59" s="22" t="s">
        <v>4</v>
      </c>
      <c r="C59" s="23" t="s">
        <v>44</v>
      </c>
      <c r="D59" s="90">
        <v>0</v>
      </c>
      <c r="E59" s="91">
        <v>0</v>
      </c>
    </row>
    <row r="60" spans="2:7" ht="24" customHeight="1">
      <c r="B60" s="15" t="s">
        <v>6</v>
      </c>
      <c r="C60" s="16" t="s">
        <v>45</v>
      </c>
      <c r="D60" s="88">
        <v>0</v>
      </c>
      <c r="E60" s="89">
        <v>0</v>
      </c>
    </row>
    <row r="61" spans="2:7">
      <c r="B61" s="15" t="s">
        <v>8</v>
      </c>
      <c r="C61" s="16" t="s">
        <v>46</v>
      </c>
      <c r="D61" s="88">
        <v>0</v>
      </c>
      <c r="E61" s="89">
        <v>0</v>
      </c>
    </row>
    <row r="62" spans="2:7">
      <c r="B62" s="15" t="s">
        <v>9</v>
      </c>
      <c r="C62" s="16" t="s">
        <v>47</v>
      </c>
      <c r="D62" s="88">
        <v>0</v>
      </c>
      <c r="E62" s="89">
        <v>0</v>
      </c>
    </row>
    <row r="63" spans="2:7">
      <c r="B63" s="15" t="s">
        <v>29</v>
      </c>
      <c r="C63" s="16" t="s">
        <v>48</v>
      </c>
      <c r="D63" s="88">
        <v>0</v>
      </c>
      <c r="E63" s="89">
        <v>0</v>
      </c>
    </row>
    <row r="64" spans="2:7">
      <c r="B64" s="22" t="s">
        <v>31</v>
      </c>
      <c r="C64" s="23" t="s">
        <v>49</v>
      </c>
      <c r="D64" s="90">
        <v>449045.61</v>
      </c>
      <c r="E64" s="91">
        <f>D64/E21</f>
        <v>0.90008074046711373</v>
      </c>
    </row>
    <row r="65" spans="2:5">
      <c r="B65" s="22" t="s">
        <v>33</v>
      </c>
      <c r="C65" s="23" t="s">
        <v>224</v>
      </c>
      <c r="D65" s="90">
        <v>0</v>
      </c>
      <c r="E65" s="91">
        <v>0</v>
      </c>
    </row>
    <row r="66" spans="2:5">
      <c r="B66" s="22" t="s">
        <v>50</v>
      </c>
      <c r="C66" s="23" t="s">
        <v>51</v>
      </c>
      <c r="D66" s="90">
        <v>0</v>
      </c>
      <c r="E66" s="91">
        <v>0</v>
      </c>
    </row>
    <row r="67" spans="2:5">
      <c r="B67" s="15" t="s">
        <v>52</v>
      </c>
      <c r="C67" s="16" t="s">
        <v>53</v>
      </c>
      <c r="D67" s="88">
        <v>0</v>
      </c>
      <c r="E67" s="89">
        <v>0</v>
      </c>
    </row>
    <row r="68" spans="2:5">
      <c r="B68" s="15" t="s">
        <v>54</v>
      </c>
      <c r="C68" s="16" t="s">
        <v>55</v>
      </c>
      <c r="D68" s="88">
        <v>0</v>
      </c>
      <c r="E68" s="89">
        <v>0</v>
      </c>
    </row>
    <row r="69" spans="2:5">
      <c r="B69" s="15" t="s">
        <v>56</v>
      </c>
      <c r="C69" s="16" t="s">
        <v>57</v>
      </c>
      <c r="D69" s="88">
        <v>49304.899999999994</v>
      </c>
      <c r="E69" s="89">
        <f>D69/E21</f>
        <v>9.882824798277616E-2</v>
      </c>
    </row>
    <row r="70" spans="2:5">
      <c r="B70" s="129" t="s">
        <v>58</v>
      </c>
      <c r="C70" s="130" t="s">
        <v>59</v>
      </c>
      <c r="D70" s="131">
        <v>0</v>
      </c>
      <c r="E70" s="132">
        <v>0</v>
      </c>
    </row>
    <row r="71" spans="2:5">
      <c r="B71" s="137" t="s">
        <v>23</v>
      </c>
      <c r="C71" s="138" t="s">
        <v>61</v>
      </c>
      <c r="D71" s="139">
        <f>E13</f>
        <v>0</v>
      </c>
      <c r="E71" s="70">
        <v>0</v>
      </c>
    </row>
    <row r="72" spans="2:5">
      <c r="B72" s="133" t="s">
        <v>60</v>
      </c>
      <c r="C72" s="134" t="s">
        <v>63</v>
      </c>
      <c r="D72" s="135">
        <f>E14</f>
        <v>1272.1199999999999</v>
      </c>
      <c r="E72" s="136">
        <f>D72/E21</f>
        <v>2.5498761953446658E-3</v>
      </c>
    </row>
    <row r="73" spans="2:5">
      <c r="B73" s="24" t="s">
        <v>62</v>
      </c>
      <c r="C73" s="25" t="s">
        <v>65</v>
      </c>
      <c r="D73" s="26">
        <f>E17</f>
        <v>727.82</v>
      </c>
      <c r="E73" s="27">
        <f>D73/E21</f>
        <v>1.4588646452345336E-3</v>
      </c>
    </row>
    <row r="74" spans="2:5">
      <c r="B74" s="137" t="s">
        <v>64</v>
      </c>
      <c r="C74" s="138" t="s">
        <v>66</v>
      </c>
      <c r="D74" s="139">
        <f>D58+D71+D72-D73</f>
        <v>498894.81</v>
      </c>
      <c r="E74" s="70">
        <f>E58+E72-E73</f>
        <v>1</v>
      </c>
    </row>
    <row r="75" spans="2:5">
      <c r="B75" s="15" t="s">
        <v>4</v>
      </c>
      <c r="C75" s="16" t="s">
        <v>67</v>
      </c>
      <c r="D75" s="88">
        <f>D74</f>
        <v>498894.81</v>
      </c>
      <c r="E75" s="89">
        <f>E74</f>
        <v>1</v>
      </c>
    </row>
    <row r="76" spans="2:5">
      <c r="B76" s="15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7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2" right="0.75" top="0.6" bottom="0.4" header="0.5" footer="0.5"/>
  <pageSetup paperSize="9" scale="70" orientation="portrait" r:id="rId1"/>
  <headerFooter alignWithMargins="0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8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168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121286.87</v>
      </c>
      <c r="E11" s="9">
        <f>E12</f>
        <v>64398.2</v>
      </c>
    </row>
    <row r="12" spans="2:12">
      <c r="B12" s="209" t="s">
        <v>4</v>
      </c>
      <c r="C12" s="210" t="s">
        <v>5</v>
      </c>
      <c r="D12" s="297">
        <v>121286.87</v>
      </c>
      <c r="E12" s="95">
        <v>64398.2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121286.87</v>
      </c>
      <c r="E21" s="165">
        <f>E11</f>
        <v>64398.2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83818.22</v>
      </c>
      <c r="E26" s="112">
        <f>D21</f>
        <v>121286.87</v>
      </c>
      <c r="G26" s="81"/>
    </row>
    <row r="27" spans="2:11">
      <c r="B27" s="10" t="s">
        <v>17</v>
      </c>
      <c r="C27" s="11" t="s">
        <v>217</v>
      </c>
      <c r="D27" s="245">
        <v>25241.190000000002</v>
      </c>
      <c r="E27" s="269">
        <f>E28-E32</f>
        <v>-51220.579999999994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89513.14</v>
      </c>
      <c r="E28" s="284">
        <f>SUM(E29:E31)</f>
        <v>58947.82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5913.25</v>
      </c>
      <c r="E29" s="286">
        <v>3895.38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83599.89</v>
      </c>
      <c r="E31" s="286">
        <v>55052.44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64271.95</v>
      </c>
      <c r="E32" s="284">
        <f>SUM(E33:E39)</f>
        <v>110168.4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34242.65</v>
      </c>
      <c r="E33" s="286">
        <v>67889.06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428.79</v>
      </c>
      <c r="E35" s="286">
        <v>651.94000000000005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1327.67</v>
      </c>
      <c r="E37" s="286">
        <v>1265.3900000000001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28272.84</v>
      </c>
      <c r="E39" s="288">
        <v>40362.01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12227.46</v>
      </c>
      <c r="E40" s="115">
        <v>-5668.09</v>
      </c>
      <c r="G40" s="81"/>
    </row>
    <row r="41" spans="2:10" ht="13.5" thickBot="1">
      <c r="B41" s="116" t="s">
        <v>37</v>
      </c>
      <c r="C41" s="117" t="s">
        <v>38</v>
      </c>
      <c r="D41" s="249">
        <v>121286.87</v>
      </c>
      <c r="E41" s="165">
        <f>E26+E27+E40</f>
        <v>64398.200000000012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15407.761</v>
      </c>
      <c r="E47" s="166">
        <v>19436.999</v>
      </c>
      <c r="G47" s="77"/>
    </row>
    <row r="48" spans="2:10">
      <c r="B48" s="222" t="s">
        <v>6</v>
      </c>
      <c r="C48" s="223" t="s">
        <v>41</v>
      </c>
      <c r="D48" s="251">
        <v>19436.999</v>
      </c>
      <c r="E48" s="166">
        <v>10859.73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5.44</v>
      </c>
      <c r="E50" s="166">
        <v>6.24</v>
      </c>
      <c r="G50" s="208"/>
    </row>
    <row r="51" spans="2:7">
      <c r="B51" s="220" t="s">
        <v>6</v>
      </c>
      <c r="C51" s="221" t="s">
        <v>220</v>
      </c>
      <c r="D51" s="253">
        <v>5.04</v>
      </c>
      <c r="E51" s="166">
        <v>5.65</v>
      </c>
      <c r="G51" s="208"/>
    </row>
    <row r="52" spans="2:7">
      <c r="B52" s="220" t="s">
        <v>8</v>
      </c>
      <c r="C52" s="221" t="s">
        <v>221</v>
      </c>
      <c r="D52" s="253">
        <v>6.29</v>
      </c>
      <c r="E52" s="166">
        <v>6.39</v>
      </c>
    </row>
    <row r="53" spans="2:7" ht="13.5" customHeight="1" thickBot="1">
      <c r="B53" s="224" t="s">
        <v>9</v>
      </c>
      <c r="C53" s="225" t="s">
        <v>41</v>
      </c>
      <c r="D53" s="254">
        <v>6.24</v>
      </c>
      <c r="E53" s="167">
        <v>5.93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64398.2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64398.2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64398.2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64398.2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9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H2" s="178"/>
      <c r="I2" s="178"/>
      <c r="J2" s="178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  <c r="H5" s="178"/>
      <c r="I5" s="178"/>
      <c r="J5" s="178"/>
    </row>
    <row r="6" spans="2:12" ht="14.25">
      <c r="B6" s="334" t="s">
        <v>125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1811.58</v>
      </c>
      <c r="E11" s="9">
        <f>E12</f>
        <v>1659.15</v>
      </c>
    </row>
    <row r="12" spans="2:12">
      <c r="B12" s="209" t="s">
        <v>4</v>
      </c>
      <c r="C12" s="210" t="s">
        <v>5</v>
      </c>
      <c r="D12" s="297">
        <v>1811.58</v>
      </c>
      <c r="E12" s="95">
        <v>1659.15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1811.58</v>
      </c>
      <c r="E21" s="165">
        <f>E11</f>
        <v>1659.15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16394.59</v>
      </c>
      <c r="E26" s="112">
        <f>D21</f>
        <v>1811.58</v>
      </c>
      <c r="G26" s="81"/>
    </row>
    <row r="27" spans="2:11">
      <c r="B27" s="10" t="s">
        <v>17</v>
      </c>
      <c r="C27" s="11" t="s">
        <v>217</v>
      </c>
      <c r="D27" s="245">
        <v>-13860.65</v>
      </c>
      <c r="E27" s="269">
        <f>E28-E32</f>
        <v>-2134.2900000000009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1825.98</v>
      </c>
      <c r="E28" s="284">
        <f>SUM(E29:E31)</f>
        <v>34953.97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783.5</v>
      </c>
      <c r="E29" s="286">
        <v>293.97000000000003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1042.48</v>
      </c>
      <c r="E31" s="286">
        <v>34660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15686.63</v>
      </c>
      <c r="E32" s="284">
        <f>SUM(E33:E39)</f>
        <v>37088.26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14272.57</v>
      </c>
      <c r="E33" s="286">
        <v>482.43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43.39</v>
      </c>
      <c r="E35" s="286">
        <v>22.61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64.62</v>
      </c>
      <c r="E37" s="286">
        <v>139.66999999999999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1306.05</v>
      </c>
      <c r="E39" s="288">
        <v>36443.550000000003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-722.36</v>
      </c>
      <c r="E40" s="115">
        <v>1981.86</v>
      </c>
      <c r="G40" s="81"/>
    </row>
    <row r="41" spans="2:10" ht="13.5" thickBot="1">
      <c r="B41" s="116" t="s">
        <v>37</v>
      </c>
      <c r="C41" s="117" t="s">
        <v>38</v>
      </c>
      <c r="D41" s="249">
        <v>1811.5800000000004</v>
      </c>
      <c r="E41" s="165">
        <f>E26+E27+E40</f>
        <v>1659.149999999999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845.08199999999999</v>
      </c>
      <c r="E47" s="166">
        <v>88.025999999999996</v>
      </c>
      <c r="G47" s="77"/>
    </row>
    <row r="48" spans="2:10">
      <c r="B48" s="222" t="s">
        <v>6</v>
      </c>
      <c r="C48" s="223" t="s">
        <v>41</v>
      </c>
      <c r="D48" s="251">
        <v>88.025999999999996</v>
      </c>
      <c r="E48" s="166">
        <v>68.873000000000005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19.399999999999999</v>
      </c>
      <c r="E50" s="166">
        <v>20.58</v>
      </c>
      <c r="G50" s="208"/>
    </row>
    <row r="51" spans="2:7">
      <c r="B51" s="220" t="s">
        <v>6</v>
      </c>
      <c r="C51" s="221" t="s">
        <v>220</v>
      </c>
      <c r="D51" s="253">
        <v>17.62</v>
      </c>
      <c r="E51" s="166">
        <v>20.58</v>
      </c>
      <c r="G51" s="208"/>
    </row>
    <row r="52" spans="2:7">
      <c r="B52" s="220" t="s">
        <v>8</v>
      </c>
      <c r="C52" s="221" t="s">
        <v>221</v>
      </c>
      <c r="D52" s="253">
        <v>20.58</v>
      </c>
      <c r="E52" s="82">
        <v>24.82</v>
      </c>
    </row>
    <row r="53" spans="2:7" ht="14.25" customHeight="1" thickBot="1">
      <c r="B53" s="224" t="s">
        <v>9</v>
      </c>
      <c r="C53" s="225" t="s">
        <v>41</v>
      </c>
      <c r="D53" s="254">
        <v>20.58</v>
      </c>
      <c r="E53" s="167">
        <v>24.09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1659.15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1659.15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1659.15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1659.15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62" bottom="0.52" header="0.5" footer="0.5"/>
  <pageSetup paperSize="9" scale="70" orientation="portrait" r:id="rId1"/>
  <headerFooter alignWithMargins="0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0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126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706836.52</v>
      </c>
      <c r="E11" s="9">
        <f>E12</f>
        <v>1635799.49</v>
      </c>
    </row>
    <row r="12" spans="2:12">
      <c r="B12" s="209" t="s">
        <v>4</v>
      </c>
      <c r="C12" s="210" t="s">
        <v>5</v>
      </c>
      <c r="D12" s="297">
        <v>706836.52</v>
      </c>
      <c r="E12" s="95">
        <v>1635799.49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706836.52</v>
      </c>
      <c r="E21" s="165">
        <f>E11</f>
        <v>1635799.49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1413232.11</v>
      </c>
      <c r="E26" s="112">
        <f>D21</f>
        <v>706836.52</v>
      </c>
      <c r="G26" s="81"/>
    </row>
    <row r="27" spans="2:11">
      <c r="B27" s="10" t="s">
        <v>17</v>
      </c>
      <c r="C27" s="11" t="s">
        <v>217</v>
      </c>
      <c r="D27" s="245">
        <v>-775158.29</v>
      </c>
      <c r="E27" s="269">
        <f>E28-E32</f>
        <v>902753.05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21560</v>
      </c>
      <c r="E28" s="284">
        <f>SUM(E29:E31)</f>
        <v>1378587.85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21560</v>
      </c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>
        <v>1378587.85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796718.29</v>
      </c>
      <c r="E32" s="284">
        <f>SUM(E33:E39)</f>
        <v>475834.80000000005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563308.98</v>
      </c>
      <c r="E33" s="286"/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111.84</v>
      </c>
      <c r="E35" s="286">
        <v>5.74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15210.78</v>
      </c>
      <c r="E37" s="286">
        <v>22403.279999999999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218086.69</v>
      </c>
      <c r="E39" s="288">
        <v>453425.78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68762.7</v>
      </c>
      <c r="E40" s="115">
        <v>26209.919999999998</v>
      </c>
      <c r="G40" s="81"/>
    </row>
    <row r="41" spans="2:10" ht="13.5" thickBot="1">
      <c r="B41" s="116" t="s">
        <v>37</v>
      </c>
      <c r="C41" s="117" t="s">
        <v>38</v>
      </c>
      <c r="D41" s="249">
        <v>706836.52</v>
      </c>
      <c r="E41" s="165">
        <f>E26+E27+E40</f>
        <v>1635799.49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79888.756999999998</v>
      </c>
      <c r="E47" s="166">
        <v>36173.824000000001</v>
      </c>
      <c r="G47" s="77"/>
    </row>
    <row r="48" spans="2:10">
      <c r="B48" s="222" t="s">
        <v>6</v>
      </c>
      <c r="C48" s="223" t="s">
        <v>41</v>
      </c>
      <c r="D48" s="251">
        <v>36173.824000000001</v>
      </c>
      <c r="E48" s="166">
        <v>78380.426000000007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17.690000000000001</v>
      </c>
      <c r="E50" s="166">
        <v>19.54</v>
      </c>
      <c r="G50" s="208"/>
    </row>
    <row r="51" spans="2:7">
      <c r="B51" s="220" t="s">
        <v>6</v>
      </c>
      <c r="C51" s="221" t="s">
        <v>220</v>
      </c>
      <c r="D51" s="253">
        <v>15.8</v>
      </c>
      <c r="E51" s="166">
        <v>19.54</v>
      </c>
      <c r="G51" s="208"/>
    </row>
    <row r="52" spans="2:7">
      <c r="B52" s="220" t="s">
        <v>8</v>
      </c>
      <c r="C52" s="221" t="s">
        <v>221</v>
      </c>
      <c r="D52" s="253">
        <v>19.54</v>
      </c>
      <c r="E52" s="82">
        <v>21.85</v>
      </c>
    </row>
    <row r="53" spans="2:7" ht="13.5" customHeight="1" thickBot="1">
      <c r="B53" s="224" t="s">
        <v>9</v>
      </c>
      <c r="C53" s="225" t="s">
        <v>41</v>
      </c>
      <c r="D53" s="254">
        <v>19.54</v>
      </c>
      <c r="E53" s="167">
        <v>20.87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1635799.49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1635799.49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1635799.49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1635799.49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1">
    <pageSetUpPr fitToPage="1"/>
  </sheetPr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127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7502.16</v>
      </c>
      <c r="E11" s="9">
        <f>E12</f>
        <v>9274.66</v>
      </c>
    </row>
    <row r="12" spans="2:12">
      <c r="B12" s="209" t="s">
        <v>4</v>
      </c>
      <c r="C12" s="210" t="s">
        <v>5</v>
      </c>
      <c r="D12" s="297">
        <v>7502.16</v>
      </c>
      <c r="E12" s="95">
        <v>9274.66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7502.16</v>
      </c>
      <c r="E21" s="165">
        <f>E11</f>
        <v>9274.66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17720.12</v>
      </c>
      <c r="E26" s="112">
        <f>D21</f>
        <v>7502.16</v>
      </c>
      <c r="G26" s="81"/>
    </row>
    <row r="27" spans="2:11">
      <c r="B27" s="10" t="s">
        <v>17</v>
      </c>
      <c r="C27" s="11" t="s">
        <v>217</v>
      </c>
      <c r="D27" s="245">
        <v>-10478.499999999998</v>
      </c>
      <c r="E27" s="269">
        <f>E28-E32</f>
        <v>1452.6899999999998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6328.1900000000005</v>
      </c>
      <c r="E28" s="284">
        <f>SUM(E29:E31)</f>
        <v>2615.2199999999998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5990.92</v>
      </c>
      <c r="E29" s="286">
        <v>2615.2199999999998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337.27</v>
      </c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16806.689999999999</v>
      </c>
      <c r="E32" s="284">
        <f>SUM(E33:E39)</f>
        <v>1162.53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2387.1</v>
      </c>
      <c r="E33" s="286">
        <v>404.04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337.68</v>
      </c>
      <c r="E35" s="286">
        <v>288.24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233.14</v>
      </c>
      <c r="E37" s="286">
        <v>117.87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13848.77</v>
      </c>
      <c r="E39" s="288">
        <v>352.38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260.54000000000002</v>
      </c>
      <c r="E40" s="115">
        <v>319.81</v>
      </c>
      <c r="G40" s="81"/>
    </row>
    <row r="41" spans="2:10" ht="13.5" thickBot="1">
      <c r="B41" s="116" t="s">
        <v>37</v>
      </c>
      <c r="C41" s="117" t="s">
        <v>38</v>
      </c>
      <c r="D41" s="249">
        <v>7502.1600000000008</v>
      </c>
      <c r="E41" s="165">
        <f>E26+E27+E40</f>
        <v>9274.66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319.22399999999999</v>
      </c>
      <c r="E47" s="166">
        <v>134.73699999999999</v>
      </c>
      <c r="G47" s="77"/>
    </row>
    <row r="48" spans="2:10">
      <c r="B48" s="222" t="s">
        <v>6</v>
      </c>
      <c r="C48" s="223" t="s">
        <v>41</v>
      </c>
      <c r="D48" s="251">
        <v>134.73699999999999</v>
      </c>
      <c r="E48" s="166">
        <v>160.37799999999999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55.51</v>
      </c>
      <c r="E50" s="166">
        <v>55.68</v>
      </c>
      <c r="G50" s="208"/>
    </row>
    <row r="51" spans="2:7">
      <c r="B51" s="220" t="s">
        <v>6</v>
      </c>
      <c r="C51" s="221" t="s">
        <v>220</v>
      </c>
      <c r="D51" s="253">
        <v>55.32</v>
      </c>
      <c r="E51" s="166">
        <v>55.56</v>
      </c>
      <c r="G51" s="208"/>
    </row>
    <row r="52" spans="2:7">
      <c r="B52" s="220" t="s">
        <v>8</v>
      </c>
      <c r="C52" s="221" t="s">
        <v>221</v>
      </c>
      <c r="D52" s="253">
        <v>56.75</v>
      </c>
      <c r="E52" s="82">
        <v>57.85</v>
      </c>
    </row>
    <row r="53" spans="2:7" ht="12.75" customHeight="1" thickBot="1">
      <c r="B53" s="224" t="s">
        <v>9</v>
      </c>
      <c r="C53" s="225" t="s">
        <v>41</v>
      </c>
      <c r="D53" s="254">
        <v>55.68</v>
      </c>
      <c r="E53" s="167">
        <v>57.83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9274.66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9274.66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9274.66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9274.66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2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128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5512019.5499999998</v>
      </c>
      <c r="E11" s="9">
        <f>E12</f>
        <v>4175217.15</v>
      </c>
    </row>
    <row r="12" spans="2:12">
      <c r="B12" s="209" t="s">
        <v>4</v>
      </c>
      <c r="C12" s="210" t="s">
        <v>5</v>
      </c>
      <c r="D12" s="297">
        <v>5512019.5499999998</v>
      </c>
      <c r="E12" s="95">
        <v>4175217.15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5512019.5499999998</v>
      </c>
      <c r="E21" s="165">
        <f>E11</f>
        <v>4175217.15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6304696.0300000003</v>
      </c>
      <c r="E26" s="112">
        <f>D21</f>
        <v>5512019.5499999998</v>
      </c>
      <c r="G26" s="81"/>
    </row>
    <row r="27" spans="2:11">
      <c r="B27" s="10" t="s">
        <v>17</v>
      </c>
      <c r="C27" s="11" t="s">
        <v>217</v>
      </c>
      <c r="D27" s="245">
        <v>-863563.99000000046</v>
      </c>
      <c r="E27" s="269">
        <f>E28-E32</f>
        <v>-1452926.6600000001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2056153.14</v>
      </c>
      <c r="E28" s="284">
        <f>SUM(E29:E31)</f>
        <v>817730.5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424999.91</v>
      </c>
      <c r="E29" s="286">
        <v>580159.96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1631153.23</v>
      </c>
      <c r="E31" s="286">
        <v>237570.54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2919717.1300000004</v>
      </c>
      <c r="E32" s="284">
        <f>SUM(E33:E39)</f>
        <v>2270657.16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2804078.37</v>
      </c>
      <c r="E33" s="286">
        <v>2098359.02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4108.6000000000004</v>
      </c>
      <c r="E35" s="286">
        <v>2982.45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111530.16</v>
      </c>
      <c r="E37" s="286">
        <v>76279.09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>
        <v>93036.6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70887.509999999995</v>
      </c>
      <c r="E40" s="115">
        <v>116124.26</v>
      </c>
      <c r="G40" s="81"/>
    </row>
    <row r="41" spans="2:10" ht="13.5" thickBot="1">
      <c r="B41" s="116" t="s">
        <v>37</v>
      </c>
      <c r="C41" s="117" t="s">
        <v>38</v>
      </c>
      <c r="D41" s="249">
        <v>5512019.5499999998</v>
      </c>
      <c r="E41" s="165">
        <f>E26+E27+E40</f>
        <v>4175217.1499999994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33936.355000000003</v>
      </c>
      <c r="E47" s="166">
        <v>29359.857</v>
      </c>
      <c r="G47" s="77"/>
    </row>
    <row r="48" spans="2:10">
      <c r="B48" s="222" t="s">
        <v>6</v>
      </c>
      <c r="C48" s="223" t="s">
        <v>41</v>
      </c>
      <c r="D48" s="251">
        <v>29359.857</v>
      </c>
      <c r="E48" s="166">
        <v>21699.584999999999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185.78</v>
      </c>
      <c r="E50" s="166">
        <v>187.74</v>
      </c>
      <c r="G50" s="208"/>
    </row>
    <row r="51" spans="2:7">
      <c r="B51" s="220" t="s">
        <v>6</v>
      </c>
      <c r="C51" s="221" t="s">
        <v>220</v>
      </c>
      <c r="D51" s="253">
        <v>185.59</v>
      </c>
      <c r="E51" s="166">
        <v>187.68</v>
      </c>
      <c r="G51" s="208"/>
    </row>
    <row r="52" spans="2:7">
      <c r="B52" s="220" t="s">
        <v>8</v>
      </c>
      <c r="C52" s="221" t="s">
        <v>221</v>
      </c>
      <c r="D52" s="253">
        <v>187.93</v>
      </c>
      <c r="E52" s="82">
        <v>192.41</v>
      </c>
    </row>
    <row r="53" spans="2:7" ht="12.75" customHeight="1" thickBot="1">
      <c r="B53" s="224" t="s">
        <v>9</v>
      </c>
      <c r="C53" s="225" t="s">
        <v>41</v>
      </c>
      <c r="D53" s="254">
        <v>187.74</v>
      </c>
      <c r="E53" s="167">
        <v>192.41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4175217.15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4175217.15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4175217.15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4175217.15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3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129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11855300.560000001</v>
      </c>
      <c r="E11" s="9">
        <f>E12</f>
        <v>6918174.9500000002</v>
      </c>
    </row>
    <row r="12" spans="2:12">
      <c r="B12" s="209" t="s">
        <v>4</v>
      </c>
      <c r="C12" s="210" t="s">
        <v>5</v>
      </c>
      <c r="D12" s="297">
        <v>11855300.560000001</v>
      </c>
      <c r="E12" s="95">
        <v>6918174.9500000002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11855300.560000001</v>
      </c>
      <c r="E21" s="165">
        <f>E11</f>
        <v>6918174.9500000002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8191871.0899999999</v>
      </c>
      <c r="E26" s="112">
        <f>D21</f>
        <v>11855300.560000001</v>
      </c>
      <c r="G26" s="81"/>
    </row>
    <row r="27" spans="2:11">
      <c r="B27" s="10" t="s">
        <v>17</v>
      </c>
      <c r="C27" s="11" t="s">
        <v>217</v>
      </c>
      <c r="D27" s="245">
        <v>3569058.2499999991</v>
      </c>
      <c r="E27" s="269">
        <f>E28-E32</f>
        <v>-5184822.6599999992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10171044.27</v>
      </c>
      <c r="E28" s="284">
        <f>SUM(E29:E31)</f>
        <v>107669.05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10171044.27</v>
      </c>
      <c r="E31" s="286">
        <v>107669.05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6601986.0200000005</v>
      </c>
      <c r="E32" s="284">
        <f>SUM(E33:E39)</f>
        <v>5292491.709999999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5167714.3600000003</v>
      </c>
      <c r="E33" s="286">
        <v>2456856.84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48071.58</v>
      </c>
      <c r="E35" s="286">
        <v>44855.28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169898.38</v>
      </c>
      <c r="E37" s="286">
        <v>151054.60999999999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1216301.7</v>
      </c>
      <c r="E39" s="288">
        <v>2639724.98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94371.22</v>
      </c>
      <c r="E40" s="115">
        <v>247697.05</v>
      </c>
      <c r="G40" s="81"/>
    </row>
    <row r="41" spans="2:10" ht="13.5" thickBot="1">
      <c r="B41" s="116" t="s">
        <v>37</v>
      </c>
      <c r="C41" s="117" t="s">
        <v>38</v>
      </c>
      <c r="D41" s="249">
        <v>11855300.560000001</v>
      </c>
      <c r="E41" s="165">
        <f>E26+E27+E40</f>
        <v>6918174.9500000011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772818.027</v>
      </c>
      <c r="E47" s="166">
        <v>1107972.0149999999</v>
      </c>
      <c r="G47" s="77"/>
    </row>
    <row r="48" spans="2:10">
      <c r="B48" s="222" t="s">
        <v>6</v>
      </c>
      <c r="C48" s="223" t="s">
        <v>41</v>
      </c>
      <c r="D48" s="251">
        <v>1107972.0149999999</v>
      </c>
      <c r="E48" s="166">
        <v>629497.26599999995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10.6</v>
      </c>
      <c r="E50" s="166">
        <v>10.7</v>
      </c>
      <c r="G50" s="208"/>
    </row>
    <row r="51" spans="2:7">
      <c r="B51" s="220" t="s">
        <v>6</v>
      </c>
      <c r="C51" s="221" t="s">
        <v>220</v>
      </c>
      <c r="D51" s="253">
        <v>10.59</v>
      </c>
      <c r="E51" s="166">
        <v>10.69</v>
      </c>
      <c r="G51" s="208"/>
    </row>
    <row r="52" spans="2:7">
      <c r="B52" s="220" t="s">
        <v>8</v>
      </c>
      <c r="C52" s="221" t="s">
        <v>221</v>
      </c>
      <c r="D52" s="253">
        <v>10.74</v>
      </c>
      <c r="E52" s="82">
        <v>10.99</v>
      </c>
    </row>
    <row r="53" spans="2:7" ht="12.75" customHeight="1" thickBot="1">
      <c r="B53" s="224" t="s">
        <v>9</v>
      </c>
      <c r="C53" s="225" t="s">
        <v>41</v>
      </c>
      <c r="D53" s="254">
        <v>10.7</v>
      </c>
      <c r="E53" s="167">
        <v>10.99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6918174.9500000002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6918174.9500000002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6918174.9500000002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6918174.9500000002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4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130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207633.79</v>
      </c>
      <c r="E11" s="9">
        <f>E12</f>
        <v>218290.53</v>
      </c>
    </row>
    <row r="12" spans="2:12">
      <c r="B12" s="209" t="s">
        <v>4</v>
      </c>
      <c r="C12" s="210" t="s">
        <v>5</v>
      </c>
      <c r="D12" s="297">
        <v>207633.79</v>
      </c>
      <c r="E12" s="95">
        <v>218290.53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207633.79</v>
      </c>
      <c r="E21" s="165">
        <f>E11</f>
        <v>218290.53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207127.74</v>
      </c>
      <c r="E26" s="112">
        <f>D21</f>
        <v>207633.79</v>
      </c>
      <c r="G26" s="81"/>
    </row>
    <row r="27" spans="2:11">
      <c r="B27" s="10" t="s">
        <v>17</v>
      </c>
      <c r="C27" s="11" t="s">
        <v>217</v>
      </c>
      <c r="D27" s="245">
        <v>-3301.93</v>
      </c>
      <c r="E27" s="269">
        <f>E28-E32</f>
        <v>-3256.88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/>
      <c r="E28" s="284">
        <f>SUM(E29:E31)</f>
        <v>0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3301.93</v>
      </c>
      <c r="E32" s="284">
        <f>SUM(E33:E39)</f>
        <v>3256.88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/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/>
      <c r="E35" s="286"/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3301.93</v>
      </c>
      <c r="E37" s="286">
        <v>3256.88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3807.98</v>
      </c>
      <c r="E40" s="115">
        <v>13913.62</v>
      </c>
      <c r="G40" s="81"/>
    </row>
    <row r="41" spans="2:10" ht="13.5" thickBot="1">
      <c r="B41" s="116" t="s">
        <v>37</v>
      </c>
      <c r="C41" s="117" t="s">
        <v>38</v>
      </c>
      <c r="D41" s="249">
        <v>207633.79</v>
      </c>
      <c r="E41" s="165">
        <f>E26+E27+E40</f>
        <v>218290.53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18411.355</v>
      </c>
      <c r="E47" s="325">
        <v>18118.132000000001</v>
      </c>
      <c r="G47" s="77"/>
    </row>
    <row r="48" spans="2:10">
      <c r="B48" s="222" t="s">
        <v>6</v>
      </c>
      <c r="C48" s="223" t="s">
        <v>41</v>
      </c>
      <c r="D48" s="251">
        <v>18118.132000000001</v>
      </c>
      <c r="E48" s="166">
        <v>17848.776000000002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11.25</v>
      </c>
      <c r="E50" s="82">
        <v>11.46</v>
      </c>
      <c r="G50" s="208"/>
    </row>
    <row r="51" spans="2:7">
      <c r="B51" s="220" t="s">
        <v>6</v>
      </c>
      <c r="C51" s="221" t="s">
        <v>220</v>
      </c>
      <c r="D51" s="253">
        <v>10.86</v>
      </c>
      <c r="E51" s="82">
        <v>11.45</v>
      </c>
      <c r="G51" s="208"/>
    </row>
    <row r="52" spans="2:7">
      <c r="B52" s="220" t="s">
        <v>8</v>
      </c>
      <c r="C52" s="221" t="s">
        <v>221</v>
      </c>
      <c r="D52" s="253">
        <v>11.55</v>
      </c>
      <c r="E52" s="82">
        <v>12.35</v>
      </c>
    </row>
    <row r="53" spans="2:7" ht="14.25" customHeight="1" thickBot="1">
      <c r="B53" s="224" t="s">
        <v>9</v>
      </c>
      <c r="C53" s="225" t="s">
        <v>41</v>
      </c>
      <c r="D53" s="254">
        <v>11.46</v>
      </c>
      <c r="E53" s="167">
        <v>12.23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218290.53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218290.53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218290.53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218290.53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5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185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649190.99</v>
      </c>
      <c r="E11" s="9">
        <f>E12</f>
        <v>493751.96</v>
      </c>
    </row>
    <row r="12" spans="2:12">
      <c r="B12" s="209" t="s">
        <v>4</v>
      </c>
      <c r="C12" s="210" t="s">
        <v>5</v>
      </c>
      <c r="D12" s="297">
        <v>649190.99</v>
      </c>
      <c r="E12" s="95">
        <v>493751.96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649190.99</v>
      </c>
      <c r="E21" s="165">
        <f>E11</f>
        <v>493751.96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502684.79</v>
      </c>
      <c r="E26" s="112">
        <f>D21</f>
        <v>649190.99</v>
      </c>
      <c r="G26" s="81"/>
    </row>
    <row r="27" spans="2:11">
      <c r="B27" s="10" t="s">
        <v>17</v>
      </c>
      <c r="C27" s="11" t="s">
        <v>217</v>
      </c>
      <c r="D27" s="245">
        <v>141767</v>
      </c>
      <c r="E27" s="269">
        <f>E28-E32</f>
        <v>-174395.86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417910.27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417910.27</v>
      </c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276143.27</v>
      </c>
      <c r="E32" s="284">
        <f>SUM(E33:E39)</f>
        <v>174395.86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262694.14</v>
      </c>
      <c r="E33" s="286">
        <v>148622.72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3092.8</v>
      </c>
      <c r="E35" s="286">
        <v>2879.77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9181.2999999999993</v>
      </c>
      <c r="E37" s="286">
        <v>8646.77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1175.03</v>
      </c>
      <c r="E39" s="288">
        <v>14246.6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4739.2</v>
      </c>
      <c r="E40" s="115">
        <v>18956.830000000002</v>
      </c>
      <c r="G40" s="81"/>
    </row>
    <row r="41" spans="2:10" ht="13.5" thickBot="1">
      <c r="B41" s="116" t="s">
        <v>37</v>
      </c>
      <c r="C41" s="117" t="s">
        <v>38</v>
      </c>
      <c r="D41" s="249">
        <v>649190.99</v>
      </c>
      <c r="E41" s="165">
        <f>E26+E27+E40</f>
        <v>493751.96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43297.57</v>
      </c>
      <c r="E47" s="166">
        <v>55486.409</v>
      </c>
      <c r="G47" s="77"/>
    </row>
    <row r="48" spans="2:10">
      <c r="B48" s="222" t="s">
        <v>6</v>
      </c>
      <c r="C48" s="223" t="s">
        <v>41</v>
      </c>
      <c r="D48" s="251">
        <v>55486.409</v>
      </c>
      <c r="E48" s="166">
        <v>40805.947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11.61</v>
      </c>
      <c r="E50" s="166">
        <v>11.7</v>
      </c>
      <c r="G50" s="208"/>
    </row>
    <row r="51" spans="2:7">
      <c r="B51" s="220" t="s">
        <v>6</v>
      </c>
      <c r="C51" s="221" t="s">
        <v>220</v>
      </c>
      <c r="D51" s="253">
        <v>11.58</v>
      </c>
      <c r="E51" s="166">
        <v>11.67</v>
      </c>
      <c r="G51" s="208"/>
    </row>
    <row r="52" spans="2:7">
      <c r="B52" s="220" t="s">
        <v>8</v>
      </c>
      <c r="C52" s="221" t="s">
        <v>221</v>
      </c>
      <c r="D52" s="253">
        <v>11.9</v>
      </c>
      <c r="E52" s="82">
        <v>12.11</v>
      </c>
    </row>
    <row r="53" spans="2:7" ht="13.5" customHeight="1" thickBot="1">
      <c r="B53" s="224" t="s">
        <v>9</v>
      </c>
      <c r="C53" s="225" t="s">
        <v>41</v>
      </c>
      <c r="D53" s="254">
        <v>11.7</v>
      </c>
      <c r="E53" s="167">
        <v>12.1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8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493751.96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493751.96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493751.96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493751.96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6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207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983.32</v>
      </c>
      <c r="E11" s="9">
        <f>E12</f>
        <v>1189.1300000000001</v>
      </c>
    </row>
    <row r="12" spans="2:12">
      <c r="B12" s="209" t="s">
        <v>4</v>
      </c>
      <c r="C12" s="210" t="s">
        <v>5</v>
      </c>
      <c r="D12" s="297">
        <v>983.32</v>
      </c>
      <c r="E12" s="95">
        <v>1189.1300000000001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983.32</v>
      </c>
      <c r="E21" s="165">
        <f>E11</f>
        <v>1189.1300000000001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930.31</v>
      </c>
      <c r="E26" s="112">
        <f>D21</f>
        <v>983.32</v>
      </c>
      <c r="G26" s="81"/>
    </row>
    <row r="27" spans="2:11">
      <c r="B27" s="10" t="s">
        <v>17</v>
      </c>
      <c r="C27" s="11" t="s">
        <v>217</v>
      </c>
      <c r="D27" s="245">
        <v>0</v>
      </c>
      <c r="E27" s="269">
        <f>E28-E32</f>
        <v>0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0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0</v>
      </c>
      <c r="E32" s="284">
        <f>SUM(E33:E39)</f>
        <v>0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/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/>
      <c r="E35" s="286"/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/>
      <c r="E37" s="286"/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53.01</v>
      </c>
      <c r="E40" s="115">
        <v>205.81</v>
      </c>
      <c r="G40" s="81"/>
    </row>
    <row r="41" spans="2:10" ht="13.5" thickBot="1">
      <c r="B41" s="116" t="s">
        <v>37</v>
      </c>
      <c r="C41" s="117" t="s">
        <v>38</v>
      </c>
      <c r="D41" s="249">
        <v>983.31999999999994</v>
      </c>
      <c r="E41" s="165">
        <f>E26+E27+E40</f>
        <v>1189.1300000000001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103.94499999999999</v>
      </c>
      <c r="E47" s="166">
        <v>103.94499999999999</v>
      </c>
      <c r="G47" s="77"/>
    </row>
    <row r="48" spans="2:10">
      <c r="B48" s="222" t="s">
        <v>6</v>
      </c>
      <c r="C48" s="223" t="s">
        <v>41</v>
      </c>
      <c r="D48" s="251">
        <v>103.94499999999999</v>
      </c>
      <c r="E48" s="166">
        <v>103.94499999999999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8.9499999999999993</v>
      </c>
      <c r="E50" s="166">
        <v>9.4600000000000009</v>
      </c>
      <c r="G50" s="208"/>
    </row>
    <row r="51" spans="2:7">
      <c r="B51" s="220" t="s">
        <v>6</v>
      </c>
      <c r="C51" s="221" t="s">
        <v>220</v>
      </c>
      <c r="D51" s="253">
        <v>8.08</v>
      </c>
      <c r="E51" s="166">
        <v>9.4600000000000009</v>
      </c>
      <c r="G51" s="208"/>
    </row>
    <row r="52" spans="2:7">
      <c r="B52" s="220" t="s">
        <v>8</v>
      </c>
      <c r="C52" s="221" t="s">
        <v>221</v>
      </c>
      <c r="D52" s="253">
        <v>9.4600000000000009</v>
      </c>
      <c r="E52" s="82">
        <v>11.68</v>
      </c>
    </row>
    <row r="53" spans="2:7" ht="12.75" customHeight="1" thickBot="1">
      <c r="B53" s="224" t="s">
        <v>9</v>
      </c>
      <c r="C53" s="225" t="s">
        <v>41</v>
      </c>
      <c r="D53" s="254">
        <v>9.4600000000000009</v>
      </c>
      <c r="E53" s="167">
        <v>11.44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1189.1300000000001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1189.1300000000001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1189.1300000000001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1189.1300000000001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7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180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41653.760000000002</v>
      </c>
      <c r="E11" s="9">
        <f>E12</f>
        <v>8.5</v>
      </c>
    </row>
    <row r="12" spans="2:12">
      <c r="B12" s="209" t="s">
        <v>4</v>
      </c>
      <c r="C12" s="210" t="s">
        <v>5</v>
      </c>
      <c r="D12" s="297">
        <v>41653.760000000002</v>
      </c>
      <c r="E12" s="95">
        <v>8.5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41653.760000000002</v>
      </c>
      <c r="E21" s="165">
        <f>E11</f>
        <v>8.5</v>
      </c>
      <c r="F21" s="86"/>
      <c r="G21" s="86"/>
      <c r="H21" s="188"/>
      <c r="J21" s="71"/>
      <c r="K21" s="71">
        <f>E21-E41</f>
        <v>-8.6686213762732223E-13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48103</v>
      </c>
      <c r="E26" s="112">
        <f>D21</f>
        <v>41653.760000000002</v>
      </c>
      <c r="G26" s="81"/>
    </row>
    <row r="27" spans="2:11">
      <c r="B27" s="10" t="s">
        <v>17</v>
      </c>
      <c r="C27" s="11" t="s">
        <v>217</v>
      </c>
      <c r="D27" s="245">
        <v>-10216.220000000008</v>
      </c>
      <c r="E27" s="269">
        <f>E28-E32</f>
        <v>-41768.97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37485.019999999997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37485.019999999997</v>
      </c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47701.240000000005</v>
      </c>
      <c r="E32" s="284">
        <f>SUM(E33:E39)</f>
        <v>41768.97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/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34.270000000000003</v>
      </c>
      <c r="E35" s="286">
        <v>21.25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288.20999999999998</v>
      </c>
      <c r="E37" s="286">
        <v>121.41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47378.76</v>
      </c>
      <c r="E39" s="288">
        <v>41626.31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3766.98</v>
      </c>
      <c r="E40" s="115">
        <v>123.71</v>
      </c>
      <c r="G40" s="81"/>
    </row>
    <row r="41" spans="2:10" ht="13.5" thickBot="1">
      <c r="B41" s="116" t="s">
        <v>37</v>
      </c>
      <c r="C41" s="117" t="s">
        <v>38</v>
      </c>
      <c r="D41" s="249">
        <v>41653.759999999995</v>
      </c>
      <c r="E41" s="165">
        <f>E26+E27+E40</f>
        <v>8.5000000000008669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469.71</v>
      </c>
      <c r="E47" s="166">
        <v>359.95299999999997</v>
      </c>
      <c r="G47" s="77"/>
    </row>
    <row r="48" spans="2:10">
      <c r="B48" s="222" t="s">
        <v>6</v>
      </c>
      <c r="C48" s="223" t="s">
        <v>41</v>
      </c>
      <c r="D48" s="251">
        <v>359.95299999999997</v>
      </c>
      <c r="E48" s="166">
        <v>7.6999999999999999E-2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102.41</v>
      </c>
      <c r="E50" s="166">
        <v>115.72</v>
      </c>
      <c r="G50" s="208"/>
    </row>
    <row r="51" spans="2:7">
      <c r="B51" s="220" t="s">
        <v>6</v>
      </c>
      <c r="C51" s="221" t="s">
        <v>220</v>
      </c>
      <c r="D51" s="253">
        <v>91.74</v>
      </c>
      <c r="E51" s="82">
        <v>103.62</v>
      </c>
      <c r="G51" s="208"/>
    </row>
    <row r="52" spans="2:7">
      <c r="B52" s="220" t="s">
        <v>8</v>
      </c>
      <c r="C52" s="221" t="s">
        <v>221</v>
      </c>
      <c r="D52" s="253">
        <v>119.2</v>
      </c>
      <c r="E52" s="82">
        <v>120.05</v>
      </c>
    </row>
    <row r="53" spans="2:7" ht="13.5" customHeight="1" thickBot="1">
      <c r="B53" s="224" t="s">
        <v>9</v>
      </c>
      <c r="C53" s="225" t="s">
        <v>41</v>
      </c>
      <c r="D53" s="254">
        <v>115.72</v>
      </c>
      <c r="E53" s="167">
        <v>110.33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8.5</v>
      </c>
      <c r="E58" s="33">
        <v>0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8.5</v>
      </c>
      <c r="E64" s="91">
        <v>0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8.5</v>
      </c>
      <c r="E74" s="70">
        <v>0</v>
      </c>
    </row>
    <row r="75" spans="2:5">
      <c r="B75" s="119" t="s">
        <v>4</v>
      </c>
      <c r="C75" s="16" t="s">
        <v>67</v>
      </c>
      <c r="D75" s="88">
        <f>D74</f>
        <v>8.5</v>
      </c>
      <c r="E75" s="89">
        <f>E74</f>
        <v>0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99"/>
      <c r="C4" s="99"/>
      <c r="D4" s="99"/>
      <c r="E4" s="99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106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0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442775.14</v>
      </c>
      <c r="E11" s="9">
        <f>E12+E13+E14</f>
        <v>707284.82</v>
      </c>
    </row>
    <row r="12" spans="2:12">
      <c r="B12" s="123" t="s">
        <v>4</v>
      </c>
      <c r="C12" s="6" t="s">
        <v>5</v>
      </c>
      <c r="D12" s="297">
        <v>439233.86</v>
      </c>
      <c r="E12" s="95">
        <f>705900.7-56.43</f>
        <v>705844.2699999999</v>
      </c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>
        <v>3541.2799999999997</v>
      </c>
      <c r="E14" s="95">
        <f>E15</f>
        <v>1440.55</v>
      </c>
    </row>
    <row r="15" spans="2:12">
      <c r="B15" s="123" t="s">
        <v>212</v>
      </c>
      <c r="C15" s="72" t="s">
        <v>11</v>
      </c>
      <c r="D15" s="297">
        <v>3541.2799999999997</v>
      </c>
      <c r="E15" s="95">
        <v>1440.55</v>
      </c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>
        <v>388.77</v>
      </c>
      <c r="E17" s="107">
        <f>SUM(E18:E19)</f>
        <v>546.63</v>
      </c>
    </row>
    <row r="18" spans="2:11">
      <c r="B18" s="123" t="s">
        <v>4</v>
      </c>
      <c r="C18" s="6" t="s">
        <v>11</v>
      </c>
      <c r="D18" s="297">
        <v>388.77</v>
      </c>
      <c r="E18" s="96">
        <v>546.63</v>
      </c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442386.37</v>
      </c>
      <c r="E21" s="165">
        <f>E11-E17</f>
        <v>706738.19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8" customHeight="1" thickBot="1">
      <c r="B24" s="335" t="s">
        <v>211</v>
      </c>
      <c r="C24" s="345"/>
      <c r="D24" s="345"/>
      <c r="E24" s="345"/>
    </row>
    <row r="25" spans="2:11" ht="13.5" thickBot="1">
      <c r="B25" s="100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173870.4</v>
      </c>
      <c r="E26" s="112">
        <f>D21</f>
        <v>442386.37</v>
      </c>
      <c r="G26" s="81"/>
    </row>
    <row r="27" spans="2:11">
      <c r="B27" s="10" t="s">
        <v>17</v>
      </c>
      <c r="C27" s="11" t="s">
        <v>217</v>
      </c>
      <c r="D27" s="245">
        <v>261071.57</v>
      </c>
      <c r="E27" s="269">
        <f>E28-E32</f>
        <v>246459.90999999997</v>
      </c>
      <c r="F27" s="77"/>
      <c r="G27" s="81"/>
      <c r="H27" s="77"/>
      <c r="I27" s="81"/>
      <c r="J27" s="81"/>
    </row>
    <row r="28" spans="2:11">
      <c r="B28" s="10" t="s">
        <v>18</v>
      </c>
      <c r="C28" s="11" t="s">
        <v>19</v>
      </c>
      <c r="D28" s="245">
        <v>323061.86</v>
      </c>
      <c r="E28" s="284">
        <f>SUM(E29:E31)</f>
        <v>421942.48</v>
      </c>
      <c r="F28" s="77"/>
      <c r="G28" s="77"/>
      <c r="H28" s="77"/>
      <c r="I28" s="81"/>
      <c r="J28" s="81"/>
    </row>
    <row r="29" spans="2:11">
      <c r="B29" s="121" t="s">
        <v>4</v>
      </c>
      <c r="C29" s="6" t="s">
        <v>20</v>
      </c>
      <c r="D29" s="246">
        <v>282059.19</v>
      </c>
      <c r="E29" s="286">
        <v>353870.67</v>
      </c>
      <c r="F29" s="77"/>
      <c r="G29" s="77"/>
      <c r="H29" s="77"/>
      <c r="I29" s="81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81"/>
      <c r="J30" s="81"/>
    </row>
    <row r="31" spans="2:11">
      <c r="B31" s="121" t="s">
        <v>8</v>
      </c>
      <c r="C31" s="6" t="s">
        <v>22</v>
      </c>
      <c r="D31" s="246">
        <v>41002.67</v>
      </c>
      <c r="E31" s="286">
        <v>68071.81</v>
      </c>
      <c r="F31" s="77"/>
      <c r="G31" s="77"/>
      <c r="H31" s="77"/>
      <c r="I31" s="81"/>
      <c r="J31" s="81"/>
    </row>
    <row r="32" spans="2:11">
      <c r="B32" s="106" t="s">
        <v>23</v>
      </c>
      <c r="C32" s="12" t="s">
        <v>24</v>
      </c>
      <c r="D32" s="245">
        <v>61990.289999999994</v>
      </c>
      <c r="E32" s="284">
        <f>SUM(E33:E39)</f>
        <v>175482.57</v>
      </c>
      <c r="F32" s="77"/>
      <c r="G32" s="81"/>
      <c r="H32" s="77"/>
      <c r="I32" s="81"/>
      <c r="J32" s="81"/>
    </row>
    <row r="33" spans="2:10">
      <c r="B33" s="121" t="s">
        <v>4</v>
      </c>
      <c r="C33" s="6" t="s">
        <v>25</v>
      </c>
      <c r="D33" s="246">
        <v>26727.64</v>
      </c>
      <c r="E33" s="286">
        <f>85993.67+19.09</f>
        <v>86012.76</v>
      </c>
      <c r="F33" s="77"/>
      <c r="G33" s="77"/>
      <c r="H33" s="77"/>
      <c r="I33" s="81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81"/>
      <c r="J34" s="81"/>
    </row>
    <row r="35" spans="2:10">
      <c r="B35" s="121" t="s">
        <v>8</v>
      </c>
      <c r="C35" s="6" t="s">
        <v>27</v>
      </c>
      <c r="D35" s="246">
        <v>12384.7</v>
      </c>
      <c r="E35" s="286">
        <v>18843.71</v>
      </c>
      <c r="F35" s="77"/>
      <c r="G35" s="77"/>
      <c r="H35" s="77"/>
      <c r="I35" s="81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81"/>
      <c r="J36" s="81"/>
    </row>
    <row r="37" spans="2:10" ht="25.5">
      <c r="B37" s="121" t="s">
        <v>29</v>
      </c>
      <c r="C37" s="6" t="s">
        <v>30</v>
      </c>
      <c r="D37" s="246"/>
      <c r="E37" s="286"/>
      <c r="F37" s="77"/>
      <c r="G37" s="77"/>
      <c r="H37" s="77"/>
      <c r="I37" s="81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81"/>
      <c r="J38" s="81"/>
    </row>
    <row r="39" spans="2:10">
      <c r="B39" s="122" t="s">
        <v>33</v>
      </c>
      <c r="C39" s="13" t="s">
        <v>34</v>
      </c>
      <c r="D39" s="247">
        <v>22877.95</v>
      </c>
      <c r="E39" s="288">
        <v>70626.100000000006</v>
      </c>
      <c r="F39" s="77"/>
      <c r="G39" s="77"/>
      <c r="H39" s="77"/>
      <c r="I39" s="81"/>
      <c r="J39" s="81"/>
    </row>
    <row r="40" spans="2:10" ht="13.5" thickBot="1">
      <c r="B40" s="113" t="s">
        <v>35</v>
      </c>
      <c r="C40" s="114" t="s">
        <v>36</v>
      </c>
      <c r="D40" s="248">
        <v>7444.4</v>
      </c>
      <c r="E40" s="115">
        <v>17891.91</v>
      </c>
      <c r="G40" s="81"/>
    </row>
    <row r="41" spans="2:10" ht="13.5" thickBot="1">
      <c r="B41" s="116" t="s">
        <v>37</v>
      </c>
      <c r="C41" s="117" t="s">
        <v>38</v>
      </c>
      <c r="D41" s="249">
        <v>442386.37</v>
      </c>
      <c r="E41" s="165">
        <f>E26+E27+E40</f>
        <v>706738.19000000006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5.75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0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17786.871299999999</v>
      </c>
      <c r="E47" s="80">
        <v>44020.316299999999</v>
      </c>
      <c r="G47" s="77"/>
    </row>
    <row r="48" spans="2:10">
      <c r="B48" s="140" t="s">
        <v>6</v>
      </c>
      <c r="C48" s="23" t="s">
        <v>41</v>
      </c>
      <c r="D48" s="251">
        <v>44020.316299999999</v>
      </c>
      <c r="E48" s="80">
        <v>68120.478900000002</v>
      </c>
      <c r="G48" s="231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9.7752098762866702</v>
      </c>
      <c r="E50" s="80">
        <v>10.049595366232699</v>
      </c>
      <c r="G50" s="208"/>
    </row>
    <row r="51" spans="2:7">
      <c r="B51" s="119" t="s">
        <v>6</v>
      </c>
      <c r="C51" s="16" t="s">
        <v>220</v>
      </c>
      <c r="D51" s="256">
        <v>9.6826000000000008</v>
      </c>
      <c r="E51" s="82">
        <v>10.0487</v>
      </c>
      <c r="G51" s="208"/>
    </row>
    <row r="52" spans="2:7" ht="12" customHeight="1">
      <c r="B52" s="119" t="s">
        <v>8</v>
      </c>
      <c r="C52" s="16" t="s">
        <v>221</v>
      </c>
      <c r="D52" s="256">
        <v>10.1068</v>
      </c>
      <c r="E52" s="82">
        <v>10.391999999999999</v>
      </c>
    </row>
    <row r="53" spans="2:7" ht="13.5" thickBot="1">
      <c r="B53" s="120" t="s">
        <v>9</v>
      </c>
      <c r="C53" s="18" t="s">
        <v>41</v>
      </c>
      <c r="D53" s="254">
        <v>10.049595366232699</v>
      </c>
      <c r="E53" s="167">
        <v>10.374827080678999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SUM(D59:D70)</f>
        <v>705844.2699999999</v>
      </c>
      <c r="E58" s="33">
        <f>D58/E21</f>
        <v>0.99873514688657195</v>
      </c>
    </row>
    <row r="59" spans="2:7" ht="25.5">
      <c r="B59" s="22" t="s">
        <v>4</v>
      </c>
      <c r="C59" s="23" t="s">
        <v>44</v>
      </c>
      <c r="D59" s="90">
        <v>0</v>
      </c>
      <c r="E59" s="91">
        <v>0</v>
      </c>
    </row>
    <row r="60" spans="2:7" ht="24" customHeight="1">
      <c r="B60" s="15" t="s">
        <v>6</v>
      </c>
      <c r="C60" s="16" t="s">
        <v>45</v>
      </c>
      <c r="D60" s="88">
        <v>0</v>
      </c>
      <c r="E60" s="89">
        <v>0</v>
      </c>
    </row>
    <row r="61" spans="2:7">
      <c r="B61" s="15" t="s">
        <v>8</v>
      </c>
      <c r="C61" s="16" t="s">
        <v>46</v>
      </c>
      <c r="D61" s="88">
        <v>0</v>
      </c>
      <c r="E61" s="89">
        <v>0</v>
      </c>
    </row>
    <row r="62" spans="2:7">
      <c r="B62" s="15" t="s">
        <v>9</v>
      </c>
      <c r="C62" s="16" t="s">
        <v>47</v>
      </c>
      <c r="D62" s="88">
        <v>0</v>
      </c>
      <c r="E62" s="89">
        <v>0</v>
      </c>
    </row>
    <row r="63" spans="2:7">
      <c r="B63" s="15" t="s">
        <v>29</v>
      </c>
      <c r="C63" s="16" t="s">
        <v>48</v>
      </c>
      <c r="D63" s="88">
        <v>0</v>
      </c>
      <c r="E63" s="89">
        <v>0</v>
      </c>
    </row>
    <row r="64" spans="2:7">
      <c r="B64" s="22" t="s">
        <v>31</v>
      </c>
      <c r="C64" s="23" t="s">
        <v>49</v>
      </c>
      <c r="D64" s="90">
        <f>611291.5-56.43</f>
        <v>611235.06999999995</v>
      </c>
      <c r="E64" s="91">
        <f>D64/E21</f>
        <v>0.86486775251242609</v>
      </c>
    </row>
    <row r="65" spans="2:5">
      <c r="B65" s="22" t="s">
        <v>33</v>
      </c>
      <c r="C65" s="23" t="s">
        <v>224</v>
      </c>
      <c r="D65" s="90">
        <v>0</v>
      </c>
      <c r="E65" s="91">
        <v>0</v>
      </c>
    </row>
    <row r="66" spans="2:5">
      <c r="B66" s="22" t="s">
        <v>50</v>
      </c>
      <c r="C66" s="23" t="s">
        <v>51</v>
      </c>
      <c r="D66" s="90">
        <v>0</v>
      </c>
      <c r="E66" s="91">
        <v>0</v>
      </c>
    </row>
    <row r="67" spans="2:5">
      <c r="B67" s="15" t="s">
        <v>52</v>
      </c>
      <c r="C67" s="16" t="s">
        <v>53</v>
      </c>
      <c r="D67" s="88">
        <v>0</v>
      </c>
      <c r="E67" s="89">
        <v>0</v>
      </c>
    </row>
    <row r="68" spans="2:5">
      <c r="B68" s="15" t="s">
        <v>54</v>
      </c>
      <c r="C68" s="16" t="s">
        <v>55</v>
      </c>
      <c r="D68" s="88">
        <v>0</v>
      </c>
      <c r="E68" s="89">
        <v>0</v>
      </c>
    </row>
    <row r="69" spans="2:5">
      <c r="B69" s="15" t="s">
        <v>56</v>
      </c>
      <c r="C69" s="16" t="s">
        <v>57</v>
      </c>
      <c r="D69" s="88">
        <v>94609.2</v>
      </c>
      <c r="E69" s="89">
        <f>D69/E21</f>
        <v>0.13386739437414583</v>
      </c>
    </row>
    <row r="70" spans="2:5">
      <c r="B70" s="129" t="s">
        <v>58</v>
      </c>
      <c r="C70" s="130" t="s">
        <v>59</v>
      </c>
      <c r="D70" s="131">
        <v>0</v>
      </c>
      <c r="E70" s="132">
        <v>0</v>
      </c>
    </row>
    <row r="71" spans="2:5">
      <c r="B71" s="137" t="s">
        <v>23</v>
      </c>
      <c r="C71" s="138" t="s">
        <v>61</v>
      </c>
      <c r="D71" s="139">
        <f>E13</f>
        <v>0</v>
      </c>
      <c r="E71" s="70">
        <v>0</v>
      </c>
    </row>
    <row r="72" spans="2:5">
      <c r="B72" s="133" t="s">
        <v>60</v>
      </c>
      <c r="C72" s="134" t="s">
        <v>63</v>
      </c>
      <c r="D72" s="135">
        <f>E14</f>
        <v>1440.55</v>
      </c>
      <c r="E72" s="136">
        <f>D72/E21</f>
        <v>2.0383078491909429E-3</v>
      </c>
    </row>
    <row r="73" spans="2:5">
      <c r="B73" s="24" t="s">
        <v>62</v>
      </c>
      <c r="C73" s="25" t="s">
        <v>65</v>
      </c>
      <c r="D73" s="26">
        <f>E17</f>
        <v>546.63</v>
      </c>
      <c r="E73" s="27">
        <f>D73/E21</f>
        <v>7.7345473576289974E-4</v>
      </c>
    </row>
    <row r="74" spans="2:5">
      <c r="B74" s="137" t="s">
        <v>64</v>
      </c>
      <c r="C74" s="138" t="s">
        <v>66</v>
      </c>
      <c r="D74" s="139">
        <f>D58+D71+D72-D73</f>
        <v>706738.19</v>
      </c>
      <c r="E74" s="70">
        <f>E58+E72-E73</f>
        <v>1</v>
      </c>
    </row>
    <row r="75" spans="2:5">
      <c r="B75" s="15" t="s">
        <v>4</v>
      </c>
      <c r="C75" s="16" t="s">
        <v>67</v>
      </c>
      <c r="D75" s="88">
        <f>D74</f>
        <v>706738.19</v>
      </c>
      <c r="E75" s="89">
        <f>E74</f>
        <v>1</v>
      </c>
    </row>
    <row r="76" spans="2:5">
      <c r="B76" s="15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7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8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181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235662.23</v>
      </c>
      <c r="E11" s="9">
        <f>E12</f>
        <v>46258.73</v>
      </c>
    </row>
    <row r="12" spans="2:12">
      <c r="B12" s="209" t="s">
        <v>4</v>
      </c>
      <c r="C12" s="210" t="s">
        <v>5</v>
      </c>
      <c r="D12" s="297">
        <v>235662.23</v>
      </c>
      <c r="E12" s="95">
        <v>46258.73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235662.23</v>
      </c>
      <c r="E21" s="165">
        <f>E11</f>
        <v>46258.73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236694.04</v>
      </c>
      <c r="E26" s="112">
        <f>D21</f>
        <v>235662.23</v>
      </c>
      <c r="G26" s="81"/>
    </row>
    <row r="27" spans="2:11">
      <c r="B27" s="10" t="s">
        <v>17</v>
      </c>
      <c r="C27" s="11" t="s">
        <v>217</v>
      </c>
      <c r="D27" s="245">
        <v>-3936.34</v>
      </c>
      <c r="E27" s="269">
        <f>E28-E32</f>
        <v>-189650.35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0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3936.34</v>
      </c>
      <c r="E32" s="284">
        <f>SUM(E33:E39)</f>
        <v>189650.35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/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392.04</v>
      </c>
      <c r="E35" s="286">
        <v>177.5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3544.3</v>
      </c>
      <c r="E37" s="286">
        <v>2692.6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>
        <v>186780.25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2904.53</v>
      </c>
      <c r="E40" s="115">
        <v>246.85</v>
      </c>
      <c r="G40" s="81"/>
    </row>
    <row r="41" spans="2:10" ht="13.5" thickBot="1">
      <c r="B41" s="116" t="s">
        <v>37</v>
      </c>
      <c r="C41" s="117" t="s">
        <v>38</v>
      </c>
      <c r="D41" s="249">
        <v>235662.23</v>
      </c>
      <c r="E41" s="165">
        <f>E26+E27+E40</f>
        <v>46258.73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4785.5649999999996</v>
      </c>
      <c r="E47" s="166">
        <v>4701.0219999999999</v>
      </c>
      <c r="G47" s="77"/>
    </row>
    <row r="48" spans="2:10">
      <c r="B48" s="222" t="s">
        <v>6</v>
      </c>
      <c r="C48" s="223" t="s">
        <v>41</v>
      </c>
      <c r="D48" s="251">
        <v>4701.0219999999999</v>
      </c>
      <c r="E48" s="166">
        <v>918.92600000000004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49.46</v>
      </c>
      <c r="E50" s="166">
        <v>50.13</v>
      </c>
      <c r="G50" s="208"/>
    </row>
    <row r="51" spans="2:7">
      <c r="B51" s="220" t="s">
        <v>6</v>
      </c>
      <c r="C51" s="221" t="s">
        <v>220</v>
      </c>
      <c r="D51" s="253">
        <v>42.6</v>
      </c>
      <c r="E51" s="166">
        <v>48.21</v>
      </c>
      <c r="G51" s="208"/>
    </row>
    <row r="52" spans="2:7">
      <c r="B52" s="220" t="s">
        <v>8</v>
      </c>
      <c r="C52" s="221" t="s">
        <v>221</v>
      </c>
      <c r="D52" s="253">
        <v>50.13</v>
      </c>
      <c r="E52" s="82">
        <v>52.57</v>
      </c>
    </row>
    <row r="53" spans="2:7" ht="13.5" customHeight="1" thickBot="1">
      <c r="B53" s="224" t="s">
        <v>9</v>
      </c>
      <c r="C53" s="225" t="s">
        <v>41</v>
      </c>
      <c r="D53" s="254">
        <v>50.13</v>
      </c>
      <c r="E53" s="167">
        <v>50.34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46258.73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46258.73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46258.73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46258.73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9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186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227802.52</v>
      </c>
      <c r="E11" s="9">
        <f>E12</f>
        <v>239155.88</v>
      </c>
    </row>
    <row r="12" spans="2:12">
      <c r="B12" s="209" t="s">
        <v>4</v>
      </c>
      <c r="C12" s="210" t="s">
        <v>5</v>
      </c>
      <c r="D12" s="297">
        <v>227802.52</v>
      </c>
      <c r="E12" s="95">
        <v>239155.88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227802.52</v>
      </c>
      <c r="E21" s="165">
        <f>E11</f>
        <v>239155.88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273004.78999999998</v>
      </c>
      <c r="E26" s="112">
        <f>D21</f>
        <v>227802.52</v>
      </c>
      <c r="G26" s="81"/>
    </row>
    <row r="27" spans="2:11">
      <c r="B27" s="10" t="s">
        <v>17</v>
      </c>
      <c r="C27" s="11" t="s">
        <v>217</v>
      </c>
      <c r="D27" s="245">
        <v>-51372.19</v>
      </c>
      <c r="E27" s="269">
        <f>E28-E32</f>
        <v>-25544.049999999814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0</v>
      </c>
      <c r="E28" s="284">
        <f>SUM(E29:E31)</f>
        <v>1237794.1100000001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>
        <v>1237794.1100000001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51372.19</v>
      </c>
      <c r="E32" s="284">
        <f>SUM(E33:E39)</f>
        <v>1263338.1599999999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46630.69</v>
      </c>
      <c r="E33" s="286">
        <v>49503.02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1155.6300000000001</v>
      </c>
      <c r="E35" s="286">
        <v>1015.68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3585.87</v>
      </c>
      <c r="E37" s="286">
        <v>7344.45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>
        <v>1205475.01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6169.92</v>
      </c>
      <c r="E40" s="115">
        <v>36897.410000000003</v>
      </c>
      <c r="G40" s="81"/>
    </row>
    <row r="41" spans="2:10" ht="13.5" thickBot="1">
      <c r="B41" s="116" t="s">
        <v>37</v>
      </c>
      <c r="C41" s="117" t="s">
        <v>38</v>
      </c>
      <c r="D41" s="249">
        <v>227802.52</v>
      </c>
      <c r="E41" s="165">
        <f>E26+E27+E40</f>
        <v>239155.88000000018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15251.664000000001</v>
      </c>
      <c r="E47" s="166">
        <v>12421.075000000001</v>
      </c>
      <c r="G47" s="77"/>
    </row>
    <row r="48" spans="2:10">
      <c r="B48" s="222" t="s">
        <v>6</v>
      </c>
      <c r="C48" s="223" t="s">
        <v>41</v>
      </c>
      <c r="D48" s="251">
        <v>12421.075000000001</v>
      </c>
      <c r="E48" s="166">
        <v>12183.183000000001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17.899999999999999</v>
      </c>
      <c r="E50" s="166">
        <v>18.34</v>
      </c>
      <c r="G50" s="208"/>
    </row>
    <row r="51" spans="2:7">
      <c r="B51" s="220" t="s">
        <v>6</v>
      </c>
      <c r="C51" s="221" t="s">
        <v>220</v>
      </c>
      <c r="D51" s="253">
        <v>16.580000000000002</v>
      </c>
      <c r="E51" s="82">
        <v>18.34</v>
      </c>
      <c r="G51" s="208"/>
    </row>
    <row r="52" spans="2:7">
      <c r="B52" s="220" t="s">
        <v>8</v>
      </c>
      <c r="C52" s="221" t="s">
        <v>221</v>
      </c>
      <c r="D52" s="253">
        <v>18.41</v>
      </c>
      <c r="E52" s="82">
        <v>19.68</v>
      </c>
    </row>
    <row r="53" spans="2:7" ht="12.75" customHeight="1" thickBot="1">
      <c r="B53" s="224" t="s">
        <v>9</v>
      </c>
      <c r="C53" s="225" t="s">
        <v>41</v>
      </c>
      <c r="D53" s="254">
        <v>18.34</v>
      </c>
      <c r="E53" s="167">
        <v>19.63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8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239155.88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239155.88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239155.88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239155.88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0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14.25">
      <c r="B5" s="333" t="s">
        <v>1</v>
      </c>
      <c r="C5" s="333"/>
      <c r="D5" s="333"/>
      <c r="E5" s="333"/>
    </row>
    <row r="6" spans="2:12" ht="14.25">
      <c r="B6" s="334" t="s">
        <v>251</v>
      </c>
      <c r="C6" s="334"/>
      <c r="D6" s="334"/>
      <c r="E6" s="334"/>
    </row>
    <row r="7" spans="2:12" ht="14.25">
      <c r="B7" s="196"/>
      <c r="C7" s="196"/>
      <c r="D7" s="196"/>
      <c r="E7" s="19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9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54466.05</v>
      </c>
      <c r="E11" s="9">
        <f>E12</f>
        <v>1524917.53</v>
      </c>
    </row>
    <row r="12" spans="2:12">
      <c r="B12" s="209" t="s">
        <v>4</v>
      </c>
      <c r="C12" s="210" t="s">
        <v>5</v>
      </c>
      <c r="D12" s="297">
        <v>54466.05</v>
      </c>
      <c r="E12" s="95">
        <v>1524917.53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54466.05</v>
      </c>
      <c r="E21" s="165">
        <f>E11</f>
        <v>1524917.53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 t="s">
        <v>246</v>
      </c>
      <c r="E26" s="112">
        <f>D21</f>
        <v>54466.05</v>
      </c>
      <c r="G26" s="81"/>
    </row>
    <row r="27" spans="2:11">
      <c r="B27" s="10" t="s">
        <v>17</v>
      </c>
      <c r="C27" s="11" t="s">
        <v>217</v>
      </c>
      <c r="D27" s="245">
        <v>54080.79</v>
      </c>
      <c r="E27" s="269">
        <f>E28-E32</f>
        <v>1376284.53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54080.79</v>
      </c>
      <c r="E28" s="284">
        <f>SUM(E29:E31)</f>
        <v>1965704.36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54080.79</v>
      </c>
      <c r="E31" s="286">
        <v>1965704.36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0</v>
      </c>
      <c r="E32" s="284">
        <f>SUM(E33:E39)</f>
        <v>589419.83000000007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>
        <v>273485.76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/>
      <c r="E35" s="286">
        <v>268.68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/>
      <c r="E37" s="286">
        <v>19861.59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>
        <v>295803.8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385.26</v>
      </c>
      <c r="E40" s="115">
        <v>94166.95</v>
      </c>
      <c r="G40" s="81"/>
    </row>
    <row r="41" spans="2:10" ht="13.5" thickBot="1">
      <c r="B41" s="116" t="s">
        <v>37</v>
      </c>
      <c r="C41" s="117" t="s">
        <v>38</v>
      </c>
      <c r="D41" s="249">
        <v>54466.05</v>
      </c>
      <c r="E41" s="165">
        <f>E26+E27+E40</f>
        <v>1524917.53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/>
      <c r="E47" s="166">
        <v>4815.7430000000004</v>
      </c>
      <c r="G47" s="77"/>
    </row>
    <row r="48" spans="2:10">
      <c r="B48" s="222" t="s">
        <v>6</v>
      </c>
      <c r="C48" s="223" t="s">
        <v>41</v>
      </c>
      <c r="D48" s="251">
        <v>4815.7430000000004</v>
      </c>
      <c r="E48" s="166">
        <v>121798.52499999999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/>
      <c r="E50" s="166">
        <v>11.31</v>
      </c>
      <c r="G50" s="208"/>
    </row>
    <row r="51" spans="2:7">
      <c r="B51" s="220" t="s">
        <v>6</v>
      </c>
      <c r="C51" s="221" t="s">
        <v>220</v>
      </c>
      <c r="D51" s="253">
        <v>9.85</v>
      </c>
      <c r="E51" s="82">
        <v>11.31</v>
      </c>
      <c r="G51" s="208"/>
    </row>
    <row r="52" spans="2:7">
      <c r="B52" s="220" t="s">
        <v>8</v>
      </c>
      <c r="C52" s="221" t="s">
        <v>221</v>
      </c>
      <c r="D52" s="253">
        <v>11.55</v>
      </c>
      <c r="E52" s="82">
        <v>12.63</v>
      </c>
    </row>
    <row r="53" spans="2:7" ht="13.5" thickBot="1">
      <c r="B53" s="224" t="s">
        <v>9</v>
      </c>
      <c r="C53" s="225" t="s">
        <v>41</v>
      </c>
      <c r="D53" s="254">
        <v>11.31</v>
      </c>
      <c r="E53" s="167">
        <v>12.52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1524917.53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1524917.53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1524917.53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1524917.53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1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14.25">
      <c r="B5" s="333" t="s">
        <v>1</v>
      </c>
      <c r="C5" s="333"/>
      <c r="D5" s="333"/>
      <c r="E5" s="333"/>
    </row>
    <row r="6" spans="2:12" ht="14.25">
      <c r="B6" s="334" t="s">
        <v>267</v>
      </c>
      <c r="C6" s="334"/>
      <c r="D6" s="334"/>
      <c r="E6" s="334"/>
    </row>
    <row r="7" spans="2:12" ht="14.25">
      <c r="B7" s="239"/>
      <c r="C7" s="239"/>
      <c r="D7" s="239"/>
      <c r="E7" s="239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240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/>
      <c r="E11" s="9">
        <f>E12</f>
        <v>1373697.16</v>
      </c>
    </row>
    <row r="12" spans="2:12">
      <c r="B12" s="209" t="s">
        <v>4</v>
      </c>
      <c r="C12" s="210" t="s">
        <v>5</v>
      </c>
      <c r="D12" s="297"/>
      <c r="E12" s="95">
        <v>1373697.16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/>
      <c r="E21" s="165">
        <f>E11</f>
        <v>1373697.16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/>
      <c r="E26" s="112">
        <f>D21</f>
        <v>0</v>
      </c>
      <c r="G26" s="81"/>
    </row>
    <row r="27" spans="2:11">
      <c r="B27" s="10" t="s">
        <v>17</v>
      </c>
      <c r="C27" s="11" t="s">
        <v>217</v>
      </c>
      <c r="D27" s="245"/>
      <c r="E27" s="269">
        <f>E28-E32</f>
        <v>1330956.8099999998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/>
      <c r="E28" s="284">
        <f>SUM(E29:E31)</f>
        <v>2793051.61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>
        <v>2793051.61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/>
      <c r="E32" s="284">
        <f>SUM(E33:E39)</f>
        <v>1462094.8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/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/>
      <c r="E35" s="286">
        <v>187.61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/>
      <c r="E37" s="286">
        <v>15221.47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>
        <v>1446685.72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/>
      <c r="E40" s="115">
        <v>42740.35</v>
      </c>
      <c r="G40" s="81"/>
    </row>
    <row r="41" spans="2:10" ht="13.5" thickBot="1">
      <c r="B41" s="116" t="s">
        <v>37</v>
      </c>
      <c r="C41" s="117" t="s">
        <v>38</v>
      </c>
      <c r="D41" s="249"/>
      <c r="E41" s="165">
        <f>E27+E40</f>
        <v>1373697.16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/>
      <c r="E47" s="166"/>
      <c r="G47" s="77"/>
    </row>
    <row r="48" spans="2:10">
      <c r="B48" s="222" t="s">
        <v>6</v>
      </c>
      <c r="C48" s="223" t="s">
        <v>41</v>
      </c>
      <c r="D48" s="251"/>
      <c r="E48" s="166">
        <v>117410.014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/>
      <c r="E50" s="166"/>
      <c r="G50" s="208"/>
    </row>
    <row r="51" spans="2:7">
      <c r="B51" s="220" t="s">
        <v>6</v>
      </c>
      <c r="C51" s="221" t="s">
        <v>220</v>
      </c>
      <c r="D51" s="253"/>
      <c r="E51" s="82">
        <v>11.21</v>
      </c>
      <c r="G51" s="208"/>
    </row>
    <row r="52" spans="2:7">
      <c r="B52" s="220" t="s">
        <v>8</v>
      </c>
      <c r="C52" s="221" t="s">
        <v>221</v>
      </c>
      <c r="D52" s="253"/>
      <c r="E52" s="82">
        <v>11.72</v>
      </c>
    </row>
    <row r="53" spans="2:7" ht="13.5" thickBot="1">
      <c r="B53" s="224" t="s">
        <v>9</v>
      </c>
      <c r="C53" s="225" t="s">
        <v>41</v>
      </c>
      <c r="D53" s="254"/>
      <c r="E53" s="167">
        <v>11.7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1373697.16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1373697.16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1373697.16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1373697.16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2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131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54766.2</v>
      </c>
      <c r="E11" s="9">
        <f>E12</f>
        <v>19781.22</v>
      </c>
    </row>
    <row r="12" spans="2:12">
      <c r="B12" s="209" t="s">
        <v>4</v>
      </c>
      <c r="C12" s="210" t="s">
        <v>5</v>
      </c>
      <c r="D12" s="297">
        <v>54766.2</v>
      </c>
      <c r="E12" s="95">
        <v>19781.22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54766.2</v>
      </c>
      <c r="E21" s="165">
        <f>E11</f>
        <v>19781.22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22427.919999999998</v>
      </c>
      <c r="E26" s="112">
        <f>D21</f>
        <v>54766.2</v>
      </c>
      <c r="G26" s="81"/>
    </row>
    <row r="27" spans="2:11">
      <c r="B27" s="10" t="s">
        <v>17</v>
      </c>
      <c r="C27" s="11" t="s">
        <v>217</v>
      </c>
      <c r="D27" s="245">
        <v>28423.700000000004</v>
      </c>
      <c r="E27" s="269">
        <f>E28-E32</f>
        <v>-37833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64248.200000000004</v>
      </c>
      <c r="E28" s="284">
        <f>SUM(E29:E31)</f>
        <v>20896.28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2843.62</v>
      </c>
      <c r="E29" s="286">
        <v>1395.92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61404.58</v>
      </c>
      <c r="E31" s="286">
        <v>19500.36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35824.5</v>
      </c>
      <c r="E32" s="284">
        <f>SUM(E33:E39)</f>
        <v>58729.279999999999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1119.68</v>
      </c>
      <c r="E33" s="286">
        <v>11121.39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274.75</v>
      </c>
      <c r="E35" s="286">
        <v>262.42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410.64</v>
      </c>
      <c r="E37" s="286">
        <v>497.95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34019.43</v>
      </c>
      <c r="E39" s="288">
        <v>46847.519999999997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3914.58</v>
      </c>
      <c r="E40" s="115">
        <v>2848.02</v>
      </c>
      <c r="G40" s="81"/>
    </row>
    <row r="41" spans="2:10" ht="13.5" thickBot="1">
      <c r="B41" s="116" t="s">
        <v>37</v>
      </c>
      <c r="C41" s="117" t="s">
        <v>38</v>
      </c>
      <c r="D41" s="249">
        <v>54766.200000000004</v>
      </c>
      <c r="E41" s="165">
        <f>E26+E27+E40</f>
        <v>19781.219999999998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236.357</v>
      </c>
      <c r="E47" s="166">
        <v>500.834</v>
      </c>
      <c r="G47" s="77"/>
    </row>
    <row r="48" spans="2:10">
      <c r="B48" s="222" t="s">
        <v>6</v>
      </c>
      <c r="C48" s="223" t="s">
        <v>41</v>
      </c>
      <c r="D48" s="251">
        <v>500.834</v>
      </c>
      <c r="E48" s="166">
        <v>168.99799999999999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94.89</v>
      </c>
      <c r="E50" s="166">
        <v>109.35</v>
      </c>
      <c r="G50" s="208"/>
    </row>
    <row r="51" spans="2:7">
      <c r="B51" s="220" t="s">
        <v>6</v>
      </c>
      <c r="C51" s="221" t="s">
        <v>220</v>
      </c>
      <c r="D51" s="253">
        <v>87.36</v>
      </c>
      <c r="E51" s="166">
        <v>108.03</v>
      </c>
      <c r="G51" s="208"/>
    </row>
    <row r="52" spans="2:7">
      <c r="B52" s="220" t="s">
        <v>8</v>
      </c>
      <c r="C52" s="221" t="s">
        <v>221</v>
      </c>
      <c r="D52" s="253">
        <v>109.54</v>
      </c>
      <c r="E52" s="82">
        <v>120.13</v>
      </c>
    </row>
    <row r="53" spans="2:7" ht="13.5" customHeight="1" thickBot="1">
      <c r="B53" s="224" t="s">
        <v>9</v>
      </c>
      <c r="C53" s="225" t="s">
        <v>41</v>
      </c>
      <c r="D53" s="254">
        <v>109.35</v>
      </c>
      <c r="E53" s="167">
        <v>117.05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19781.22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19781.22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19781.22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19781.22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3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H2" s="178"/>
      <c r="I2" s="178"/>
      <c r="J2" s="178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  <c r="H5" s="178"/>
      <c r="I5" s="178"/>
      <c r="J5" s="178"/>
    </row>
    <row r="6" spans="2:12" ht="14.25">
      <c r="B6" s="334" t="s">
        <v>132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388105.74</v>
      </c>
      <c r="E11" s="9">
        <f>E12</f>
        <v>456609.17</v>
      </c>
    </row>
    <row r="12" spans="2:12">
      <c r="B12" s="209" t="s">
        <v>4</v>
      </c>
      <c r="C12" s="210" t="s">
        <v>5</v>
      </c>
      <c r="D12" s="297">
        <v>388105.74</v>
      </c>
      <c r="E12" s="95">
        <v>456609.17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388105.74</v>
      </c>
      <c r="E21" s="165">
        <f>E11</f>
        <v>456609.17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259135.51</v>
      </c>
      <c r="E26" s="112">
        <f>D21</f>
        <v>388105.74</v>
      </c>
      <c r="G26" s="81"/>
    </row>
    <row r="27" spans="2:11">
      <c r="B27" s="10" t="s">
        <v>17</v>
      </c>
      <c r="C27" s="11" t="s">
        <v>217</v>
      </c>
      <c r="D27" s="245">
        <v>127795.88999999998</v>
      </c>
      <c r="E27" s="269">
        <f>E28-E32</f>
        <v>47924.790000000008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259671.72999999998</v>
      </c>
      <c r="E28" s="284">
        <f>SUM(E29:E31)</f>
        <v>177363.47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56364.52</v>
      </c>
      <c r="E29" s="286">
        <v>27743.24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203307.21</v>
      </c>
      <c r="E31" s="286">
        <v>149620.23000000001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131875.84</v>
      </c>
      <c r="E32" s="284">
        <f>SUM(E33:E39)</f>
        <v>129438.68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66446.179999999993</v>
      </c>
      <c r="E33" s="286">
        <v>73516.2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3187.45</v>
      </c>
      <c r="E35" s="286">
        <v>3060.09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4964.97</v>
      </c>
      <c r="E37" s="286">
        <v>6998.19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57277.24</v>
      </c>
      <c r="E39" s="288">
        <v>45864.2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1174.3399999999999</v>
      </c>
      <c r="E40" s="115">
        <v>20578.64</v>
      </c>
      <c r="G40" s="81"/>
    </row>
    <row r="41" spans="2:10" ht="13.5" thickBot="1">
      <c r="B41" s="116" t="s">
        <v>37</v>
      </c>
      <c r="C41" s="117" t="s">
        <v>38</v>
      </c>
      <c r="D41" s="249">
        <v>388105.74000000005</v>
      </c>
      <c r="E41" s="165">
        <f>E26+E27+E40</f>
        <v>456609.17000000004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1301.796</v>
      </c>
      <c r="E47" s="166">
        <v>1941.8879999999999</v>
      </c>
      <c r="G47" s="77"/>
    </row>
    <row r="48" spans="2:10">
      <c r="B48" s="222" t="s">
        <v>6</v>
      </c>
      <c r="C48" s="223" t="s">
        <v>41</v>
      </c>
      <c r="D48" s="251">
        <v>1941.8879999999999</v>
      </c>
      <c r="E48" s="166">
        <v>2186.3020000000001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199.06</v>
      </c>
      <c r="E50" s="166">
        <v>199.86</v>
      </c>
      <c r="G50" s="208"/>
    </row>
    <row r="51" spans="2:7">
      <c r="B51" s="220" t="s">
        <v>6</v>
      </c>
      <c r="C51" s="221" t="s">
        <v>220</v>
      </c>
      <c r="D51" s="253">
        <v>198.45</v>
      </c>
      <c r="E51" s="166">
        <v>199.12</v>
      </c>
      <c r="G51" s="208"/>
    </row>
    <row r="52" spans="2:7">
      <c r="B52" s="220" t="s">
        <v>8</v>
      </c>
      <c r="C52" s="221" t="s">
        <v>221</v>
      </c>
      <c r="D52" s="253">
        <v>204.44</v>
      </c>
      <c r="E52" s="82">
        <v>209.57</v>
      </c>
    </row>
    <row r="53" spans="2:7" ht="13.5" thickBot="1">
      <c r="B53" s="224" t="s">
        <v>9</v>
      </c>
      <c r="C53" s="225" t="s">
        <v>41</v>
      </c>
      <c r="D53" s="254">
        <v>199.86</v>
      </c>
      <c r="E53" s="167">
        <v>208.85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456609.17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24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456609.17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456609.17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456609.17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" right="0.75" top="0.56000000000000005" bottom="0.59" header="0.5" footer="0.5"/>
  <pageSetup paperSize="9" scale="70" orientation="portrait" r:id="rId1"/>
  <headerFooter alignWithMargins="0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4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236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186439.65999999997</v>
      </c>
      <c r="E11" s="9">
        <f>E12</f>
        <v>247550.44</v>
      </c>
    </row>
    <row r="12" spans="2:12">
      <c r="B12" s="209" t="s">
        <v>4</v>
      </c>
      <c r="C12" s="210" t="s">
        <v>5</v>
      </c>
      <c r="D12" s="297">
        <v>186439.65999999997</v>
      </c>
      <c r="E12" s="95">
        <f>247737.17-186.73</f>
        <v>247550.44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186439.65999999997</v>
      </c>
      <c r="E21" s="165">
        <f>E11-E17</f>
        <v>247550.44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  <c r="I23" s="172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114819.84</v>
      </c>
      <c r="E26" s="112">
        <f>D21</f>
        <v>186439.65999999997</v>
      </c>
      <c r="G26" s="81"/>
    </row>
    <row r="27" spans="2:11">
      <c r="B27" s="10" t="s">
        <v>17</v>
      </c>
      <c r="C27" s="11" t="s">
        <v>217</v>
      </c>
      <c r="D27" s="245">
        <v>65873.329999999987</v>
      </c>
      <c r="E27" s="269">
        <f>E28-E32</f>
        <v>45702.609999999986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115082.38999999998</v>
      </c>
      <c r="E28" s="284">
        <f>SUM(E29:E31)</f>
        <v>112425.15999999999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82109.87</v>
      </c>
      <c r="E29" s="286">
        <v>32021.119999999999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32972.519999999997</v>
      </c>
      <c r="E31" s="286">
        <v>80404.039999999994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49209.06</v>
      </c>
      <c r="E32" s="284">
        <f>SUM(E33:E39)</f>
        <v>66722.55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17766.080000000002</v>
      </c>
      <c r="E33" s="286">
        <f>58997.3+14.56</f>
        <v>59011.86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3788.86</v>
      </c>
      <c r="E35" s="286">
        <v>3627.93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1232.3</v>
      </c>
      <c r="E37" s="286">
        <v>1523.17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26421.82</v>
      </c>
      <c r="E39" s="288">
        <v>2559.59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5746.49</v>
      </c>
      <c r="E40" s="115">
        <v>15408.17</v>
      </c>
      <c r="G40" s="81"/>
    </row>
    <row r="41" spans="2:10" ht="13.5" thickBot="1">
      <c r="B41" s="116" t="s">
        <v>37</v>
      </c>
      <c r="C41" s="117" t="s">
        <v>38</v>
      </c>
      <c r="D41" s="249">
        <v>186439.65999999997</v>
      </c>
      <c r="E41" s="165">
        <f>E26+E27+E40</f>
        <v>247550.43999999997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785.25400000000002</v>
      </c>
      <c r="E47" s="326">
        <v>1232.3330000000001</v>
      </c>
      <c r="G47" s="77"/>
    </row>
    <row r="48" spans="2:10">
      <c r="B48" s="222" t="s">
        <v>6</v>
      </c>
      <c r="C48" s="223" t="s">
        <v>41</v>
      </c>
      <c r="D48" s="251">
        <v>1232.3330000000001</v>
      </c>
      <c r="E48" s="326">
        <v>1508.626</v>
      </c>
      <c r="G48" s="228">
        <f>E21/E53</f>
        <v>1508.6259979279664</v>
      </c>
    </row>
    <row r="49" spans="2:7">
      <c r="B49" s="137" t="s">
        <v>23</v>
      </c>
      <c r="C49" s="141" t="s">
        <v>219</v>
      </c>
      <c r="D49" s="252"/>
      <c r="E49" s="259"/>
    </row>
    <row r="50" spans="2:7">
      <c r="B50" s="220" t="s">
        <v>4</v>
      </c>
      <c r="C50" s="221" t="s">
        <v>40</v>
      </c>
      <c r="D50" s="250">
        <v>146.22</v>
      </c>
      <c r="E50" s="327">
        <v>151.29</v>
      </c>
      <c r="G50" s="208"/>
    </row>
    <row r="51" spans="2:7">
      <c r="B51" s="220" t="s">
        <v>6</v>
      </c>
      <c r="C51" s="221" t="s">
        <v>220</v>
      </c>
      <c r="D51" s="253">
        <v>141.65</v>
      </c>
      <c r="E51" s="260">
        <v>151.12</v>
      </c>
      <c r="G51" s="208"/>
    </row>
    <row r="52" spans="2:7">
      <c r="B52" s="220" t="s">
        <v>8</v>
      </c>
      <c r="C52" s="221" t="s">
        <v>221</v>
      </c>
      <c r="D52" s="253">
        <v>151.6</v>
      </c>
      <c r="E52" s="260">
        <v>164.47</v>
      </c>
    </row>
    <row r="53" spans="2:7" ht="13.5" customHeight="1" thickBot="1">
      <c r="B53" s="224" t="s">
        <v>9</v>
      </c>
      <c r="C53" s="225" t="s">
        <v>41</v>
      </c>
      <c r="D53" s="254">
        <v>151.29</v>
      </c>
      <c r="E53" s="167">
        <v>164.09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247550.44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4.2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E12</f>
        <v>247550.44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47" t="s">
        <v>64</v>
      </c>
      <c r="C74" s="138" t="s">
        <v>66</v>
      </c>
      <c r="D74" s="139">
        <f>D58-D73</f>
        <v>247550.44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247550.44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1" right="0.75" top="0.55000000000000004" bottom="0.46" header="0.5" footer="0.5"/>
  <pageSetup paperSize="9" scale="70" orientation="portrait" r:id="rId1"/>
  <headerFooter alignWithMargins="0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5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237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287519.93</v>
      </c>
      <c r="E11" s="9">
        <f>E12</f>
        <v>351768.4</v>
      </c>
    </row>
    <row r="12" spans="2:12">
      <c r="B12" s="209" t="s">
        <v>4</v>
      </c>
      <c r="C12" s="210" t="s">
        <v>5</v>
      </c>
      <c r="D12" s="297">
        <v>287519.93</v>
      </c>
      <c r="E12" s="95">
        <v>351768.4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287519.93</v>
      </c>
      <c r="E21" s="165">
        <f>E11</f>
        <v>351768.4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  <c r="H25" s="172"/>
    </row>
    <row r="26" spans="2:11">
      <c r="B26" s="110" t="s">
        <v>15</v>
      </c>
      <c r="C26" s="111" t="s">
        <v>16</v>
      </c>
      <c r="D26" s="244">
        <v>284609.75</v>
      </c>
      <c r="E26" s="112">
        <f>D21</f>
        <v>287519.93</v>
      </c>
      <c r="G26" s="81"/>
    </row>
    <row r="27" spans="2:11">
      <c r="B27" s="10" t="s">
        <v>17</v>
      </c>
      <c r="C27" s="11" t="s">
        <v>217</v>
      </c>
      <c r="D27" s="245">
        <v>-12406.46</v>
      </c>
      <c r="E27" s="269">
        <f>E28-E32</f>
        <v>29364.260000000009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10396.209999999999</v>
      </c>
      <c r="E28" s="284">
        <f>SUM(E29:E31)</f>
        <v>116013.69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10011.25</v>
      </c>
      <c r="E29" s="286">
        <v>10318.52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384.96</v>
      </c>
      <c r="E31" s="286">
        <v>105695.17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22802.67</v>
      </c>
      <c r="E32" s="284">
        <f>SUM(E33:E39)</f>
        <v>86649.43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2234.62</v>
      </c>
      <c r="E33" s="286">
        <v>67164.899999999994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890.31</v>
      </c>
      <c r="E35" s="286">
        <v>563.4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5233.3100000000004</v>
      </c>
      <c r="E37" s="286">
        <v>5309.94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14444.43</v>
      </c>
      <c r="E39" s="288">
        <v>13611.19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15316.64</v>
      </c>
      <c r="E40" s="115">
        <v>34884.21</v>
      </c>
      <c r="G40" s="81"/>
    </row>
    <row r="41" spans="2:10" ht="13.5" thickBot="1">
      <c r="B41" s="116" t="s">
        <v>37</v>
      </c>
      <c r="C41" s="117" t="s">
        <v>38</v>
      </c>
      <c r="D41" s="249">
        <v>287519.93</v>
      </c>
      <c r="E41" s="165">
        <f>E26+E27+E40</f>
        <v>351768.4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2295.4250000000002</v>
      </c>
      <c r="E47" s="166">
        <v>2196.8209999999999</v>
      </c>
      <c r="G47" s="77"/>
    </row>
    <row r="48" spans="2:10">
      <c r="B48" s="222" t="s">
        <v>6</v>
      </c>
      <c r="C48" s="223" t="s">
        <v>41</v>
      </c>
      <c r="D48" s="251">
        <v>2196.8209999999999</v>
      </c>
      <c r="E48" s="166">
        <v>2405.5830000000001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123.99</v>
      </c>
      <c r="E50" s="166">
        <v>130.88</v>
      </c>
      <c r="G50" s="208"/>
    </row>
    <row r="51" spans="2:7">
      <c r="B51" s="220" t="s">
        <v>6</v>
      </c>
      <c r="C51" s="221" t="s">
        <v>220</v>
      </c>
      <c r="D51" s="253">
        <v>117.87</v>
      </c>
      <c r="E51" s="166">
        <v>130.88</v>
      </c>
      <c r="G51" s="208"/>
    </row>
    <row r="52" spans="2:7">
      <c r="B52" s="220" t="s">
        <v>8</v>
      </c>
      <c r="C52" s="221" t="s">
        <v>221</v>
      </c>
      <c r="D52" s="253">
        <v>131.02000000000001</v>
      </c>
      <c r="E52" s="82">
        <v>147.05000000000001</v>
      </c>
    </row>
    <row r="53" spans="2:7" ht="12.75" customHeight="1" thickBot="1">
      <c r="B53" s="224" t="s">
        <v>9</v>
      </c>
      <c r="C53" s="225" t="s">
        <v>41</v>
      </c>
      <c r="D53" s="254">
        <v>130.88</v>
      </c>
      <c r="E53" s="167">
        <v>146.22999999999999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351768.4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351768.4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351768.4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351768.4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" right="0.75" top="0.59" bottom="0.49" header="0.5" footer="0.5"/>
  <pageSetup paperSize="9" scale="70" orientation="portrait" r:id="rId1"/>
  <headerFooter alignWithMargins="0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6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187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501075.93</v>
      </c>
      <c r="E11" s="9">
        <f>E12</f>
        <v>264424.64</v>
      </c>
    </row>
    <row r="12" spans="2:12">
      <c r="B12" s="209" t="s">
        <v>4</v>
      </c>
      <c r="C12" s="210" t="s">
        <v>5</v>
      </c>
      <c r="D12" s="297">
        <v>501075.93</v>
      </c>
      <c r="E12" s="95">
        <v>264424.64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501075.93</v>
      </c>
      <c r="E21" s="165">
        <f>E11</f>
        <v>264424.64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40526.54</v>
      </c>
      <c r="E26" s="112">
        <f>D21</f>
        <v>501075.93</v>
      </c>
      <c r="G26" s="81"/>
    </row>
    <row r="27" spans="2:11">
      <c r="B27" s="10" t="s">
        <v>17</v>
      </c>
      <c r="C27" s="11" t="s">
        <v>217</v>
      </c>
      <c r="D27" s="245">
        <v>379018.92000000004</v>
      </c>
      <c r="E27" s="269">
        <f>E28-E32</f>
        <v>-252964.77000000002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460175.85000000003</v>
      </c>
      <c r="E28" s="284">
        <f>SUM(E29:E31)</f>
        <v>50469.99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425549.33</v>
      </c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34626.519999999997</v>
      </c>
      <c r="E31" s="286">
        <v>50469.99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81156.929999999993</v>
      </c>
      <c r="E32" s="284">
        <f>SUM(E33:E39)</f>
        <v>303434.76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71658.149999999994</v>
      </c>
      <c r="E33" s="286">
        <v>209484.79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688.06</v>
      </c>
      <c r="E35" s="286">
        <v>1242.8399999999999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923.28</v>
      </c>
      <c r="E37" s="286">
        <v>1325.89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7887.44</v>
      </c>
      <c r="E39" s="288">
        <v>91381.24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81530.47</v>
      </c>
      <c r="E40" s="115">
        <v>16313.48</v>
      </c>
      <c r="G40" s="81"/>
    </row>
    <row r="41" spans="2:10" ht="13.5" thickBot="1">
      <c r="B41" s="116" t="s">
        <v>37</v>
      </c>
      <c r="C41" s="117" t="s">
        <v>38</v>
      </c>
      <c r="D41" s="249">
        <v>501075.93000000005</v>
      </c>
      <c r="E41" s="165">
        <f>E26+E27+E40</f>
        <v>264424.63999999996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432.74470000000002</v>
      </c>
      <c r="E47" s="166">
        <v>3996.4582</v>
      </c>
      <c r="G47" s="77"/>
    </row>
    <row r="48" spans="2:10">
      <c r="B48" s="222" t="s">
        <v>6</v>
      </c>
      <c r="C48" s="223" t="s">
        <v>41</v>
      </c>
      <c r="D48" s="251">
        <v>3996.4582</v>
      </c>
      <c r="E48" s="166">
        <v>2103.6169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93.65</v>
      </c>
      <c r="E50" s="166">
        <v>125.38</v>
      </c>
      <c r="G50" s="208"/>
    </row>
    <row r="51" spans="2:7">
      <c r="B51" s="220" t="s">
        <v>6</v>
      </c>
      <c r="C51" s="221" t="s">
        <v>220</v>
      </c>
      <c r="D51" s="253">
        <v>86.17</v>
      </c>
      <c r="E51" s="166">
        <v>122.05</v>
      </c>
      <c r="G51" s="208"/>
    </row>
    <row r="52" spans="2:7">
      <c r="B52" s="220" t="s">
        <v>8</v>
      </c>
      <c r="C52" s="221" t="s">
        <v>221</v>
      </c>
      <c r="D52" s="253">
        <v>125.41</v>
      </c>
      <c r="E52" s="82">
        <v>139.28</v>
      </c>
    </row>
    <row r="53" spans="2:7" ht="14.25" customHeight="1" thickBot="1">
      <c r="B53" s="224" t="s">
        <v>9</v>
      </c>
      <c r="C53" s="225" t="s">
        <v>41</v>
      </c>
      <c r="D53" s="254">
        <v>125.38</v>
      </c>
      <c r="E53" s="167">
        <v>125.7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264424.64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264424.64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264424.64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264424.64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7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252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20813.419999999998</v>
      </c>
      <c r="E11" s="9">
        <f>E12</f>
        <v>992505.74</v>
      </c>
    </row>
    <row r="12" spans="2:12">
      <c r="B12" s="209" t="s">
        <v>4</v>
      </c>
      <c r="C12" s="210" t="s">
        <v>5</v>
      </c>
      <c r="D12" s="297">
        <v>20813.419999999998</v>
      </c>
      <c r="E12" s="95">
        <v>992505.74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20813.419999999998</v>
      </c>
      <c r="E21" s="165">
        <f>E11</f>
        <v>992505.74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19129.55</v>
      </c>
      <c r="E26" s="112">
        <f>D21</f>
        <v>20813.419999999998</v>
      </c>
      <c r="G26" s="81"/>
    </row>
    <row r="27" spans="2:11">
      <c r="B27" s="10" t="s">
        <v>17</v>
      </c>
      <c r="C27" s="11" t="s">
        <v>217</v>
      </c>
      <c r="D27" s="245">
        <v>-309.3</v>
      </c>
      <c r="E27" s="269">
        <f>E28-E32</f>
        <v>995223.94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0</v>
      </c>
      <c r="E28" s="284">
        <f>SUM(E29:E31)</f>
        <v>1545197.9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>
        <v>1545197.9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309.3</v>
      </c>
      <c r="E32" s="284">
        <f>SUM(E33:E39)</f>
        <v>549973.96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>
        <v>439560.2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/>
      <c r="E35" s="286">
        <v>571.75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309.3</v>
      </c>
      <c r="E37" s="286">
        <v>17984.36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>
        <v>91857.65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1993.17</v>
      </c>
      <c r="E40" s="115">
        <v>-23531.62</v>
      </c>
      <c r="G40" s="81"/>
    </row>
    <row r="41" spans="2:10" ht="13.5" thickBot="1">
      <c r="B41" s="116" t="s">
        <v>37</v>
      </c>
      <c r="C41" s="117" t="s">
        <v>38</v>
      </c>
      <c r="D41" s="249">
        <v>20813.419999999998</v>
      </c>
      <c r="E41" s="165">
        <f>E26+E27+E40</f>
        <v>992505.74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217.2825</v>
      </c>
      <c r="E47" s="166">
        <v>213.8219</v>
      </c>
      <c r="G47" s="77"/>
    </row>
    <row r="48" spans="2:10">
      <c r="B48" s="222" t="s">
        <v>6</v>
      </c>
      <c r="C48" s="223" t="s">
        <v>41</v>
      </c>
      <c r="D48" s="251">
        <v>213.8219</v>
      </c>
      <c r="E48" s="166">
        <v>9333.3245999999999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88.04</v>
      </c>
      <c r="E50" s="166">
        <v>97.34</v>
      </c>
      <c r="G50" s="208"/>
    </row>
    <row r="51" spans="2:7">
      <c r="B51" s="220" t="s">
        <v>6</v>
      </c>
      <c r="C51" s="221" t="s">
        <v>220</v>
      </c>
      <c r="D51" s="253">
        <v>78.460000000000008</v>
      </c>
      <c r="E51" s="166">
        <v>97.34</v>
      </c>
      <c r="G51" s="208"/>
    </row>
    <row r="52" spans="2:7">
      <c r="B52" s="220" t="s">
        <v>8</v>
      </c>
      <c r="C52" s="221" t="s">
        <v>221</v>
      </c>
      <c r="D52" s="253">
        <v>97.51</v>
      </c>
      <c r="E52" s="82">
        <v>111.72</v>
      </c>
    </row>
    <row r="53" spans="2:7" ht="12.75" customHeight="1" thickBot="1">
      <c r="B53" s="224" t="s">
        <v>9</v>
      </c>
      <c r="C53" s="225" t="s">
        <v>41</v>
      </c>
      <c r="D53" s="254">
        <v>97.34</v>
      </c>
      <c r="E53" s="167">
        <v>106.34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992505.74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992505.74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992505.74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992505.74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>
    <pageSetUpPr fitToPage="1"/>
  </sheetPr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1" max="11" width="9.8554687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99"/>
      <c r="C4" s="99"/>
      <c r="D4" s="99"/>
      <c r="E4" s="99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258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0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232" t="s">
        <v>215</v>
      </c>
      <c r="D11" s="292">
        <f>D12+D13+D14</f>
        <v>215579.53</v>
      </c>
      <c r="E11" s="9">
        <f>E12+E13+E14</f>
        <v>239096.18999999997</v>
      </c>
    </row>
    <row r="12" spans="2:12">
      <c r="B12" s="123" t="s">
        <v>4</v>
      </c>
      <c r="C12" s="233" t="s">
        <v>5</v>
      </c>
      <c r="D12" s="293">
        <f>195287.15+19246.86+0.05</f>
        <v>214534.06</v>
      </c>
      <c r="E12" s="95">
        <v>238435.53999999998</v>
      </c>
    </row>
    <row r="13" spans="2:12">
      <c r="B13" s="123" t="s">
        <v>6</v>
      </c>
      <c r="C13" s="233" t="s">
        <v>7</v>
      </c>
      <c r="D13" s="293"/>
      <c r="E13" s="95"/>
    </row>
    <row r="14" spans="2:12">
      <c r="B14" s="123" t="s">
        <v>8</v>
      </c>
      <c r="C14" s="233" t="s">
        <v>10</v>
      </c>
      <c r="D14" s="293">
        <f>D15</f>
        <v>1045.47</v>
      </c>
      <c r="E14" s="95">
        <f>E15</f>
        <v>660.65000000000009</v>
      </c>
    </row>
    <row r="15" spans="2:12">
      <c r="B15" s="123" t="s">
        <v>212</v>
      </c>
      <c r="C15" s="233" t="s">
        <v>11</v>
      </c>
      <c r="D15" s="293">
        <f>674.15+371.32</f>
        <v>1045.47</v>
      </c>
      <c r="E15" s="95">
        <v>660.65000000000009</v>
      </c>
    </row>
    <row r="16" spans="2:12">
      <c r="B16" s="124" t="s">
        <v>213</v>
      </c>
      <c r="C16" s="234" t="s">
        <v>12</v>
      </c>
      <c r="D16" s="294"/>
      <c r="E16" s="96"/>
    </row>
    <row r="17" spans="2:11">
      <c r="B17" s="10" t="s">
        <v>13</v>
      </c>
      <c r="C17" s="235" t="s">
        <v>65</v>
      </c>
      <c r="D17" s="295">
        <f>D18</f>
        <v>503.65</v>
      </c>
      <c r="E17" s="107">
        <f>E18</f>
        <v>440.71</v>
      </c>
    </row>
    <row r="18" spans="2:11">
      <c r="B18" s="123" t="s">
        <v>4</v>
      </c>
      <c r="C18" s="233" t="s">
        <v>11</v>
      </c>
      <c r="D18" s="294">
        <v>503.65</v>
      </c>
      <c r="E18" s="96">
        <v>440.71</v>
      </c>
    </row>
    <row r="19" spans="2:11" ht="15" customHeight="1">
      <c r="B19" s="123" t="s">
        <v>6</v>
      </c>
      <c r="C19" s="233" t="s">
        <v>214</v>
      </c>
      <c r="D19" s="293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215075.88</v>
      </c>
      <c r="E21" s="165">
        <f>E11-E17</f>
        <v>238655.47999999998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6.5" customHeight="1" thickBot="1">
      <c r="B24" s="335" t="s">
        <v>211</v>
      </c>
      <c r="C24" s="345"/>
      <c r="D24" s="345"/>
      <c r="E24" s="345"/>
    </row>
    <row r="25" spans="2:11" ht="13.5" thickBot="1">
      <c r="B25" s="100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108040.33</v>
      </c>
      <c r="E26" s="112">
        <f>D21</f>
        <v>215075.88</v>
      </c>
      <c r="G26" s="81"/>
    </row>
    <row r="27" spans="2:11">
      <c r="B27" s="10" t="s">
        <v>17</v>
      </c>
      <c r="C27" s="11" t="s">
        <v>217</v>
      </c>
      <c r="D27" s="245">
        <v>90347.6</v>
      </c>
      <c r="E27" s="269">
        <f>E28-E32</f>
        <v>30487.210000000006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119178.97</v>
      </c>
      <c r="E28" s="284">
        <f>SUM(E29:E31)</f>
        <v>103327.8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91609.49</v>
      </c>
      <c r="E29" s="286">
        <v>103039.32</v>
      </c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>
        <v>27569.48</v>
      </c>
      <c r="E31" s="286">
        <v>288.48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28831.370000000003</v>
      </c>
      <c r="E32" s="284">
        <f>SUM(E33:E39)</f>
        <v>72840.59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18779.16</v>
      </c>
      <c r="E33" s="286">
        <v>33217.57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7968.17</v>
      </c>
      <c r="E35" s="286">
        <v>8498.4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/>
      <c r="E37" s="286"/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>
        <v>2084.04</v>
      </c>
      <c r="E39" s="288">
        <v>31124.62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16687.95</v>
      </c>
      <c r="E40" s="115">
        <v>-6907.61</v>
      </c>
      <c r="G40" s="81"/>
    </row>
    <row r="41" spans="2:10" ht="13.5" thickBot="1">
      <c r="B41" s="116" t="s">
        <v>37</v>
      </c>
      <c r="C41" s="117" t="s">
        <v>38</v>
      </c>
      <c r="D41" s="249">
        <v>215075.88</v>
      </c>
      <c r="E41" s="165">
        <f>E26+E27+E40</f>
        <v>238655.48000000004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5.75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0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12684.4804</v>
      </c>
      <c r="E47" s="80">
        <v>22714.638299999999</v>
      </c>
      <c r="G47" s="77"/>
    </row>
    <row r="48" spans="2:10">
      <c r="B48" s="140" t="s">
        <v>6</v>
      </c>
      <c r="C48" s="23" t="s">
        <v>41</v>
      </c>
      <c r="D48" s="251">
        <v>22714.638299999999</v>
      </c>
      <c r="E48" s="80">
        <v>26187.101900000001</v>
      </c>
      <c r="G48" s="231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8.5175211433966194</v>
      </c>
      <c r="E50" s="80">
        <v>9.46860245624074</v>
      </c>
      <c r="G50" s="208"/>
    </row>
    <row r="51" spans="2:7">
      <c r="B51" s="119" t="s">
        <v>6</v>
      </c>
      <c r="C51" s="16" t="s">
        <v>220</v>
      </c>
      <c r="D51" s="256">
        <v>7.8652000000000006</v>
      </c>
      <c r="E51" s="82">
        <v>8.4769000000000005</v>
      </c>
      <c r="G51" s="208"/>
    </row>
    <row r="52" spans="2:7">
      <c r="B52" s="119" t="s">
        <v>8</v>
      </c>
      <c r="C52" s="16" t="s">
        <v>221</v>
      </c>
      <c r="D52" s="256">
        <v>9.5545000000000009</v>
      </c>
      <c r="E52" s="82">
        <v>9.5625</v>
      </c>
    </row>
    <row r="53" spans="2:7" ht="13.5" thickBot="1">
      <c r="B53" s="120" t="s">
        <v>9</v>
      </c>
      <c r="C53" s="18" t="s">
        <v>41</v>
      </c>
      <c r="D53" s="254">
        <v>9.46860245624074</v>
      </c>
      <c r="E53" s="167">
        <v>9.1134742939996691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SUM(D59:D70)</f>
        <v>238435.53999999998</v>
      </c>
      <c r="E58" s="33">
        <f>D58/E21</f>
        <v>0.99907842049132911</v>
      </c>
    </row>
    <row r="59" spans="2:7" ht="25.5">
      <c r="B59" s="22" t="s">
        <v>4</v>
      </c>
      <c r="C59" s="23" t="s">
        <v>44</v>
      </c>
      <c r="D59" s="90">
        <v>0</v>
      </c>
      <c r="E59" s="91">
        <v>0</v>
      </c>
    </row>
    <row r="60" spans="2:7" ht="24" customHeight="1">
      <c r="B60" s="15" t="s">
        <v>6</v>
      </c>
      <c r="C60" s="16" t="s">
        <v>45</v>
      </c>
      <c r="D60" s="88">
        <v>0</v>
      </c>
      <c r="E60" s="89">
        <v>0</v>
      </c>
    </row>
    <row r="61" spans="2:7">
      <c r="B61" s="15" t="s">
        <v>8</v>
      </c>
      <c r="C61" s="16" t="s">
        <v>46</v>
      </c>
      <c r="D61" s="88">
        <v>0</v>
      </c>
      <c r="E61" s="89">
        <v>0</v>
      </c>
    </row>
    <row r="62" spans="2:7">
      <c r="B62" s="15" t="s">
        <v>9</v>
      </c>
      <c r="C62" s="16" t="s">
        <v>47</v>
      </c>
      <c r="D62" s="88">
        <v>0</v>
      </c>
      <c r="E62" s="89">
        <v>0</v>
      </c>
    </row>
    <row r="63" spans="2:7">
      <c r="B63" s="15" t="s">
        <v>29</v>
      </c>
      <c r="C63" s="16" t="s">
        <v>48</v>
      </c>
      <c r="D63" s="88">
        <v>0</v>
      </c>
      <c r="E63" s="89">
        <v>0</v>
      </c>
    </row>
    <row r="64" spans="2:7">
      <c r="B64" s="22" t="s">
        <v>31</v>
      </c>
      <c r="C64" s="23" t="s">
        <v>49</v>
      </c>
      <c r="D64" s="90">
        <v>215791.18</v>
      </c>
      <c r="E64" s="91">
        <f>D64/E21</f>
        <v>0.90419536982766957</v>
      </c>
    </row>
    <row r="65" spans="2:5">
      <c r="B65" s="22" t="s">
        <v>33</v>
      </c>
      <c r="C65" s="23" t="s">
        <v>224</v>
      </c>
      <c r="D65" s="90">
        <v>0</v>
      </c>
      <c r="E65" s="91">
        <v>0</v>
      </c>
    </row>
    <row r="66" spans="2:5">
      <c r="B66" s="22" t="s">
        <v>50</v>
      </c>
      <c r="C66" s="23" t="s">
        <v>51</v>
      </c>
      <c r="D66" s="90">
        <v>0</v>
      </c>
      <c r="E66" s="91">
        <v>0</v>
      </c>
    </row>
    <row r="67" spans="2:5">
      <c r="B67" s="15" t="s">
        <v>52</v>
      </c>
      <c r="C67" s="16" t="s">
        <v>53</v>
      </c>
      <c r="D67" s="88">
        <v>0</v>
      </c>
      <c r="E67" s="89">
        <v>0</v>
      </c>
    </row>
    <row r="68" spans="2:5">
      <c r="B68" s="15" t="s">
        <v>54</v>
      </c>
      <c r="C68" s="16" t="s">
        <v>55</v>
      </c>
      <c r="D68" s="88">
        <v>0</v>
      </c>
      <c r="E68" s="89">
        <v>0</v>
      </c>
    </row>
    <row r="69" spans="2:5">
      <c r="B69" s="15" t="s">
        <v>56</v>
      </c>
      <c r="C69" s="16" t="s">
        <v>57</v>
      </c>
      <c r="D69" s="88">
        <v>22644.36</v>
      </c>
      <c r="E69" s="89">
        <f>D69/E21</f>
        <v>9.488305066365961E-2</v>
      </c>
    </row>
    <row r="70" spans="2:5">
      <c r="B70" s="129" t="s">
        <v>58</v>
      </c>
      <c r="C70" s="130" t="s">
        <v>59</v>
      </c>
      <c r="D70" s="131">
        <v>0</v>
      </c>
      <c r="E70" s="132">
        <v>0</v>
      </c>
    </row>
    <row r="71" spans="2:5">
      <c r="B71" s="137" t="s">
        <v>23</v>
      </c>
      <c r="C71" s="138" t="s">
        <v>61</v>
      </c>
      <c r="D71" s="139">
        <f>E13</f>
        <v>0</v>
      </c>
      <c r="E71" s="70">
        <v>0</v>
      </c>
    </row>
    <row r="72" spans="2:5">
      <c r="B72" s="133" t="s">
        <v>60</v>
      </c>
      <c r="C72" s="134" t="s">
        <v>63</v>
      </c>
      <c r="D72" s="135">
        <f>E14</f>
        <v>660.65000000000009</v>
      </c>
      <c r="E72" s="136">
        <f>D72/E21</f>
        <v>2.7682163426542734E-3</v>
      </c>
    </row>
    <row r="73" spans="2:5">
      <c r="B73" s="24" t="s">
        <v>62</v>
      </c>
      <c r="C73" s="25" t="s">
        <v>65</v>
      </c>
      <c r="D73" s="26">
        <f>E17</f>
        <v>440.71</v>
      </c>
      <c r="E73" s="27">
        <f>D73/E21</f>
        <v>1.8466368339834476E-3</v>
      </c>
    </row>
    <row r="74" spans="2:5">
      <c r="B74" s="137" t="s">
        <v>64</v>
      </c>
      <c r="C74" s="138" t="s">
        <v>66</v>
      </c>
      <c r="D74" s="139">
        <f>D58+D71+D72-D73</f>
        <v>238655.47999999998</v>
      </c>
      <c r="E74" s="70">
        <f>E58+E72-E73</f>
        <v>0.99999999999999989</v>
      </c>
    </row>
    <row r="75" spans="2:5">
      <c r="B75" s="15" t="s">
        <v>4</v>
      </c>
      <c r="C75" s="16" t="s">
        <v>67</v>
      </c>
      <c r="D75" s="88">
        <f>D74</f>
        <v>238655.47999999998</v>
      </c>
      <c r="E75" s="89">
        <f>E74</f>
        <v>0.99999999999999989</v>
      </c>
    </row>
    <row r="76" spans="2:5">
      <c r="B76" s="15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7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8">
    <pageSetUpPr fitToPage="1"/>
  </sheetPr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H2" s="178"/>
      <c r="I2" s="178"/>
      <c r="J2" s="178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  <c r="H5" s="178"/>
      <c r="I5" s="178"/>
      <c r="J5" s="178"/>
    </row>
    <row r="6" spans="2:12" ht="14.25">
      <c r="B6" s="334" t="s">
        <v>133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197752.71</v>
      </c>
      <c r="E11" s="9">
        <f>E12</f>
        <v>1206221.68</v>
      </c>
    </row>
    <row r="12" spans="2:12">
      <c r="B12" s="209" t="s">
        <v>4</v>
      </c>
      <c r="C12" s="210" t="s">
        <v>5</v>
      </c>
      <c r="D12" s="297">
        <v>197752.71</v>
      </c>
      <c r="E12" s="95">
        <v>1206221.68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197752.71</v>
      </c>
      <c r="E21" s="165">
        <f>E11</f>
        <v>1206221.68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389117.68</v>
      </c>
      <c r="E26" s="112">
        <f>D21</f>
        <v>197752.71</v>
      </c>
      <c r="G26" s="81"/>
    </row>
    <row r="27" spans="2:11">
      <c r="B27" s="10" t="s">
        <v>17</v>
      </c>
      <c r="C27" s="11" t="s">
        <v>217</v>
      </c>
      <c r="D27" s="245">
        <v>-227612.72000000003</v>
      </c>
      <c r="E27" s="269">
        <f>E28-E32</f>
        <v>1124094.28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144594.39000000001</v>
      </c>
      <c r="E28" s="284">
        <f>SUM(E29:E31)</f>
        <v>1449665.08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144594.39000000001</v>
      </c>
      <c r="E31" s="286">
        <v>1449665.08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372207.11000000004</v>
      </c>
      <c r="E32" s="284">
        <f>SUM(E33:E39)</f>
        <v>325570.8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352066.77</v>
      </c>
      <c r="E33" s="286">
        <v>151940.84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197.01</v>
      </c>
      <c r="E35" s="286">
        <v>862.59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4879.7700000000004</v>
      </c>
      <c r="E37" s="286">
        <v>20463.21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15063.56</v>
      </c>
      <c r="E39" s="288">
        <v>152304.16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36247.75</v>
      </c>
      <c r="E40" s="115">
        <v>-115625.31</v>
      </c>
      <c r="G40" s="81"/>
    </row>
    <row r="41" spans="2:10" ht="13.5" thickBot="1">
      <c r="B41" s="116" t="s">
        <v>37</v>
      </c>
      <c r="C41" s="117" t="s">
        <v>38</v>
      </c>
      <c r="D41" s="249">
        <v>197752.70999999996</v>
      </c>
      <c r="E41" s="165">
        <f>E26+E27+E40</f>
        <v>1206221.68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8256.2630000000008</v>
      </c>
      <c r="E47" s="166">
        <v>3635.1601000000001</v>
      </c>
      <c r="G47" s="77"/>
    </row>
    <row r="48" spans="2:10">
      <c r="B48" s="222" t="s">
        <v>6</v>
      </c>
      <c r="C48" s="223" t="s">
        <v>41</v>
      </c>
      <c r="D48" s="251">
        <v>3635.1601000000001</v>
      </c>
      <c r="E48" s="166">
        <v>22525.148099999999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47.13</v>
      </c>
      <c r="E50" s="166">
        <v>54.4</v>
      </c>
      <c r="G50" s="208"/>
    </row>
    <row r="51" spans="2:7">
      <c r="B51" s="220" t="s">
        <v>6</v>
      </c>
      <c r="C51" s="221" t="s">
        <v>220</v>
      </c>
      <c r="D51" s="253">
        <v>42.01</v>
      </c>
      <c r="E51" s="166">
        <v>51.55</v>
      </c>
      <c r="G51" s="208"/>
    </row>
    <row r="52" spans="2:7">
      <c r="B52" s="220" t="s">
        <v>8</v>
      </c>
      <c r="C52" s="221" t="s">
        <v>221</v>
      </c>
      <c r="D52" s="253">
        <v>54.4</v>
      </c>
      <c r="E52" s="82">
        <v>61.32</v>
      </c>
    </row>
    <row r="53" spans="2:7" ht="14.25" customHeight="1" thickBot="1">
      <c r="B53" s="224" t="s">
        <v>9</v>
      </c>
      <c r="C53" s="225" t="s">
        <v>41</v>
      </c>
      <c r="D53" s="254">
        <v>54.4</v>
      </c>
      <c r="E53" s="167">
        <v>53.55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1206221.68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1206221.68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1206221.68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1206221.68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9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135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14584813.24</v>
      </c>
      <c r="E11" s="9">
        <f>E12</f>
        <v>10312940.49</v>
      </c>
    </row>
    <row r="12" spans="2:12">
      <c r="B12" s="209" t="s">
        <v>4</v>
      </c>
      <c r="C12" s="210" t="s">
        <v>5</v>
      </c>
      <c r="D12" s="297">
        <v>14584813.24</v>
      </c>
      <c r="E12" s="95">
        <v>10312940.49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14584813.24</v>
      </c>
      <c r="E21" s="165">
        <f>E11</f>
        <v>10312940.49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35518658.700000003</v>
      </c>
      <c r="E26" s="112">
        <f>D21</f>
        <v>14584813.24</v>
      </c>
      <c r="G26" s="81"/>
    </row>
    <row r="27" spans="2:11">
      <c r="B27" s="10" t="s">
        <v>17</v>
      </c>
      <c r="C27" s="11" t="s">
        <v>217</v>
      </c>
      <c r="D27" s="245">
        <v>-14067956.920000002</v>
      </c>
      <c r="E27" s="269">
        <f>E28-E32</f>
        <v>-4931033.05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386697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386697</v>
      </c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14454653.920000002</v>
      </c>
      <c r="E32" s="284">
        <f>SUM(E33:E39)</f>
        <v>4931033.05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8631890.2699999996</v>
      </c>
      <c r="E33" s="286">
        <v>2839249.51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92225.63</v>
      </c>
      <c r="E35" s="286">
        <v>47203.98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356117.89</v>
      </c>
      <c r="E37" s="286">
        <v>207478.05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5374420.1299999999</v>
      </c>
      <c r="E39" s="288">
        <v>1837101.51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-6865888.54</v>
      </c>
      <c r="E40" s="115">
        <v>659160.30000000005</v>
      </c>
      <c r="G40" s="81"/>
    </row>
    <row r="41" spans="2:10" ht="13.5" thickBot="1">
      <c r="B41" s="116" t="s">
        <v>37</v>
      </c>
      <c r="C41" s="117" t="s">
        <v>38</v>
      </c>
      <c r="D41" s="249">
        <v>14584813.240000002</v>
      </c>
      <c r="E41" s="165">
        <f>E26+E27+E40</f>
        <v>10312940.490000002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358123.1972</v>
      </c>
      <c r="E47" s="166">
        <v>189363.97349999999</v>
      </c>
      <c r="G47" s="77"/>
    </row>
    <row r="48" spans="2:10">
      <c r="B48" s="222" t="s">
        <v>6</v>
      </c>
      <c r="C48" s="223" t="s">
        <v>41</v>
      </c>
      <c r="D48" s="251">
        <v>189363.97349999999</v>
      </c>
      <c r="E48" s="166">
        <v>129738.8412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99.18</v>
      </c>
      <c r="E50" s="166">
        <v>77.02</v>
      </c>
      <c r="G50" s="208"/>
    </row>
    <row r="51" spans="2:7">
      <c r="B51" s="220" t="s">
        <v>6</v>
      </c>
      <c r="C51" s="221" t="s">
        <v>220</v>
      </c>
      <c r="D51" s="253">
        <v>73.8</v>
      </c>
      <c r="E51" s="166">
        <v>77.02</v>
      </c>
      <c r="G51" s="208"/>
    </row>
    <row r="52" spans="2:7">
      <c r="B52" s="220" t="s">
        <v>8</v>
      </c>
      <c r="C52" s="221" t="s">
        <v>221</v>
      </c>
      <c r="D52" s="253">
        <v>99.18</v>
      </c>
      <c r="E52" s="82">
        <v>89.54</v>
      </c>
    </row>
    <row r="53" spans="2:7" ht="14.25" customHeight="1" thickBot="1">
      <c r="B53" s="224" t="s">
        <v>9</v>
      </c>
      <c r="C53" s="225" t="s">
        <v>41</v>
      </c>
      <c r="D53" s="254">
        <v>77.02</v>
      </c>
      <c r="E53" s="167">
        <v>79.489999999999995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10312940.49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10312940.49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10312940.49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10312940.49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055118110236227" right="0.74803149606299213" top="0.59055118110236227" bottom="0.47244094488188981" header="0.51181102362204722" footer="0.51181102362204722"/>
  <pageSetup paperSize="9" scale="70" orientation="portrait" r:id="rId1"/>
  <headerFooter alignWithMargins="0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0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136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167165.93</v>
      </c>
      <c r="E11" s="9">
        <f>E12</f>
        <v>47681.71</v>
      </c>
    </row>
    <row r="12" spans="2:12">
      <c r="B12" s="209" t="s">
        <v>4</v>
      </c>
      <c r="C12" s="210" t="s">
        <v>5</v>
      </c>
      <c r="D12" s="297">
        <v>167165.93</v>
      </c>
      <c r="E12" s="95">
        <v>47681.71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167165.93</v>
      </c>
      <c r="E21" s="165">
        <f>E11</f>
        <v>47681.71</v>
      </c>
      <c r="F21" s="86"/>
      <c r="G21" s="86"/>
      <c r="H21" s="188"/>
      <c r="J21" s="71"/>
      <c r="K21" s="71">
        <f>E21-E41</f>
        <v>8.0035533756017685E-11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352276.78</v>
      </c>
      <c r="E26" s="112">
        <f>D21</f>
        <v>167165.93</v>
      </c>
      <c r="G26" s="81"/>
    </row>
    <row r="27" spans="2:11">
      <c r="B27" s="10" t="s">
        <v>17</v>
      </c>
      <c r="C27" s="11" t="s">
        <v>217</v>
      </c>
      <c r="D27" s="245">
        <v>-189191.15</v>
      </c>
      <c r="E27" s="269">
        <f>E28-E32</f>
        <v>-124643.58000000007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/>
      <c r="E28" s="284">
        <f>SUM(E29:E31)</f>
        <v>358099.36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>
        <v>358099.36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189191.15</v>
      </c>
      <c r="E32" s="284">
        <f>SUM(E33:E39)</f>
        <v>482742.94000000006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186016.49</v>
      </c>
      <c r="E33" s="286">
        <v>262685.95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402.09</v>
      </c>
      <c r="E35" s="286">
        <v>175.13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2772.57</v>
      </c>
      <c r="E37" s="286">
        <v>4094.69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>
        <v>215787.17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4080.3</v>
      </c>
      <c r="E40" s="115">
        <v>5159.3599999999997</v>
      </c>
      <c r="G40" s="81"/>
    </row>
    <row r="41" spans="2:10" ht="13.5" thickBot="1">
      <c r="B41" s="116" t="s">
        <v>37</v>
      </c>
      <c r="C41" s="117" t="s">
        <v>38</v>
      </c>
      <c r="D41" s="249">
        <v>167165.93000000002</v>
      </c>
      <c r="E41" s="165">
        <f>E26+E27+E40</f>
        <v>47681.709999999919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5264.1478999999999</v>
      </c>
      <c r="E47" s="166">
        <v>2259.9153000000001</v>
      </c>
      <c r="G47" s="77"/>
    </row>
    <row r="48" spans="2:10">
      <c r="B48" s="222" t="s">
        <v>6</v>
      </c>
      <c r="C48" s="223" t="s">
        <v>41</v>
      </c>
      <c r="D48" s="251">
        <v>2259.9153000000001</v>
      </c>
      <c r="E48" s="166">
        <v>591.07119999999998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66.92</v>
      </c>
      <c r="E50" s="166">
        <v>73.97</v>
      </c>
      <c r="G50" s="208"/>
    </row>
    <row r="51" spans="2:7">
      <c r="B51" s="220" t="s">
        <v>6</v>
      </c>
      <c r="C51" s="221" t="s">
        <v>220</v>
      </c>
      <c r="D51" s="253">
        <v>61.71</v>
      </c>
      <c r="E51" s="82">
        <v>73.97</v>
      </c>
      <c r="G51" s="208"/>
    </row>
    <row r="52" spans="2:7">
      <c r="B52" s="220" t="s">
        <v>8</v>
      </c>
      <c r="C52" s="221" t="s">
        <v>221</v>
      </c>
      <c r="D52" s="253">
        <v>73.97</v>
      </c>
      <c r="E52" s="82">
        <v>83.48</v>
      </c>
    </row>
    <row r="53" spans="2:7" ht="13.5" customHeight="1" thickBot="1">
      <c r="B53" s="224" t="s">
        <v>9</v>
      </c>
      <c r="C53" s="225" t="s">
        <v>41</v>
      </c>
      <c r="D53" s="254">
        <v>73.97</v>
      </c>
      <c r="E53" s="167">
        <v>80.67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47681.71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47681.71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47681.71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47681.71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1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134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1237959.07</v>
      </c>
      <c r="E11" s="9">
        <f>E12</f>
        <v>466219.31</v>
      </c>
    </row>
    <row r="12" spans="2:12">
      <c r="B12" s="209" t="s">
        <v>4</v>
      </c>
      <c r="C12" s="210" t="s">
        <v>5</v>
      </c>
      <c r="D12" s="297">
        <v>1237959.07</v>
      </c>
      <c r="E12" s="95">
        <v>466219.31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1237959.07</v>
      </c>
      <c r="E21" s="165">
        <f>E11</f>
        <v>466219.31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2735963.11</v>
      </c>
      <c r="E26" s="112">
        <f>D21</f>
        <v>1237959.07</v>
      </c>
      <c r="G26" s="81"/>
    </row>
    <row r="27" spans="2:11">
      <c r="B27" s="10" t="s">
        <v>17</v>
      </c>
      <c r="C27" s="11" t="s">
        <v>217</v>
      </c>
      <c r="D27" s="245">
        <v>-1494899.79</v>
      </c>
      <c r="E27" s="269">
        <f>E28-E32</f>
        <v>-808719.61999999988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322949.40999999997</v>
      </c>
      <c r="E28" s="284">
        <f>SUM(E29:E31)</f>
        <v>195123.82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14700</v>
      </c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308249.40999999997</v>
      </c>
      <c r="E31" s="286">
        <v>195123.82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1817849.2</v>
      </c>
      <c r="E32" s="284">
        <f>SUM(E33:E39)</f>
        <v>1003843.44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1293881.92</v>
      </c>
      <c r="E33" s="286">
        <v>670188.93999999994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1535</v>
      </c>
      <c r="E35" s="286">
        <v>141.91999999999999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27862.73</v>
      </c>
      <c r="E37" s="286">
        <v>13286.59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494569.55</v>
      </c>
      <c r="E39" s="288">
        <v>320225.99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-3104.25</v>
      </c>
      <c r="E40" s="115">
        <v>36979.86</v>
      </c>
      <c r="G40" s="81"/>
    </row>
    <row r="41" spans="2:10" ht="13.5" thickBot="1">
      <c r="B41" s="116" t="s">
        <v>37</v>
      </c>
      <c r="C41" s="117" t="s">
        <v>38</v>
      </c>
      <c r="D41" s="249">
        <v>1237959.0699999998</v>
      </c>
      <c r="E41" s="165">
        <f>E26+E27+E40</f>
        <v>466219.31000000017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14935.111699999999</v>
      </c>
      <c r="E47" s="80">
        <v>6334.5396000000001</v>
      </c>
      <c r="G47" s="77"/>
    </row>
    <row r="48" spans="2:10">
      <c r="B48" s="222" t="s">
        <v>6</v>
      </c>
      <c r="C48" s="223" t="s">
        <v>41</v>
      </c>
      <c r="D48" s="251">
        <v>6334.5396000000001</v>
      </c>
      <c r="E48" s="166">
        <v>2285.5007999999998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183.19</v>
      </c>
      <c r="E50" s="82">
        <v>195.43</v>
      </c>
      <c r="G50" s="208"/>
    </row>
    <row r="51" spans="2:7">
      <c r="B51" s="220" t="s">
        <v>6</v>
      </c>
      <c r="C51" s="221" t="s">
        <v>220</v>
      </c>
      <c r="D51" s="253">
        <v>154.55000000000001</v>
      </c>
      <c r="E51" s="82">
        <v>193.57</v>
      </c>
      <c r="G51" s="208"/>
    </row>
    <row r="52" spans="2:7">
      <c r="B52" s="220" t="s">
        <v>8</v>
      </c>
      <c r="C52" s="221" t="s">
        <v>221</v>
      </c>
      <c r="D52" s="253">
        <v>197.79</v>
      </c>
      <c r="E52" s="82">
        <v>205.18</v>
      </c>
    </row>
    <row r="53" spans="2:7" ht="14.25" customHeight="1" thickBot="1">
      <c r="B53" s="224" t="s">
        <v>9</v>
      </c>
      <c r="C53" s="225" t="s">
        <v>41</v>
      </c>
      <c r="D53" s="254">
        <v>195.43</v>
      </c>
      <c r="E53" s="167">
        <v>203.99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466219.31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466219.31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466219.31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466219.31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2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14.25">
      <c r="B5" s="333" t="s">
        <v>1</v>
      </c>
      <c r="C5" s="333"/>
      <c r="D5" s="333"/>
      <c r="E5" s="333"/>
    </row>
    <row r="6" spans="2:12" ht="14.25">
      <c r="B6" s="334" t="s">
        <v>240</v>
      </c>
      <c r="C6" s="334"/>
      <c r="D6" s="334"/>
      <c r="E6" s="334"/>
    </row>
    <row r="7" spans="2:12" ht="14.25">
      <c r="B7" s="173"/>
      <c r="C7" s="173"/>
      <c r="D7" s="173"/>
      <c r="E7" s="17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74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49309.93</v>
      </c>
      <c r="E11" s="9">
        <f>E12</f>
        <v>37263.589999999997</v>
      </c>
    </row>
    <row r="12" spans="2:12">
      <c r="B12" s="209" t="s">
        <v>4</v>
      </c>
      <c r="C12" s="210" t="s">
        <v>5</v>
      </c>
      <c r="D12" s="297">
        <v>49309.93</v>
      </c>
      <c r="E12" s="95">
        <v>37263.589999999997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49309.93</v>
      </c>
      <c r="E21" s="165">
        <f>E11</f>
        <v>37263.589999999997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 t="s">
        <v>246</v>
      </c>
      <c r="E26" s="112">
        <f>D21</f>
        <v>49309.93</v>
      </c>
      <c r="G26" s="81"/>
    </row>
    <row r="27" spans="2:11">
      <c r="B27" s="10" t="s">
        <v>17</v>
      </c>
      <c r="C27" s="11" t="s">
        <v>217</v>
      </c>
      <c r="D27" s="245">
        <v>50581.070000000007</v>
      </c>
      <c r="E27" s="269">
        <f>E28-E32</f>
        <v>-13374.619999999999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58241.41</v>
      </c>
      <c r="E28" s="284">
        <f>SUM(E29:E31)</f>
        <v>2104.5500000000002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58241.41</v>
      </c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>
        <v>2104.5500000000002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7660.34</v>
      </c>
      <c r="E32" s="284">
        <f>SUM(E33:E39)</f>
        <v>15479.17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>
        <v>14508.54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168.2</v>
      </c>
      <c r="E35" s="286">
        <v>296.48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374.59</v>
      </c>
      <c r="E37" s="286">
        <v>674.15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7117.55</v>
      </c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-1271.1400000000001</v>
      </c>
      <c r="E40" s="115">
        <v>1328.28</v>
      </c>
      <c r="G40" s="81"/>
    </row>
    <row r="41" spans="2:10" ht="13.5" thickBot="1">
      <c r="B41" s="116" t="s">
        <v>37</v>
      </c>
      <c r="C41" s="117" t="s">
        <v>38</v>
      </c>
      <c r="D41" s="249">
        <v>49309.930000000008</v>
      </c>
      <c r="E41" s="165">
        <f>E26+E27+E40</f>
        <v>37263.589999999997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/>
      <c r="E47" s="80">
        <v>314.096</v>
      </c>
      <c r="G47" s="77"/>
    </row>
    <row r="48" spans="2:10">
      <c r="B48" s="222" t="s">
        <v>6</v>
      </c>
      <c r="C48" s="223" t="s">
        <v>41</v>
      </c>
      <c r="D48" s="251">
        <v>314.096</v>
      </c>
      <c r="E48" s="166">
        <v>230.7629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/>
      <c r="E50" s="82">
        <v>156.99</v>
      </c>
      <c r="G50" s="208"/>
    </row>
    <row r="51" spans="2:7">
      <c r="B51" s="220" t="s">
        <v>6</v>
      </c>
      <c r="C51" s="221" t="s">
        <v>220</v>
      </c>
      <c r="D51" s="253">
        <v>156.13</v>
      </c>
      <c r="E51" s="82">
        <v>156.69</v>
      </c>
      <c r="G51" s="208"/>
    </row>
    <row r="52" spans="2:7">
      <c r="B52" s="220" t="s">
        <v>8</v>
      </c>
      <c r="C52" s="221" t="s">
        <v>221</v>
      </c>
      <c r="D52" s="253">
        <v>162.35</v>
      </c>
      <c r="E52" s="82">
        <v>162.75</v>
      </c>
    </row>
    <row r="53" spans="2:7" ht="13.5" thickBot="1">
      <c r="B53" s="224" t="s">
        <v>9</v>
      </c>
      <c r="C53" s="225" t="s">
        <v>41</v>
      </c>
      <c r="D53" s="254">
        <v>156.99</v>
      </c>
      <c r="E53" s="167">
        <v>161.47999999999999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37263.589999999997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37263.589999999997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37263.589999999997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37263.589999999997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3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14.25">
      <c r="B5" s="333" t="s">
        <v>1</v>
      </c>
      <c r="C5" s="333"/>
      <c r="D5" s="333"/>
      <c r="E5" s="333"/>
    </row>
    <row r="6" spans="2:12" ht="14.25">
      <c r="B6" s="334" t="s">
        <v>241</v>
      </c>
      <c r="C6" s="334"/>
      <c r="D6" s="334"/>
      <c r="E6" s="334"/>
    </row>
    <row r="7" spans="2:12" ht="14.25">
      <c r="B7" s="173"/>
      <c r="C7" s="173"/>
      <c r="D7" s="173"/>
      <c r="E7" s="17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74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42282.02</v>
      </c>
      <c r="E11" s="9">
        <f>E12</f>
        <v>0</v>
      </c>
    </row>
    <row r="12" spans="2:12">
      <c r="B12" s="209" t="s">
        <v>4</v>
      </c>
      <c r="C12" s="210" t="s">
        <v>5</v>
      </c>
      <c r="D12" s="297">
        <v>42282.02</v>
      </c>
      <c r="E12" s="95"/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42282.02</v>
      </c>
      <c r="E21" s="165">
        <f>E11</f>
        <v>0</v>
      </c>
      <c r="F21" s="86"/>
      <c r="G21" s="86"/>
      <c r="H21" s="188"/>
      <c r="J21" s="71"/>
      <c r="K21" s="71" t="e">
        <f>E21-E41</f>
        <v>#VALUE!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 t="s">
        <v>246</v>
      </c>
      <c r="E26" s="112">
        <f>D21</f>
        <v>42282.02</v>
      </c>
      <c r="G26" s="81"/>
    </row>
    <row r="27" spans="2:11">
      <c r="B27" s="10" t="s">
        <v>17</v>
      </c>
      <c r="C27" s="11" t="s">
        <v>217</v>
      </c>
      <c r="D27" s="245">
        <v>41748</v>
      </c>
      <c r="E27" s="269">
        <f>E28-E32</f>
        <v>-42430.729999999996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41748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41748</v>
      </c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0</v>
      </c>
      <c r="E32" s="284">
        <f>SUM(E33:E39)</f>
        <v>42430.729999999996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>
        <v>42385.71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/>
      <c r="E35" s="286">
        <v>45.02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/>
      <c r="E37" s="286"/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534.02</v>
      </c>
      <c r="E40" s="115">
        <v>148.71</v>
      </c>
      <c r="G40" s="81"/>
    </row>
    <row r="41" spans="2:10" ht="13.5" thickBot="1">
      <c r="B41" s="116" t="s">
        <v>37</v>
      </c>
      <c r="C41" s="117" t="s">
        <v>38</v>
      </c>
      <c r="D41" s="249">
        <v>42282.02</v>
      </c>
      <c r="E41" s="165" t="s">
        <v>246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/>
      <c r="E47" s="80">
        <v>675.97149999999999</v>
      </c>
      <c r="G47" s="77"/>
    </row>
    <row r="48" spans="2:10">
      <c r="B48" s="222" t="s">
        <v>6</v>
      </c>
      <c r="C48" s="223" t="s">
        <v>41</v>
      </c>
      <c r="D48" s="251">
        <v>675.97149999999999</v>
      </c>
      <c r="E48" s="166"/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/>
      <c r="E50" s="82">
        <v>62.55</v>
      </c>
      <c r="G50" s="208"/>
    </row>
    <row r="51" spans="2:7">
      <c r="B51" s="220" t="s">
        <v>6</v>
      </c>
      <c r="C51" s="221" t="s">
        <v>220</v>
      </c>
      <c r="D51" s="253">
        <v>61.51</v>
      </c>
      <c r="E51" s="82">
        <v>62.55</v>
      </c>
      <c r="G51" s="208"/>
    </row>
    <row r="52" spans="2:7">
      <c r="B52" s="220" t="s">
        <v>8</v>
      </c>
      <c r="C52" s="221" t="s">
        <v>221</v>
      </c>
      <c r="D52" s="253">
        <v>62.55</v>
      </c>
      <c r="E52" s="82">
        <v>63.98</v>
      </c>
    </row>
    <row r="53" spans="2:7" ht="13.5" thickBot="1">
      <c r="B53" s="224" t="s">
        <v>9</v>
      </c>
      <c r="C53" s="225" t="s">
        <v>41</v>
      </c>
      <c r="D53" s="254">
        <v>62.55</v>
      </c>
      <c r="E53" s="167"/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0</v>
      </c>
      <c r="E58" s="33">
        <v>0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0</v>
      </c>
      <c r="E64" s="91">
        <f>E58</f>
        <v>0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0</v>
      </c>
      <c r="E74" s="70">
        <f>E58+E72-E73</f>
        <v>0</v>
      </c>
    </row>
    <row r="75" spans="2:5">
      <c r="B75" s="119" t="s">
        <v>4</v>
      </c>
      <c r="C75" s="16" t="s">
        <v>67</v>
      </c>
      <c r="D75" s="88">
        <f>D74</f>
        <v>0</v>
      </c>
      <c r="E75" s="89">
        <f>E74</f>
        <v>0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4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160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211466.44</v>
      </c>
      <c r="E11" s="9">
        <f>E12</f>
        <v>94410.57</v>
      </c>
    </row>
    <row r="12" spans="2:12">
      <c r="B12" s="209" t="s">
        <v>4</v>
      </c>
      <c r="C12" s="210" t="s">
        <v>5</v>
      </c>
      <c r="D12" s="297">
        <v>211466.44</v>
      </c>
      <c r="E12" s="95">
        <f>94434.08-23.51</f>
        <v>94410.57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211466.44</v>
      </c>
      <c r="E21" s="165">
        <f>E11</f>
        <v>94410.57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223824.2</v>
      </c>
      <c r="E26" s="112">
        <f>D21</f>
        <v>211466.44</v>
      </c>
      <c r="G26" s="81"/>
    </row>
    <row r="27" spans="2:11">
      <c r="B27" s="10" t="s">
        <v>17</v>
      </c>
      <c r="C27" s="11" t="s">
        <v>217</v>
      </c>
      <c r="D27" s="245">
        <v>-29188.660000000007</v>
      </c>
      <c r="E27" s="269">
        <f>E28-E32</f>
        <v>-138023.85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28735.16</v>
      </c>
      <c r="E28" s="284">
        <f>SUM(E29:E31)</f>
        <v>9290.02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>
        <v>0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28735.16</v>
      </c>
      <c r="E31" s="286">
        <v>9290.02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57923.820000000007</v>
      </c>
      <c r="E32" s="284">
        <f>SUM(E33:E39)</f>
        <v>147313.87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20841.490000000002</v>
      </c>
      <c r="E33" s="286">
        <f>103134.48+23.53</f>
        <v>103158.01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468.95</v>
      </c>
      <c r="E35" s="286">
        <v>139.28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3977.01</v>
      </c>
      <c r="E37" s="286">
        <v>2812.48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32636.37</v>
      </c>
      <c r="E39" s="288">
        <v>41204.1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16830.900000000001</v>
      </c>
      <c r="E40" s="115">
        <v>20967.98</v>
      </c>
      <c r="G40" s="81"/>
    </row>
    <row r="41" spans="2:10" ht="13.5" thickBot="1">
      <c r="B41" s="116" t="s">
        <v>37</v>
      </c>
      <c r="C41" s="117" t="s">
        <v>38</v>
      </c>
      <c r="D41" s="249">
        <v>211466.44</v>
      </c>
      <c r="E41" s="165">
        <f>E26+E27+E40</f>
        <v>94410.569999999992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1386.6811</v>
      </c>
      <c r="E47" s="80">
        <v>1201.0362</v>
      </c>
      <c r="G47" s="77"/>
    </row>
    <row r="48" spans="2:10">
      <c r="B48" s="222" t="s">
        <v>6</v>
      </c>
      <c r="C48" s="223" t="s">
        <v>41</v>
      </c>
      <c r="D48" s="251">
        <v>1201.0362</v>
      </c>
      <c r="E48" s="166">
        <v>494.01166999999998</v>
      </c>
      <c r="G48" s="228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161.41</v>
      </c>
      <c r="E50" s="82">
        <v>176.07</v>
      </c>
      <c r="G50" s="208"/>
    </row>
    <row r="51" spans="2:7">
      <c r="B51" s="220" t="s">
        <v>6</v>
      </c>
      <c r="C51" s="221" t="s">
        <v>220</v>
      </c>
      <c r="D51" s="253">
        <v>146.72999999999999</v>
      </c>
      <c r="E51" s="82">
        <v>176.07</v>
      </c>
      <c r="G51" s="208"/>
    </row>
    <row r="52" spans="2:7">
      <c r="B52" s="220" t="s">
        <v>8</v>
      </c>
      <c r="C52" s="221" t="s">
        <v>221</v>
      </c>
      <c r="D52" s="253">
        <v>176.13</v>
      </c>
      <c r="E52" s="82">
        <v>202.18</v>
      </c>
    </row>
    <row r="53" spans="2:7" ht="14.25" customHeight="1" thickBot="1">
      <c r="B53" s="224" t="s">
        <v>9</v>
      </c>
      <c r="C53" s="225" t="s">
        <v>41</v>
      </c>
      <c r="D53" s="254">
        <v>176.07</v>
      </c>
      <c r="E53" s="167">
        <v>191.11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94410.57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94410.57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94410.57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94410.57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5">
    <pageSetUpPr fitToPage="1"/>
  </sheetPr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164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394498.52</v>
      </c>
      <c r="E11" s="9">
        <f>E12</f>
        <v>38896.86</v>
      </c>
    </row>
    <row r="12" spans="2:12">
      <c r="B12" s="209" t="s">
        <v>4</v>
      </c>
      <c r="C12" s="210" t="s">
        <v>5</v>
      </c>
      <c r="D12" s="297">
        <v>394498.52</v>
      </c>
      <c r="E12" s="95">
        <v>38896.86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394498.52</v>
      </c>
      <c r="E21" s="165">
        <f>E11</f>
        <v>38896.86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128959.62</v>
      </c>
      <c r="E26" s="112">
        <f>D21</f>
        <v>394498.52</v>
      </c>
      <c r="G26" s="81"/>
    </row>
    <row r="27" spans="2:11">
      <c r="B27" s="10" t="s">
        <v>17</v>
      </c>
      <c r="C27" s="11" t="s">
        <v>217</v>
      </c>
      <c r="D27" s="245">
        <v>235690.21999999997</v>
      </c>
      <c r="E27" s="269">
        <f>E28-E32</f>
        <v>-483229.79000000004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847515.61</v>
      </c>
      <c r="E28" s="284">
        <f>SUM(E29:E31)</f>
        <v>68645.86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847515.61</v>
      </c>
      <c r="E31" s="286">
        <v>68645.86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611825.39</v>
      </c>
      <c r="E32" s="284">
        <f>SUM(E33:E39)</f>
        <v>551875.65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3298.17</v>
      </c>
      <c r="E33" s="286">
        <v>65867.490000000005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869.17</v>
      </c>
      <c r="E35" s="286">
        <v>202.07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4626.01</v>
      </c>
      <c r="E37" s="286">
        <v>3618.11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603032.04</v>
      </c>
      <c r="E39" s="288">
        <v>482187.98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29848.68</v>
      </c>
      <c r="E40" s="115">
        <v>127628.13</v>
      </c>
      <c r="G40" s="81"/>
    </row>
    <row r="41" spans="2:10" ht="13.5" thickBot="1">
      <c r="B41" s="116" t="s">
        <v>37</v>
      </c>
      <c r="C41" s="117" t="s">
        <v>38</v>
      </c>
      <c r="D41" s="249">
        <v>394498.51999999996</v>
      </c>
      <c r="E41" s="165">
        <f>E26+E27+E40</f>
        <v>38896.859999999986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2441.4922000000001</v>
      </c>
      <c r="E47" s="80">
        <v>6918.5991000000004</v>
      </c>
      <c r="G47" s="77"/>
    </row>
    <row r="48" spans="2:10">
      <c r="B48" s="222" t="s">
        <v>6</v>
      </c>
      <c r="C48" s="223" t="s">
        <v>41</v>
      </c>
      <c r="D48" s="251">
        <v>6918.5991000000004</v>
      </c>
      <c r="E48" s="166">
        <v>443.42070000000001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52.82</v>
      </c>
      <c r="E50" s="82">
        <v>57.02</v>
      </c>
      <c r="G50" s="208"/>
    </row>
    <row r="51" spans="2:7">
      <c r="B51" s="220" t="s">
        <v>6</v>
      </c>
      <c r="C51" s="221" t="s">
        <v>220</v>
      </c>
      <c r="D51" s="253">
        <v>42.78</v>
      </c>
      <c r="E51" s="82">
        <v>57.02</v>
      </c>
      <c r="G51" s="208"/>
    </row>
    <row r="52" spans="2:7">
      <c r="B52" s="220" t="s">
        <v>8</v>
      </c>
      <c r="C52" s="221" t="s">
        <v>221</v>
      </c>
      <c r="D52" s="253">
        <v>60.08</v>
      </c>
      <c r="E52" s="82">
        <v>96.73</v>
      </c>
    </row>
    <row r="53" spans="2:7" ht="13.5" customHeight="1" thickBot="1">
      <c r="B53" s="224" t="s">
        <v>9</v>
      </c>
      <c r="C53" s="225" t="s">
        <v>41</v>
      </c>
      <c r="D53" s="254">
        <v>57.02</v>
      </c>
      <c r="E53" s="167">
        <v>87.72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38896.86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38896.86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38896.86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38896.86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6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163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940058.48</v>
      </c>
      <c r="E11" s="9">
        <f>E12</f>
        <v>475426.36</v>
      </c>
    </row>
    <row r="12" spans="2:12">
      <c r="B12" s="209" t="s">
        <v>4</v>
      </c>
      <c r="C12" s="210" t="s">
        <v>5</v>
      </c>
      <c r="D12" s="297">
        <v>940058.48</v>
      </c>
      <c r="E12" s="95">
        <f>475459.44-33.08</f>
        <v>475426.36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940058.48</v>
      </c>
      <c r="E21" s="165">
        <f>E11-E17</f>
        <v>475426.36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1299320.68</v>
      </c>
      <c r="E26" s="112">
        <f>D21</f>
        <v>940058.48</v>
      </c>
      <c r="G26" s="81"/>
    </row>
    <row r="27" spans="2:11">
      <c r="B27" s="10" t="s">
        <v>17</v>
      </c>
      <c r="C27" s="11" t="s">
        <v>217</v>
      </c>
      <c r="D27" s="245">
        <v>-389482.12</v>
      </c>
      <c r="E27" s="269">
        <f>E28-E32</f>
        <v>-484843.76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141012.07999999999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12249.99</v>
      </c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128762.09</v>
      </c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530494.19999999995</v>
      </c>
      <c r="E32" s="284">
        <f>SUM(E33:E39)</f>
        <v>484843.76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419181.68</v>
      </c>
      <c r="E33" s="286">
        <f>412852.06+0.77</f>
        <v>412852.83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755.1</v>
      </c>
      <c r="E35" s="286">
        <v>331.88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24575.759999999998</v>
      </c>
      <c r="E37" s="286">
        <v>16365.92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85981.66</v>
      </c>
      <c r="E39" s="288">
        <v>55293.13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30219.919999999998</v>
      </c>
      <c r="E40" s="115">
        <v>20211.64</v>
      </c>
      <c r="G40" s="81"/>
    </row>
    <row r="41" spans="2:10" ht="13.5" thickBot="1">
      <c r="B41" s="116" t="s">
        <v>37</v>
      </c>
      <c r="C41" s="117" t="s">
        <v>38</v>
      </c>
      <c r="D41" s="249">
        <v>940058.48</v>
      </c>
      <c r="E41" s="165">
        <f>E26+E27+E40</f>
        <v>475426.36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9312.1241000000009</v>
      </c>
      <c r="E47" s="80">
        <v>6578.8962000000001</v>
      </c>
      <c r="G47" s="77"/>
    </row>
    <row r="48" spans="2:10">
      <c r="B48" s="222" t="s">
        <v>6</v>
      </c>
      <c r="C48" s="223" t="s">
        <v>41</v>
      </c>
      <c r="D48" s="251">
        <v>6578.8962000000001</v>
      </c>
      <c r="E48" s="166">
        <v>3249.4454000000001</v>
      </c>
      <c r="G48" s="229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139.53</v>
      </c>
      <c r="E50" s="82">
        <v>142.88999999999999</v>
      </c>
      <c r="G50" s="208"/>
    </row>
    <row r="51" spans="2:7">
      <c r="B51" s="220" t="s">
        <v>6</v>
      </c>
      <c r="C51" s="221" t="s">
        <v>220</v>
      </c>
      <c r="D51" s="253">
        <v>139.53</v>
      </c>
      <c r="E51" s="82">
        <v>142.87</v>
      </c>
      <c r="G51" s="208"/>
    </row>
    <row r="52" spans="2:7">
      <c r="B52" s="220" t="s">
        <v>8</v>
      </c>
      <c r="C52" s="221" t="s">
        <v>221</v>
      </c>
      <c r="D52" s="253">
        <v>142.91999999999999</v>
      </c>
      <c r="E52" s="82">
        <v>146.31</v>
      </c>
    </row>
    <row r="53" spans="2:7" ht="13.5" customHeight="1" thickBot="1">
      <c r="B53" s="224" t="s">
        <v>9</v>
      </c>
      <c r="C53" s="225" t="s">
        <v>41</v>
      </c>
      <c r="D53" s="254">
        <v>142.88999999999999</v>
      </c>
      <c r="E53" s="167">
        <v>146.31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475426.36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E12</f>
        <v>475426.36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47" t="s">
        <v>64</v>
      </c>
      <c r="C74" s="138" t="s">
        <v>66</v>
      </c>
      <c r="D74" s="139">
        <f>D58-D73</f>
        <v>475426.36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475426.36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7">
    <pageSetUpPr fitToPage="1"/>
  </sheetPr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165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19603.189999999999</v>
      </c>
      <c r="E11" s="9">
        <f>E12</f>
        <v>11160.73</v>
      </c>
    </row>
    <row r="12" spans="2:12">
      <c r="B12" s="209" t="s">
        <v>4</v>
      </c>
      <c r="C12" s="210" t="s">
        <v>5</v>
      </c>
      <c r="D12" s="297">
        <v>19603.189999999999</v>
      </c>
      <c r="E12" s="95">
        <v>11160.73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19603.189999999999</v>
      </c>
      <c r="E21" s="165">
        <f>E11</f>
        <v>11160.73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1583.11</v>
      </c>
      <c r="E26" s="112">
        <f>D21</f>
        <v>19603.189999999999</v>
      </c>
      <c r="G26" s="81"/>
    </row>
    <row r="27" spans="2:11">
      <c r="B27" s="10" t="s">
        <v>17</v>
      </c>
      <c r="C27" s="11" t="s">
        <v>217</v>
      </c>
      <c r="D27" s="245">
        <v>14824.990000000002</v>
      </c>
      <c r="E27" s="269">
        <f>E28-E32</f>
        <v>-8310.14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18553.79</v>
      </c>
      <c r="E28" s="284">
        <f>SUM(E29:E31)</f>
        <v>39193.22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18553.79</v>
      </c>
      <c r="E31" s="286">
        <v>39193.22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3728.8</v>
      </c>
      <c r="E32" s="284">
        <f>SUM(E33:E39)</f>
        <v>47503.360000000001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/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51.82</v>
      </c>
      <c r="E35" s="286">
        <v>65.73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92.42</v>
      </c>
      <c r="E37" s="286">
        <v>476.39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3584.56</v>
      </c>
      <c r="E39" s="288">
        <v>46961.24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3195.09</v>
      </c>
      <c r="E40" s="115">
        <v>-132.32</v>
      </c>
      <c r="G40" s="81"/>
    </row>
    <row r="41" spans="2:10" ht="13.5" thickBot="1">
      <c r="B41" s="116" t="s">
        <v>37</v>
      </c>
      <c r="C41" s="117" t="s">
        <v>38</v>
      </c>
      <c r="D41" s="249">
        <v>19603.190000000002</v>
      </c>
      <c r="E41" s="165">
        <f>E26+E27+E40</f>
        <v>11160.73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29.214099999999998</v>
      </c>
      <c r="E47" s="80">
        <v>231.57929999999999</v>
      </c>
      <c r="G47" s="77"/>
    </row>
    <row r="48" spans="2:10">
      <c r="B48" s="222" t="s">
        <v>6</v>
      </c>
      <c r="C48" s="223" t="s">
        <v>41</v>
      </c>
      <c r="D48" s="251">
        <v>231.57929999999999</v>
      </c>
      <c r="E48" s="166">
        <v>129.83629999999999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54.19</v>
      </c>
      <c r="E50" s="82">
        <v>84.65</v>
      </c>
      <c r="G50" s="208"/>
    </row>
    <row r="51" spans="2:7">
      <c r="B51" s="220" t="s">
        <v>6</v>
      </c>
      <c r="C51" s="221" t="s">
        <v>220</v>
      </c>
      <c r="D51" s="253">
        <v>46.87</v>
      </c>
      <c r="E51" s="82">
        <v>76.13</v>
      </c>
      <c r="G51" s="208"/>
    </row>
    <row r="52" spans="2:7">
      <c r="B52" s="220" t="s">
        <v>8</v>
      </c>
      <c r="C52" s="221" t="s">
        <v>221</v>
      </c>
      <c r="D52" s="253">
        <v>84.88</v>
      </c>
      <c r="E52" s="82">
        <v>88.33</v>
      </c>
    </row>
    <row r="53" spans="2:7" ht="12.75" customHeight="1" thickBot="1">
      <c r="B53" s="224" t="s">
        <v>9</v>
      </c>
      <c r="C53" s="225" t="s">
        <v>41</v>
      </c>
      <c r="D53" s="254">
        <v>84.65</v>
      </c>
      <c r="E53" s="167">
        <v>85.96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11160.73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11160.73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11160.73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11160.73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99"/>
      <c r="C4" s="99"/>
      <c r="D4" s="99"/>
      <c r="E4" s="99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227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0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24311665.989999998</v>
      </c>
      <c r="E11" s="9">
        <f>E12+E13+E14</f>
        <v>22982849.350000001</v>
      </c>
    </row>
    <row r="12" spans="2:12">
      <c r="B12" s="123" t="s">
        <v>4</v>
      </c>
      <c r="C12" s="6" t="s">
        <v>5</v>
      </c>
      <c r="D12" s="297">
        <v>24300481.129999999</v>
      </c>
      <c r="E12" s="95">
        <f>22972269.85-2166.41</f>
        <v>22970103.440000001</v>
      </c>
    </row>
    <row r="13" spans="2:12">
      <c r="B13" s="123" t="s">
        <v>6</v>
      </c>
      <c r="C13" s="72" t="s">
        <v>7</v>
      </c>
      <c r="D13" s="297">
        <v>119.71</v>
      </c>
      <c r="E13" s="95"/>
    </row>
    <row r="14" spans="2:12">
      <c r="B14" s="123" t="s">
        <v>8</v>
      </c>
      <c r="C14" s="72" t="s">
        <v>10</v>
      </c>
      <c r="D14" s="297">
        <v>11065.15</v>
      </c>
      <c r="E14" s="95">
        <f>E15</f>
        <v>12745.91</v>
      </c>
    </row>
    <row r="15" spans="2:12">
      <c r="B15" s="123" t="s">
        <v>212</v>
      </c>
      <c r="C15" s="72" t="s">
        <v>11</v>
      </c>
      <c r="D15" s="297">
        <v>11065.15</v>
      </c>
      <c r="E15" s="95">
        <v>12745.91</v>
      </c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>
        <v>30883.22</v>
      </c>
      <c r="E17" s="107">
        <f>SUM(E18:E20)</f>
        <v>34633.86</v>
      </c>
    </row>
    <row r="18" spans="2:11">
      <c r="B18" s="123" t="s">
        <v>4</v>
      </c>
      <c r="C18" s="6" t="s">
        <v>11</v>
      </c>
      <c r="D18" s="297">
        <v>30883.22</v>
      </c>
      <c r="E18" s="96">
        <v>34633.86</v>
      </c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24280782.77</v>
      </c>
      <c r="E21" s="165">
        <f>E11-E17</f>
        <v>22948215.490000002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00"/>
      <c r="C25" s="5" t="s">
        <v>2</v>
      </c>
      <c r="D25" s="74" t="s">
        <v>245</v>
      </c>
      <c r="E25" s="30" t="s">
        <v>268</v>
      </c>
      <c r="G25" s="202"/>
    </row>
    <row r="26" spans="2:11">
      <c r="B26" s="110" t="s">
        <v>15</v>
      </c>
      <c r="C26" s="111" t="s">
        <v>16</v>
      </c>
      <c r="D26" s="244">
        <v>30696554.940000001</v>
      </c>
      <c r="E26" s="112">
        <f>D21</f>
        <v>24280782.77</v>
      </c>
      <c r="G26" s="81"/>
    </row>
    <row r="27" spans="2:11">
      <c r="B27" s="10" t="s">
        <v>17</v>
      </c>
      <c r="C27" s="11" t="s">
        <v>217</v>
      </c>
      <c r="D27" s="245">
        <v>-7786208.5200000042</v>
      </c>
      <c r="E27" s="269">
        <f>E28-E32</f>
        <v>-3732739.8599999994</v>
      </c>
      <c r="F27" s="77"/>
      <c r="G27" s="81"/>
      <c r="H27" s="77"/>
      <c r="I27" s="81"/>
      <c r="J27" s="81"/>
    </row>
    <row r="28" spans="2:11">
      <c r="B28" s="10" t="s">
        <v>18</v>
      </c>
      <c r="C28" s="11" t="s">
        <v>19</v>
      </c>
      <c r="D28" s="245">
        <v>2103301.5300000003</v>
      </c>
      <c r="E28" s="284">
        <f>SUM(E29:E31)</f>
        <v>2881228.34</v>
      </c>
      <c r="F28" s="77"/>
      <c r="G28" s="77"/>
      <c r="H28" s="77"/>
      <c r="I28" s="81"/>
      <c r="J28" s="81"/>
    </row>
    <row r="29" spans="2:11">
      <c r="B29" s="121" t="s">
        <v>4</v>
      </c>
      <c r="C29" s="6" t="s">
        <v>20</v>
      </c>
      <c r="D29" s="246">
        <v>1881007.9000000001</v>
      </c>
      <c r="E29" s="286">
        <v>1515013.91</v>
      </c>
      <c r="F29" s="77"/>
      <c r="G29" s="77"/>
      <c r="H29" s="77"/>
      <c r="I29" s="81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81"/>
      <c r="J30" s="81"/>
    </row>
    <row r="31" spans="2:11">
      <c r="B31" s="121" t="s">
        <v>8</v>
      </c>
      <c r="C31" s="6" t="s">
        <v>22</v>
      </c>
      <c r="D31" s="246">
        <v>222293.63</v>
      </c>
      <c r="E31" s="286">
        <v>1366214.43</v>
      </c>
      <c r="F31" s="77"/>
      <c r="G31" s="77"/>
      <c r="H31" s="77"/>
      <c r="I31" s="81"/>
      <c r="J31" s="81"/>
    </row>
    <row r="32" spans="2:11">
      <c r="B32" s="106" t="s">
        <v>23</v>
      </c>
      <c r="C32" s="12" t="s">
        <v>24</v>
      </c>
      <c r="D32" s="245">
        <v>9889510.0500000045</v>
      </c>
      <c r="E32" s="284">
        <f>SUM(E33:E39)</f>
        <v>6613968.1999999993</v>
      </c>
      <c r="F32" s="77"/>
      <c r="G32" s="81"/>
      <c r="H32" s="77"/>
      <c r="I32" s="81"/>
      <c r="J32" s="81"/>
    </row>
    <row r="33" spans="2:10">
      <c r="B33" s="121" t="s">
        <v>4</v>
      </c>
      <c r="C33" s="6" t="s">
        <v>25</v>
      </c>
      <c r="D33" s="246">
        <v>7274015.9500000002</v>
      </c>
      <c r="E33" s="286">
        <f>4320651.82+2115.79</f>
        <v>4322767.6100000003</v>
      </c>
      <c r="F33" s="77"/>
      <c r="G33" s="77"/>
      <c r="H33" s="77"/>
      <c r="I33" s="81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81"/>
      <c r="J34" s="81"/>
    </row>
    <row r="35" spans="2:10">
      <c r="B35" s="121" t="s">
        <v>8</v>
      </c>
      <c r="C35" s="6" t="s">
        <v>27</v>
      </c>
      <c r="D35" s="246">
        <v>201814.25</v>
      </c>
      <c r="E35" s="286">
        <v>130588.26999999999</v>
      </c>
      <c r="F35" s="77"/>
      <c r="G35" s="77"/>
      <c r="H35" s="77"/>
      <c r="I35" s="81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81"/>
      <c r="J36" s="81"/>
    </row>
    <row r="37" spans="2:10" ht="25.5">
      <c r="B37" s="121" t="s">
        <v>29</v>
      </c>
      <c r="C37" s="6" t="s">
        <v>30</v>
      </c>
      <c r="D37" s="246">
        <v>497692.26</v>
      </c>
      <c r="E37" s="286">
        <v>408385.06</v>
      </c>
      <c r="F37" s="77"/>
      <c r="G37" s="77"/>
      <c r="H37" s="77"/>
      <c r="I37" s="81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81"/>
      <c r="J38" s="81"/>
    </row>
    <row r="39" spans="2:10">
      <c r="B39" s="122" t="s">
        <v>33</v>
      </c>
      <c r="C39" s="13" t="s">
        <v>34</v>
      </c>
      <c r="D39" s="247">
        <v>1915987.590000004</v>
      </c>
      <c r="E39" s="288">
        <v>1752227.26</v>
      </c>
      <c r="F39" s="77"/>
      <c r="G39" s="77"/>
      <c r="H39" s="77"/>
      <c r="I39" s="81"/>
      <c r="J39" s="81"/>
    </row>
    <row r="40" spans="2:10" ht="13.5" thickBot="1">
      <c r="B40" s="113" t="s">
        <v>35</v>
      </c>
      <c r="C40" s="114" t="s">
        <v>36</v>
      </c>
      <c r="D40" s="248">
        <v>1370436.35</v>
      </c>
      <c r="E40" s="115">
        <v>2400172.58</v>
      </c>
      <c r="G40" s="81"/>
    </row>
    <row r="41" spans="2:10" ht="13.5" thickBot="1">
      <c r="B41" s="116" t="s">
        <v>37</v>
      </c>
      <c r="C41" s="117" t="s">
        <v>38</v>
      </c>
      <c r="D41" s="249">
        <v>24280782.77</v>
      </c>
      <c r="E41" s="165">
        <f>E26+E27+E40</f>
        <v>22948215.490000002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0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302">
        <v>237937.53390000001</v>
      </c>
      <c r="E47" s="80">
        <v>178612.20329999999</v>
      </c>
      <c r="G47" s="77"/>
    </row>
    <row r="48" spans="2:10">
      <c r="B48" s="140" t="s">
        <v>6</v>
      </c>
      <c r="C48" s="23" t="s">
        <v>41</v>
      </c>
      <c r="D48" s="302">
        <v>178612.20329999999</v>
      </c>
      <c r="E48" s="80">
        <v>152899.14616</v>
      </c>
      <c r="G48" s="231"/>
    </row>
    <row r="49" spans="2:7">
      <c r="B49" s="137" t="s">
        <v>23</v>
      </c>
      <c r="C49" s="141" t="s">
        <v>219</v>
      </c>
      <c r="D49" s="303"/>
      <c r="E49" s="142"/>
    </row>
    <row r="50" spans="2:7">
      <c r="B50" s="119" t="s">
        <v>4</v>
      </c>
      <c r="C50" s="16" t="s">
        <v>40</v>
      </c>
      <c r="D50" s="302">
        <v>129.01098215509401</v>
      </c>
      <c r="E50" s="80">
        <v>135.94134284689099</v>
      </c>
      <c r="G50" s="208"/>
    </row>
    <row r="51" spans="2:7">
      <c r="B51" s="119" t="s">
        <v>6</v>
      </c>
      <c r="C51" s="16" t="s">
        <v>220</v>
      </c>
      <c r="D51" s="302">
        <v>122.6147</v>
      </c>
      <c r="E51" s="80">
        <v>135.94130000000001</v>
      </c>
      <c r="G51" s="208"/>
    </row>
    <row r="52" spans="2:7" ht="12.75" customHeight="1">
      <c r="B52" s="119" t="s">
        <v>8</v>
      </c>
      <c r="C52" s="16" t="s">
        <v>221</v>
      </c>
      <c r="D52" s="302">
        <v>135.94130000000001</v>
      </c>
      <c r="E52" s="80">
        <v>150.30279999999999</v>
      </c>
    </row>
    <row r="53" spans="2:7" ht="13.5" thickBot="1">
      <c r="B53" s="120" t="s">
        <v>9</v>
      </c>
      <c r="C53" s="18" t="s">
        <v>41</v>
      </c>
      <c r="D53" s="254">
        <v>135.94134284689099</v>
      </c>
      <c r="E53" s="167">
        <v>150.08727037164601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D64+D69</f>
        <v>22970103.440000001</v>
      </c>
      <c r="E58" s="33">
        <f>D58/E21</f>
        <v>1.0009537974754306</v>
      </c>
    </row>
    <row r="59" spans="2:7" ht="25.5">
      <c r="B59" s="22" t="s">
        <v>4</v>
      </c>
      <c r="C59" s="23" t="s">
        <v>44</v>
      </c>
      <c r="D59" s="90">
        <v>0</v>
      </c>
      <c r="E59" s="91">
        <v>0</v>
      </c>
    </row>
    <row r="60" spans="2:7" ht="24" customHeight="1">
      <c r="B60" s="15" t="s">
        <v>6</v>
      </c>
      <c r="C60" s="16" t="s">
        <v>45</v>
      </c>
      <c r="D60" s="88">
        <v>0</v>
      </c>
      <c r="E60" s="89">
        <v>0</v>
      </c>
    </row>
    <row r="61" spans="2:7">
      <c r="B61" s="15" t="s">
        <v>8</v>
      </c>
      <c r="C61" s="16" t="s">
        <v>46</v>
      </c>
      <c r="D61" s="88">
        <v>0</v>
      </c>
      <c r="E61" s="89">
        <v>0</v>
      </c>
    </row>
    <row r="62" spans="2:7">
      <c r="B62" s="15" t="s">
        <v>9</v>
      </c>
      <c r="C62" s="16" t="s">
        <v>47</v>
      </c>
      <c r="D62" s="88">
        <v>0</v>
      </c>
      <c r="E62" s="89">
        <v>0</v>
      </c>
    </row>
    <row r="63" spans="2:7">
      <c r="B63" s="15" t="s">
        <v>29</v>
      </c>
      <c r="C63" s="16" t="s">
        <v>48</v>
      </c>
      <c r="D63" s="88">
        <v>0</v>
      </c>
      <c r="E63" s="89">
        <v>0</v>
      </c>
    </row>
    <row r="64" spans="2:7">
      <c r="B64" s="22" t="s">
        <v>31</v>
      </c>
      <c r="C64" s="23" t="s">
        <v>49</v>
      </c>
      <c r="D64" s="90">
        <f>22254237.51-2166.41</f>
        <v>22252071.100000001</v>
      </c>
      <c r="E64" s="91">
        <f>D64/E21</f>
        <v>0.96966455233508875</v>
      </c>
    </row>
    <row r="65" spans="2:5">
      <c r="B65" s="22" t="s">
        <v>33</v>
      </c>
      <c r="C65" s="23" t="s">
        <v>224</v>
      </c>
      <c r="D65" s="90">
        <v>0</v>
      </c>
      <c r="E65" s="91">
        <v>0</v>
      </c>
    </row>
    <row r="66" spans="2:5">
      <c r="B66" s="22" t="s">
        <v>50</v>
      </c>
      <c r="C66" s="23" t="s">
        <v>51</v>
      </c>
      <c r="D66" s="90">
        <v>0</v>
      </c>
      <c r="E66" s="91">
        <v>0</v>
      </c>
    </row>
    <row r="67" spans="2:5">
      <c r="B67" s="15" t="s">
        <v>52</v>
      </c>
      <c r="C67" s="16" t="s">
        <v>53</v>
      </c>
      <c r="D67" s="88">
        <v>0</v>
      </c>
      <c r="E67" s="89">
        <v>0</v>
      </c>
    </row>
    <row r="68" spans="2:5">
      <c r="B68" s="15" t="s">
        <v>54</v>
      </c>
      <c r="C68" s="16" t="s">
        <v>55</v>
      </c>
      <c r="D68" s="88">
        <v>0</v>
      </c>
      <c r="E68" s="89">
        <v>0</v>
      </c>
    </row>
    <row r="69" spans="2:5">
      <c r="B69" s="15" t="s">
        <v>56</v>
      </c>
      <c r="C69" s="16" t="s">
        <v>57</v>
      </c>
      <c r="D69" s="88">
        <v>718032.34</v>
      </c>
      <c r="E69" s="89">
        <f>D69/E21</f>
        <v>3.1289245140341843E-2</v>
      </c>
    </row>
    <row r="70" spans="2:5">
      <c r="B70" s="129" t="s">
        <v>58</v>
      </c>
      <c r="C70" s="130" t="s">
        <v>59</v>
      </c>
      <c r="D70" s="131">
        <v>0</v>
      </c>
      <c r="E70" s="132">
        <v>0</v>
      </c>
    </row>
    <row r="71" spans="2:5">
      <c r="B71" s="137" t="s">
        <v>23</v>
      </c>
      <c r="C71" s="138" t="s">
        <v>61</v>
      </c>
      <c r="D71" s="139">
        <f>E13</f>
        <v>0</v>
      </c>
      <c r="E71" s="70">
        <v>0</v>
      </c>
    </row>
    <row r="72" spans="2:5">
      <c r="B72" s="133" t="s">
        <v>60</v>
      </c>
      <c r="C72" s="134" t="s">
        <v>63</v>
      </c>
      <c r="D72" s="135">
        <f>E14</f>
        <v>12745.91</v>
      </c>
      <c r="E72" s="136">
        <f>D72/E21</f>
        <v>5.5542052956379998E-4</v>
      </c>
    </row>
    <row r="73" spans="2:5">
      <c r="B73" s="24" t="s">
        <v>62</v>
      </c>
      <c r="C73" s="25" t="s">
        <v>65</v>
      </c>
      <c r="D73" s="26">
        <f>E17</f>
        <v>34633.86</v>
      </c>
      <c r="E73" s="27">
        <f>D73/E21</f>
        <v>1.5092180049944266E-3</v>
      </c>
    </row>
    <row r="74" spans="2:5">
      <c r="B74" s="137" t="s">
        <v>64</v>
      </c>
      <c r="C74" s="138" t="s">
        <v>66</v>
      </c>
      <c r="D74" s="139">
        <f>D58+D71+D72-D73</f>
        <v>22948215.490000002</v>
      </c>
      <c r="E74" s="70">
        <f>E58+E72-E73</f>
        <v>0.99999999999999989</v>
      </c>
    </row>
    <row r="75" spans="2:5">
      <c r="B75" s="15" t="s">
        <v>4</v>
      </c>
      <c r="C75" s="16" t="s">
        <v>67</v>
      </c>
      <c r="D75" s="88">
        <f>D74</f>
        <v>22948215.490000002</v>
      </c>
      <c r="E75" s="89">
        <f>E74</f>
        <v>0.99999999999999989</v>
      </c>
    </row>
    <row r="76" spans="2:5">
      <c r="B76" s="15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7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8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166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30187.59</v>
      </c>
      <c r="E11" s="9">
        <f>E12</f>
        <v>20215.990000000002</v>
      </c>
    </row>
    <row r="12" spans="2:12">
      <c r="B12" s="209" t="s">
        <v>4</v>
      </c>
      <c r="C12" s="210" t="s">
        <v>5</v>
      </c>
      <c r="D12" s="297">
        <v>30187.59</v>
      </c>
      <c r="E12" s="95">
        <v>20215.990000000002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30187.59</v>
      </c>
      <c r="E21" s="165">
        <f>E11</f>
        <v>20215.990000000002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32492.65</v>
      </c>
      <c r="E26" s="112">
        <f>D21</f>
        <v>30187.59</v>
      </c>
      <c r="G26" s="81"/>
    </row>
    <row r="27" spans="2:11">
      <c r="B27" s="10" t="s">
        <v>17</v>
      </c>
      <c r="C27" s="11" t="s">
        <v>217</v>
      </c>
      <c r="D27" s="245">
        <v>-3526.0600000000013</v>
      </c>
      <c r="E27" s="269">
        <f>E28-E32</f>
        <v>-11465.400000000001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5831.84</v>
      </c>
      <c r="E28" s="284">
        <f>SUM(E29:E31)</f>
        <v>500.07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5831.84</v>
      </c>
      <c r="E31" s="286">
        <v>500.07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9357.9000000000015</v>
      </c>
      <c r="E32" s="284">
        <f>SUM(E33:E39)</f>
        <v>11965.470000000001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2859.62</v>
      </c>
      <c r="E33" s="286">
        <v>11341.2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26.05</v>
      </c>
      <c r="E35" s="286">
        <v>11.74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597.09</v>
      </c>
      <c r="E37" s="286">
        <v>612.53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5875.14</v>
      </c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1221</v>
      </c>
      <c r="E40" s="115">
        <v>1493.8</v>
      </c>
      <c r="G40" s="81"/>
    </row>
    <row r="41" spans="2:10" ht="13.5" thickBot="1">
      <c r="B41" s="116" t="s">
        <v>37</v>
      </c>
      <c r="C41" s="117" t="s">
        <v>38</v>
      </c>
      <c r="D41" s="249">
        <v>30187.59</v>
      </c>
      <c r="E41" s="165">
        <f>E26+E27+E40</f>
        <v>20215.989999999998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223.16380000000001</v>
      </c>
      <c r="E47" s="80">
        <v>200.11660000000001</v>
      </c>
      <c r="G47" s="77"/>
    </row>
    <row r="48" spans="2:10">
      <c r="B48" s="222" t="s">
        <v>6</v>
      </c>
      <c r="C48" s="223" t="s">
        <v>41</v>
      </c>
      <c r="D48" s="251">
        <v>200.11660000000001</v>
      </c>
      <c r="E48" s="166">
        <v>127.1846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145.6</v>
      </c>
      <c r="E50" s="82">
        <v>150.85</v>
      </c>
      <c r="G50" s="208"/>
    </row>
    <row r="51" spans="2:7">
      <c r="B51" s="220" t="s">
        <v>6</v>
      </c>
      <c r="C51" s="221" t="s">
        <v>220</v>
      </c>
      <c r="D51" s="253">
        <v>139.22</v>
      </c>
      <c r="E51" s="82">
        <v>150.85</v>
      </c>
      <c r="G51" s="208"/>
    </row>
    <row r="52" spans="2:7">
      <c r="B52" s="220" t="s">
        <v>8</v>
      </c>
      <c r="C52" s="221" t="s">
        <v>221</v>
      </c>
      <c r="D52" s="253">
        <v>150.85</v>
      </c>
      <c r="E52" s="82">
        <v>162.72</v>
      </c>
    </row>
    <row r="53" spans="2:7" ht="13.5" customHeight="1" thickBot="1">
      <c r="B53" s="224" t="s">
        <v>9</v>
      </c>
      <c r="C53" s="225" t="s">
        <v>41</v>
      </c>
      <c r="D53" s="254">
        <v>150.85</v>
      </c>
      <c r="E53" s="167">
        <v>158.94999999999999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20215.990000000002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20215.990000000002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20215.990000000002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20215.990000000002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9"/>
  <dimension ref="A1:L81"/>
  <sheetViews>
    <sheetView topLeftCell="A31"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161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3404.69</v>
      </c>
      <c r="E11" s="9">
        <f>E12</f>
        <v>33298.449999999997</v>
      </c>
    </row>
    <row r="12" spans="2:12">
      <c r="B12" s="209" t="s">
        <v>4</v>
      </c>
      <c r="C12" s="210" t="s">
        <v>5</v>
      </c>
      <c r="D12" s="297">
        <v>3404.69</v>
      </c>
      <c r="E12" s="95">
        <v>33298.449999999997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3404.69</v>
      </c>
      <c r="E21" s="165">
        <f>E11</f>
        <v>33298.449999999997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 t="s">
        <v>246</v>
      </c>
      <c r="E26" s="112">
        <f>D21</f>
        <v>3404.69</v>
      </c>
      <c r="G26" s="81"/>
    </row>
    <row r="27" spans="2:11">
      <c r="B27" s="10" t="s">
        <v>17</v>
      </c>
      <c r="C27" s="11" t="s">
        <v>217</v>
      </c>
      <c r="D27" s="245">
        <v>7706.6900000000023</v>
      </c>
      <c r="E27" s="269">
        <f>E28-E32</f>
        <v>37319.47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45724.93</v>
      </c>
      <c r="E28" s="284">
        <f>SUM(E29:E31)</f>
        <v>52728.38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>
        <v>0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45724.93</v>
      </c>
      <c r="E31" s="286">
        <v>52728.38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38018.239999999998</v>
      </c>
      <c r="E32" s="284">
        <f>SUM(E33:E39)</f>
        <v>15408.909999999998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>
        <v>11700.96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19.45</v>
      </c>
      <c r="E35" s="286">
        <v>131.88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136.25</v>
      </c>
      <c r="E37" s="286">
        <v>573.30999999999995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37862.54</v>
      </c>
      <c r="E39" s="288">
        <v>3002.76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-4302</v>
      </c>
      <c r="E40" s="115">
        <v>-7425.71</v>
      </c>
      <c r="G40" s="81"/>
    </row>
    <row r="41" spans="2:10" ht="13.5" thickBot="1">
      <c r="B41" s="116" t="s">
        <v>37</v>
      </c>
      <c r="C41" s="117" t="s">
        <v>38</v>
      </c>
      <c r="D41" s="249">
        <v>3404.6900000000023</v>
      </c>
      <c r="E41" s="165">
        <f>E26+E27+E40</f>
        <v>33298.450000000004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/>
      <c r="E47" s="80">
        <v>39.502200000000002</v>
      </c>
      <c r="G47" s="77"/>
    </row>
    <row r="48" spans="2:10">
      <c r="B48" s="222" t="s">
        <v>6</v>
      </c>
      <c r="C48" s="223" t="s">
        <v>41</v>
      </c>
      <c r="D48" s="251">
        <v>39.502200000000002</v>
      </c>
      <c r="E48" s="166">
        <v>511.57549999999998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/>
      <c r="E50" s="82">
        <v>86.19</v>
      </c>
      <c r="G50" s="208"/>
    </row>
    <row r="51" spans="2:7">
      <c r="B51" s="220" t="s">
        <v>6</v>
      </c>
      <c r="C51" s="221" t="s">
        <v>220</v>
      </c>
      <c r="D51" s="253">
        <v>86.13</v>
      </c>
      <c r="E51" s="82">
        <v>62.29</v>
      </c>
      <c r="G51" s="208"/>
    </row>
    <row r="52" spans="2:7">
      <c r="B52" s="220" t="s">
        <v>8</v>
      </c>
      <c r="C52" s="221" t="s">
        <v>221</v>
      </c>
      <c r="D52" s="253">
        <v>107.07</v>
      </c>
      <c r="E52" s="82">
        <v>85.75</v>
      </c>
    </row>
    <row r="53" spans="2:7" ht="13.5" customHeight="1" thickBot="1">
      <c r="B53" s="224" t="s">
        <v>9</v>
      </c>
      <c r="C53" s="225" t="s">
        <v>41</v>
      </c>
      <c r="D53" s="254">
        <v>86.19</v>
      </c>
      <c r="E53" s="167">
        <v>65.09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33298.449999999997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33298.449999999997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33298.449999999997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33298.449999999997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0">
    <pageSetUpPr fitToPage="1"/>
  </sheetPr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162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351840.47</v>
      </c>
      <c r="E11" s="9">
        <f>E12</f>
        <v>311762.11</v>
      </c>
    </row>
    <row r="12" spans="2:12">
      <c r="B12" s="209" t="s">
        <v>4</v>
      </c>
      <c r="C12" s="210" t="s">
        <v>5</v>
      </c>
      <c r="D12" s="297">
        <v>351840.47</v>
      </c>
      <c r="E12" s="95">
        <v>311762.11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351840.47</v>
      </c>
      <c r="E21" s="165">
        <f>E11</f>
        <v>311762.11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481089.33</v>
      </c>
      <c r="E26" s="112">
        <f>D21</f>
        <v>351840.47</v>
      </c>
      <c r="G26" s="81"/>
    </row>
    <row r="27" spans="2:11">
      <c r="B27" s="10" t="s">
        <v>17</v>
      </c>
      <c r="C27" s="11" t="s">
        <v>217</v>
      </c>
      <c r="D27" s="245">
        <v>-152782.46999999997</v>
      </c>
      <c r="E27" s="269">
        <f>E28-E32</f>
        <v>-33418.710000000006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91808.77</v>
      </c>
      <c r="E28" s="284">
        <f>SUM(E29:E31)</f>
        <v>82462.990000000005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91808.77</v>
      </c>
      <c r="E31" s="286">
        <v>82462.990000000005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244591.24</v>
      </c>
      <c r="E32" s="284">
        <f>SUM(E33:E39)</f>
        <v>115881.70000000001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184716.24</v>
      </c>
      <c r="E33" s="286">
        <v>100886.72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655.09</v>
      </c>
      <c r="E35" s="286">
        <v>258.99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9318.2800000000007</v>
      </c>
      <c r="E37" s="286">
        <v>6902.3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49901.63</v>
      </c>
      <c r="E39" s="288">
        <v>7833.69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23533.61</v>
      </c>
      <c r="E40" s="115">
        <v>-6659.65</v>
      </c>
      <c r="G40" s="81"/>
    </row>
    <row r="41" spans="2:10" ht="13.5" thickBot="1">
      <c r="B41" s="116" t="s">
        <v>37</v>
      </c>
      <c r="C41" s="117" t="s">
        <v>38</v>
      </c>
      <c r="D41" s="249">
        <v>351840.47000000003</v>
      </c>
      <c r="E41" s="165">
        <f>E26+E27+E40</f>
        <v>311762.10999999993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4210.8474999999999</v>
      </c>
      <c r="E47" s="80">
        <v>2945.2575999999999</v>
      </c>
      <c r="G47" s="77"/>
    </row>
    <row r="48" spans="2:10">
      <c r="B48" s="222" t="s">
        <v>6</v>
      </c>
      <c r="C48" s="223" t="s">
        <v>41</v>
      </c>
      <c r="D48" s="251">
        <v>2945.2575999999999</v>
      </c>
      <c r="E48" s="166">
        <v>2668.5106999999998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114.25</v>
      </c>
      <c r="E50" s="82">
        <v>119.46</v>
      </c>
      <c r="G50" s="208"/>
    </row>
    <row r="51" spans="2:7">
      <c r="B51" s="220" t="s">
        <v>6</v>
      </c>
      <c r="C51" s="221" t="s">
        <v>220</v>
      </c>
      <c r="D51" s="253">
        <v>110.37</v>
      </c>
      <c r="E51" s="82">
        <v>114.41</v>
      </c>
      <c r="G51" s="208"/>
    </row>
    <row r="52" spans="2:7">
      <c r="B52" s="220" t="s">
        <v>8</v>
      </c>
      <c r="C52" s="221" t="s">
        <v>221</v>
      </c>
      <c r="D52" s="253">
        <v>119.46</v>
      </c>
      <c r="E52" s="82">
        <v>120.76</v>
      </c>
    </row>
    <row r="53" spans="2:7" ht="14.25" customHeight="1" thickBot="1">
      <c r="B53" s="224" t="s">
        <v>9</v>
      </c>
      <c r="C53" s="225" t="s">
        <v>41</v>
      </c>
      <c r="D53" s="254">
        <v>119.46</v>
      </c>
      <c r="E53" s="167">
        <v>116.83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311762.11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311762.11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311762.11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311762.11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1">
    <pageSetUpPr fitToPage="1"/>
  </sheetPr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167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 t="s">
        <v>246</v>
      </c>
      <c r="E11" s="9" t="s">
        <v>246</v>
      </c>
    </row>
    <row r="12" spans="2:12">
      <c r="B12" s="209" t="s">
        <v>4</v>
      </c>
      <c r="C12" s="210" t="s">
        <v>5</v>
      </c>
      <c r="D12" s="297" t="s">
        <v>246</v>
      </c>
      <c r="E12" s="95" t="s">
        <v>246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 t="str">
        <f>D11</f>
        <v>-</v>
      </c>
      <c r="E21" s="165" t="str">
        <f>E11</f>
        <v>-</v>
      </c>
      <c r="F21" s="86"/>
      <c r="G21" s="86"/>
      <c r="H21" s="188"/>
      <c r="J21" s="71"/>
      <c r="K21" s="71" t="e">
        <f>E21-E41</f>
        <v>#VALUE!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7843.34</v>
      </c>
      <c r="E26" s="112" t="str">
        <f>D21</f>
        <v>-</v>
      </c>
      <c r="G26" s="81"/>
    </row>
    <row r="27" spans="2:11">
      <c r="B27" s="10" t="s">
        <v>17</v>
      </c>
      <c r="C27" s="11" t="s">
        <v>217</v>
      </c>
      <c r="D27" s="245">
        <v>-7740.52</v>
      </c>
      <c r="E27" s="269">
        <f>E28-E32</f>
        <v>-173.69000000000051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0</v>
      </c>
      <c r="E28" s="284">
        <f>SUM(E29:E31)</f>
        <v>14106.83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>
        <v>14106.83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7740.52</v>
      </c>
      <c r="E32" s="284">
        <f>SUM(E33:E39)</f>
        <v>14280.52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/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6.58</v>
      </c>
      <c r="E35" s="286"/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37.69</v>
      </c>
      <c r="E37" s="286">
        <v>2.98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7696.25</v>
      </c>
      <c r="E39" s="288">
        <v>14277.54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-102.82</v>
      </c>
      <c r="E40" s="115">
        <v>173.69</v>
      </c>
      <c r="G40" s="81"/>
    </row>
    <row r="41" spans="2:10" ht="13.5" thickBot="1">
      <c r="B41" s="116" t="s">
        <v>37</v>
      </c>
      <c r="C41" s="117" t="s">
        <v>38</v>
      </c>
      <c r="D41" s="249" t="s">
        <v>246</v>
      </c>
      <c r="E41" s="165" t="s">
        <v>246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82.232500000000002</v>
      </c>
      <c r="E47" s="80"/>
      <c r="G47" s="77"/>
    </row>
    <row r="48" spans="2:10">
      <c r="B48" s="222" t="s">
        <v>6</v>
      </c>
      <c r="C48" s="223" t="s">
        <v>41</v>
      </c>
      <c r="D48" s="251"/>
      <c r="E48" s="166"/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95.38</v>
      </c>
      <c r="E50" s="82"/>
      <c r="G50" s="208"/>
    </row>
    <row r="51" spans="2:7">
      <c r="B51" s="220" t="s">
        <v>6</v>
      </c>
      <c r="C51" s="221" t="s">
        <v>220</v>
      </c>
      <c r="D51" s="253">
        <v>86.23</v>
      </c>
      <c r="E51" s="82">
        <v>82.57</v>
      </c>
      <c r="G51" s="208"/>
    </row>
    <row r="52" spans="2:7">
      <c r="B52" s="220" t="s">
        <v>8</v>
      </c>
      <c r="C52" s="221" t="s">
        <v>221</v>
      </c>
      <c r="D52" s="253">
        <v>111.71000000000001</v>
      </c>
      <c r="E52" s="82">
        <v>118.25</v>
      </c>
    </row>
    <row r="53" spans="2:7" ht="13.5" customHeight="1" thickBot="1">
      <c r="B53" s="224" t="s">
        <v>9</v>
      </c>
      <c r="C53" s="225" t="s">
        <v>41</v>
      </c>
      <c r="D53" s="254"/>
      <c r="E53" s="167"/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0</v>
      </c>
      <c r="E58" s="33">
        <v>0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v>0</v>
      </c>
      <c r="E64" s="91">
        <v>0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v>0</v>
      </c>
      <c r="E74" s="70">
        <f>E58+E72-E73</f>
        <v>0</v>
      </c>
    </row>
    <row r="75" spans="2:5">
      <c r="B75" s="119" t="s">
        <v>4</v>
      </c>
      <c r="C75" s="16" t="s">
        <v>67</v>
      </c>
      <c r="D75" s="88">
        <f>D74</f>
        <v>0</v>
      </c>
      <c r="E75" s="89">
        <f>E74</f>
        <v>0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2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151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952809.53</v>
      </c>
      <c r="E11" s="9">
        <f>E12</f>
        <v>701126.99</v>
      </c>
    </row>
    <row r="12" spans="2:12">
      <c r="B12" s="209" t="s">
        <v>4</v>
      </c>
      <c r="C12" s="210" t="s">
        <v>5</v>
      </c>
      <c r="D12" s="297">
        <v>952809.53</v>
      </c>
      <c r="E12" s="95">
        <v>701126.99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952809.53</v>
      </c>
      <c r="E21" s="165">
        <f>E11</f>
        <v>701126.99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3325607.39</v>
      </c>
      <c r="E26" s="112">
        <f>D21</f>
        <v>952809.53</v>
      </c>
      <c r="G26" s="81"/>
    </row>
    <row r="27" spans="2:11">
      <c r="B27" s="10" t="s">
        <v>17</v>
      </c>
      <c r="C27" s="11" t="s">
        <v>217</v>
      </c>
      <c r="D27" s="245">
        <v>-2346576.65</v>
      </c>
      <c r="E27" s="269">
        <f>E28-E32</f>
        <v>-320472.97000000003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0</v>
      </c>
      <c r="E28" s="284">
        <f>SUM(E29:E31)</f>
        <v>27544.68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>
        <v>27544.68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2346576.65</v>
      </c>
      <c r="E32" s="284">
        <f>SUM(E33:E39)</f>
        <v>348017.65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982874.65</v>
      </c>
      <c r="E33" s="286">
        <v>306016.28999999998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2714.68</v>
      </c>
      <c r="E35" s="286">
        <v>1151.4000000000001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31078.32</v>
      </c>
      <c r="E37" s="286">
        <v>13272.84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1329909</v>
      </c>
      <c r="E39" s="288">
        <v>27577.119999999999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-26221.21</v>
      </c>
      <c r="E40" s="115">
        <v>68790.429999999993</v>
      </c>
      <c r="G40" s="81"/>
    </row>
    <row r="41" spans="2:10" ht="13.5" thickBot="1">
      <c r="B41" s="116" t="s">
        <v>37</v>
      </c>
      <c r="C41" s="117" t="s">
        <v>38</v>
      </c>
      <c r="D41" s="249">
        <v>952809.53000000026</v>
      </c>
      <c r="E41" s="165">
        <f>E26+E27+E40</f>
        <v>701126.99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6580.67</v>
      </c>
      <c r="E47" s="80">
        <v>1871.18</v>
      </c>
      <c r="G47" s="77"/>
    </row>
    <row r="48" spans="2:10">
      <c r="B48" s="222" t="s">
        <v>6</v>
      </c>
      <c r="C48" s="223" t="s">
        <v>41</v>
      </c>
      <c r="D48" s="251">
        <v>1871.18</v>
      </c>
      <c r="E48" s="166">
        <v>1264.33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505.36</v>
      </c>
      <c r="E50" s="82">
        <v>509.20249999999999</v>
      </c>
      <c r="G50" s="208"/>
    </row>
    <row r="51" spans="2:7">
      <c r="B51" s="220" t="s">
        <v>6</v>
      </c>
      <c r="C51" s="221" t="s">
        <v>220</v>
      </c>
      <c r="D51" s="253">
        <v>478.91</v>
      </c>
      <c r="E51" s="82">
        <v>507.11759999999998</v>
      </c>
      <c r="G51" s="208"/>
    </row>
    <row r="52" spans="2:7">
      <c r="B52" s="220" t="s">
        <v>8</v>
      </c>
      <c r="C52" s="221" t="s">
        <v>221</v>
      </c>
      <c r="D52" s="253">
        <v>519.36689999999999</v>
      </c>
      <c r="E52" s="82">
        <v>560.69920000000002</v>
      </c>
    </row>
    <row r="53" spans="2:7" ht="12.75" customHeight="1" thickBot="1">
      <c r="B53" s="224" t="s">
        <v>9</v>
      </c>
      <c r="C53" s="225" t="s">
        <v>41</v>
      </c>
      <c r="D53" s="254">
        <v>509.20249999999999</v>
      </c>
      <c r="E53" s="167">
        <v>554.54430000000002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701126.99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701126.99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701126.99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701126.99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3"/>
  <dimension ref="A1:L81"/>
  <sheetViews>
    <sheetView topLeftCell="A5"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192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266"/>
      <c r="C10" s="328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51702.82</v>
      </c>
      <c r="E11" s="9">
        <f>E12</f>
        <v>73246.179999999993</v>
      </c>
    </row>
    <row r="12" spans="2:12">
      <c r="B12" s="209" t="s">
        <v>4</v>
      </c>
      <c r="C12" s="210" t="s">
        <v>5</v>
      </c>
      <c r="D12" s="297">
        <v>51702.82</v>
      </c>
      <c r="E12" s="95">
        <v>73246.179999999993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51702.82</v>
      </c>
      <c r="E21" s="165">
        <f>E11</f>
        <v>73246.179999999993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71474.740000000005</v>
      </c>
      <c r="E26" s="112">
        <f>D21</f>
        <v>51702.82</v>
      </c>
      <c r="G26" s="81"/>
    </row>
    <row r="27" spans="2:11">
      <c r="B27" s="10" t="s">
        <v>17</v>
      </c>
      <c r="C27" s="11" t="s">
        <v>217</v>
      </c>
      <c r="D27" s="245">
        <v>-21537.34</v>
      </c>
      <c r="E27" s="269">
        <f>E28-E32</f>
        <v>-4240.97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5521.73</v>
      </c>
      <c r="E28" s="284">
        <f>SUM(E29:E31)</f>
        <v>584.71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5521.73</v>
      </c>
      <c r="E31" s="286">
        <v>584.71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27059.07</v>
      </c>
      <c r="E32" s="284">
        <f>SUM(E33:E39)</f>
        <v>4825.68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25657.41</v>
      </c>
      <c r="E33" s="286">
        <v>3610.29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200.89</v>
      </c>
      <c r="E35" s="286">
        <v>211.5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834.73</v>
      </c>
      <c r="E37" s="286">
        <v>1003.89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366.04</v>
      </c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1765.42</v>
      </c>
      <c r="E40" s="115">
        <v>25784.33</v>
      </c>
      <c r="G40" s="81"/>
    </row>
    <row r="41" spans="2:10" ht="13.5" thickBot="1">
      <c r="B41" s="116" t="s">
        <v>37</v>
      </c>
      <c r="C41" s="117" t="s">
        <v>38</v>
      </c>
      <c r="D41" s="249">
        <v>51702.820000000007</v>
      </c>
      <c r="E41" s="165">
        <f>E26+E27+E40</f>
        <v>73246.179999999993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1726.86</v>
      </c>
      <c r="E47" s="80">
        <v>1189.7</v>
      </c>
      <c r="G47" s="77"/>
    </row>
    <row r="48" spans="2:10">
      <c r="B48" s="222" t="s">
        <v>6</v>
      </c>
      <c r="C48" s="223" t="s">
        <v>41</v>
      </c>
      <c r="D48" s="251">
        <v>1189.7</v>
      </c>
      <c r="E48" s="166">
        <v>1123.53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41.39</v>
      </c>
      <c r="E50" s="82">
        <v>43.4587</v>
      </c>
      <c r="G50" s="208"/>
    </row>
    <row r="51" spans="2:7">
      <c r="B51" s="220" t="s">
        <v>6</v>
      </c>
      <c r="C51" s="221" t="s">
        <v>220</v>
      </c>
      <c r="D51" s="253">
        <v>36.4</v>
      </c>
      <c r="E51" s="82">
        <v>43.4587</v>
      </c>
      <c r="G51" s="208"/>
    </row>
    <row r="52" spans="2:7">
      <c r="B52" s="220" t="s">
        <v>8</v>
      </c>
      <c r="C52" s="221" t="s">
        <v>221</v>
      </c>
      <c r="D52" s="253">
        <v>47.8521</v>
      </c>
      <c r="E52" s="82">
        <v>66.499899999999997</v>
      </c>
    </row>
    <row r="53" spans="2:7" ht="12.75" customHeight="1" thickBot="1">
      <c r="B53" s="224" t="s">
        <v>9</v>
      </c>
      <c r="C53" s="225" t="s">
        <v>41</v>
      </c>
      <c r="D53" s="254">
        <v>43.4587</v>
      </c>
      <c r="E53" s="167">
        <v>65.192899999999995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73246.179999999993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73246.179999999993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73246.179999999993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73246.179999999993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4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152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892872.42</v>
      </c>
      <c r="E11" s="9">
        <f>E12</f>
        <v>157878.49</v>
      </c>
    </row>
    <row r="12" spans="2:12">
      <c r="B12" s="209" t="s">
        <v>4</v>
      </c>
      <c r="C12" s="210" t="s">
        <v>5</v>
      </c>
      <c r="D12" s="297">
        <v>892872.42</v>
      </c>
      <c r="E12" s="95">
        <v>157878.49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892872.42</v>
      </c>
      <c r="E21" s="165">
        <f>E11</f>
        <v>157878.49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726583.1</v>
      </c>
      <c r="E26" s="112">
        <f>D21</f>
        <v>892872.42</v>
      </c>
      <c r="G26" s="81"/>
    </row>
    <row r="27" spans="2:11">
      <c r="B27" s="10" t="s">
        <v>17</v>
      </c>
      <c r="C27" s="11" t="s">
        <v>217</v>
      </c>
      <c r="D27" s="245">
        <v>114331.51</v>
      </c>
      <c r="E27" s="269">
        <f>E28-E32</f>
        <v>-783328.84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127521.76999999999</v>
      </c>
      <c r="E28" s="284">
        <f>SUM(E29:E31)</f>
        <v>27544.69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24999.87</v>
      </c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102521.9</v>
      </c>
      <c r="E31" s="286">
        <v>27544.69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13190.26</v>
      </c>
      <c r="E32" s="284">
        <f>SUM(E33:E39)</f>
        <v>810873.52999999991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>
        <v>796862.32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11.52</v>
      </c>
      <c r="E35" s="286">
        <v>26.09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13178.74</v>
      </c>
      <c r="E37" s="286">
        <v>13985.12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51957.81</v>
      </c>
      <c r="E40" s="115">
        <v>48334.91</v>
      </c>
      <c r="G40" s="81"/>
    </row>
    <row r="41" spans="2:10" ht="13.5" thickBot="1">
      <c r="B41" s="116" t="s">
        <v>37</v>
      </c>
      <c r="C41" s="117" t="s">
        <v>38</v>
      </c>
      <c r="D41" s="249">
        <v>892872.41999999993</v>
      </c>
      <c r="E41" s="165">
        <f>E26+E27+E40</f>
        <v>157878.49000000008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6892.27</v>
      </c>
      <c r="E47" s="80">
        <v>7877.92</v>
      </c>
      <c r="G47" s="77"/>
    </row>
    <row r="48" spans="2:10">
      <c r="B48" s="222" t="s">
        <v>6</v>
      </c>
      <c r="C48" s="223" t="s">
        <v>41</v>
      </c>
      <c r="D48" s="251">
        <v>7877.92</v>
      </c>
      <c r="E48" s="166">
        <v>1313.9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105.42</v>
      </c>
      <c r="E50" s="82">
        <v>113.3386</v>
      </c>
      <c r="G50" s="208"/>
    </row>
    <row r="51" spans="2:7">
      <c r="B51" s="220" t="s">
        <v>6</v>
      </c>
      <c r="C51" s="221" t="s">
        <v>220</v>
      </c>
      <c r="D51" s="253">
        <v>104.91</v>
      </c>
      <c r="E51" s="82">
        <v>113.2443</v>
      </c>
      <c r="G51" s="208"/>
    </row>
    <row r="52" spans="2:7">
      <c r="B52" s="220" t="s">
        <v>8</v>
      </c>
      <c r="C52" s="221" t="s">
        <v>221</v>
      </c>
      <c r="D52" s="253">
        <v>119.66240000000001</v>
      </c>
      <c r="E52" s="82">
        <v>122.74299999999999</v>
      </c>
    </row>
    <row r="53" spans="2:7" ht="13.5" customHeight="1" thickBot="1">
      <c r="B53" s="224" t="s">
        <v>9</v>
      </c>
      <c r="C53" s="225" t="s">
        <v>41</v>
      </c>
      <c r="D53" s="254">
        <v>113.3386</v>
      </c>
      <c r="E53" s="167">
        <v>120.1602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157878.49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157878.49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157878.49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157878.49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5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147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2625616.23</v>
      </c>
      <c r="E11" s="9">
        <f>E12</f>
        <v>1547000.98</v>
      </c>
    </row>
    <row r="12" spans="2:12">
      <c r="B12" s="209" t="s">
        <v>4</v>
      </c>
      <c r="C12" s="210" t="s">
        <v>5</v>
      </c>
      <c r="D12" s="297">
        <v>2625616.23</v>
      </c>
      <c r="E12" s="95">
        <v>1547000.98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2625616.23</v>
      </c>
      <c r="E21" s="165">
        <f>E11</f>
        <v>1547000.98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5099462.5599999996</v>
      </c>
      <c r="E26" s="112">
        <f>D21</f>
        <v>2625616.23</v>
      </c>
      <c r="G26" s="81"/>
    </row>
    <row r="27" spans="2:11">
      <c r="B27" s="10" t="s">
        <v>17</v>
      </c>
      <c r="C27" s="11" t="s">
        <v>217</v>
      </c>
      <c r="D27" s="245">
        <v>-2478556.73</v>
      </c>
      <c r="E27" s="269">
        <f>E28-E32</f>
        <v>-1462416.19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813142.52</v>
      </c>
      <c r="E28" s="284">
        <f>SUM(E29:E31)</f>
        <v>176679.13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130162.26</v>
      </c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682980.26</v>
      </c>
      <c r="E31" s="286">
        <v>176679.13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3291699.25</v>
      </c>
      <c r="E32" s="284">
        <f>SUM(E33:E39)</f>
        <v>1639095.32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2887393.51</v>
      </c>
      <c r="E33" s="286">
        <v>1402650.99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7678.15</v>
      </c>
      <c r="E35" s="286">
        <v>3721.79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66809.66</v>
      </c>
      <c r="E37" s="286">
        <v>37079.03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329817.93</v>
      </c>
      <c r="E39" s="288">
        <v>195643.51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4710.3999999999996</v>
      </c>
      <c r="E40" s="115">
        <v>383800.94</v>
      </c>
      <c r="G40" s="81"/>
    </row>
    <row r="41" spans="2:10" ht="13.5" thickBot="1">
      <c r="B41" s="116" t="s">
        <v>37</v>
      </c>
      <c r="C41" s="117" t="s">
        <v>38</v>
      </c>
      <c r="D41" s="249">
        <v>2625616.2299999995</v>
      </c>
      <c r="E41" s="165">
        <f>E26+E27+E40</f>
        <v>1547000.98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49989.83</v>
      </c>
      <c r="E47" s="80">
        <v>25200.15</v>
      </c>
      <c r="G47" s="77"/>
    </row>
    <row r="48" spans="2:10">
      <c r="B48" s="222" t="s">
        <v>6</v>
      </c>
      <c r="C48" s="223" t="s">
        <v>41</v>
      </c>
      <c r="D48" s="251">
        <v>25200.15</v>
      </c>
      <c r="E48" s="166">
        <v>12705.57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102.01</v>
      </c>
      <c r="E50" s="82">
        <v>104.1905</v>
      </c>
      <c r="G50" s="208"/>
    </row>
    <row r="51" spans="2:7">
      <c r="B51" s="220" t="s">
        <v>6</v>
      </c>
      <c r="C51" s="221" t="s">
        <v>220</v>
      </c>
      <c r="D51" s="253">
        <v>86.66</v>
      </c>
      <c r="E51" s="82">
        <v>104.1905</v>
      </c>
      <c r="G51" s="208"/>
    </row>
    <row r="52" spans="2:7">
      <c r="B52" s="220" t="s">
        <v>8</v>
      </c>
      <c r="C52" s="221" t="s">
        <v>221</v>
      </c>
      <c r="D52" s="253">
        <v>104.21680000000001</v>
      </c>
      <c r="E52" s="82">
        <v>124.9284</v>
      </c>
    </row>
    <row r="53" spans="2:7" ht="12.75" customHeight="1" thickBot="1">
      <c r="B53" s="224" t="s">
        <v>9</v>
      </c>
      <c r="C53" s="225" t="s">
        <v>41</v>
      </c>
      <c r="D53" s="254">
        <v>104.1905</v>
      </c>
      <c r="E53" s="167">
        <v>121.7577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1547000.98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1547000.98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1547000.98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1547000.98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6">
    <pageSetUpPr fitToPage="1"/>
  </sheetPr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21.140625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148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1357280.67</v>
      </c>
      <c r="E11" s="9">
        <f>E12</f>
        <v>1474348.99</v>
      </c>
    </row>
    <row r="12" spans="2:12">
      <c r="B12" s="209" t="s">
        <v>4</v>
      </c>
      <c r="C12" s="210" t="s">
        <v>5</v>
      </c>
      <c r="D12" s="297">
        <v>1357280.67</v>
      </c>
      <c r="E12" s="95">
        <f>1474377.91-28.92</f>
        <v>1474348.99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1357280.67</v>
      </c>
      <c r="E21" s="165">
        <f>E11</f>
        <v>1474348.99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1393164.03</v>
      </c>
      <c r="E26" s="112">
        <f>D21</f>
        <v>1357280.67</v>
      </c>
      <c r="G26" s="81"/>
    </row>
    <row r="27" spans="2:11">
      <c r="B27" s="10" t="s">
        <v>17</v>
      </c>
      <c r="C27" s="11" t="s">
        <v>217</v>
      </c>
      <c r="D27" s="245">
        <v>-281482.37</v>
      </c>
      <c r="E27" s="269">
        <f>E28-E32</f>
        <v>-196649.78000000006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830259.15</v>
      </c>
      <c r="E28" s="284">
        <f>SUM(E29:E31)</f>
        <v>124983.09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830259.15</v>
      </c>
      <c r="E31" s="286">
        <v>124983.09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1111741.52</v>
      </c>
      <c r="E32" s="284">
        <f>SUM(E33:E39)</f>
        <v>321632.87000000005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1007698.63</v>
      </c>
      <c r="E33" s="286">
        <f>291129.03+28.92</f>
        <v>291157.95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1251.77</v>
      </c>
      <c r="E35" s="286">
        <v>804.52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26819.62</v>
      </c>
      <c r="E37" s="286">
        <v>23042.84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75971.5</v>
      </c>
      <c r="E39" s="288">
        <v>6627.56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245599.01</v>
      </c>
      <c r="E40" s="115">
        <v>313718.09999999998</v>
      </c>
      <c r="G40" s="81"/>
    </row>
    <row r="41" spans="2:10" ht="13.5" thickBot="1">
      <c r="B41" s="116" t="s">
        <v>37</v>
      </c>
      <c r="C41" s="117" t="s">
        <v>38</v>
      </c>
      <c r="D41" s="249">
        <v>1357280.6700000002</v>
      </c>
      <c r="E41" s="165">
        <f>E26+E27+E40</f>
        <v>1474348.9899999998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4049.66</v>
      </c>
      <c r="E47" s="80">
        <v>3507.1</v>
      </c>
      <c r="G47" s="77"/>
    </row>
    <row r="48" spans="2:10">
      <c r="B48" s="222" t="s">
        <v>6</v>
      </c>
      <c r="C48" s="223" t="s">
        <v>41</v>
      </c>
      <c r="D48" s="251">
        <v>3507.1</v>
      </c>
      <c r="E48" s="166">
        <v>3059.04</v>
      </c>
      <c r="G48" s="1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344.02</v>
      </c>
      <c r="E50" s="82">
        <v>387.00940000000003</v>
      </c>
      <c r="G50" s="208"/>
    </row>
    <row r="51" spans="2:7">
      <c r="B51" s="220" t="s">
        <v>6</v>
      </c>
      <c r="C51" s="221" t="s">
        <v>220</v>
      </c>
      <c r="D51" s="253">
        <v>301.18</v>
      </c>
      <c r="E51" s="207">
        <v>387.00940000000003</v>
      </c>
      <c r="G51" s="208"/>
    </row>
    <row r="52" spans="2:7">
      <c r="B52" s="220" t="s">
        <v>8</v>
      </c>
      <c r="C52" s="221" t="s">
        <v>221</v>
      </c>
      <c r="D52" s="253">
        <v>391.98950000000002</v>
      </c>
      <c r="E52" s="207">
        <v>489.75209999999998</v>
      </c>
    </row>
    <row r="53" spans="2:7" ht="12.75" customHeight="1" thickBot="1">
      <c r="B53" s="224" t="s">
        <v>9</v>
      </c>
      <c r="C53" s="225" t="s">
        <v>41</v>
      </c>
      <c r="D53" s="254">
        <v>387.00940000000003</v>
      </c>
      <c r="E53" s="167">
        <v>481.96460000000002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1474348.99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1474348.99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1474348.99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1474348.99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7">
    <pageSetUpPr fitToPage="1"/>
  </sheetPr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149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1492826.51</v>
      </c>
      <c r="E11" s="9">
        <f>E12</f>
        <v>1142542.57</v>
      </c>
    </row>
    <row r="12" spans="2:12">
      <c r="B12" s="209" t="s">
        <v>4</v>
      </c>
      <c r="C12" s="210" t="s">
        <v>5</v>
      </c>
      <c r="D12" s="297">
        <v>1492826.51</v>
      </c>
      <c r="E12" s="95">
        <v>1142542.57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1492826.51</v>
      </c>
      <c r="E21" s="165">
        <f>E11</f>
        <v>1142542.57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2832538.48</v>
      </c>
      <c r="E26" s="112">
        <f>D21</f>
        <v>1492826.51</v>
      </c>
      <c r="G26" s="81"/>
    </row>
    <row r="27" spans="2:11">
      <c r="B27" s="10" t="s">
        <v>17</v>
      </c>
      <c r="C27" s="11" t="s">
        <v>217</v>
      </c>
      <c r="D27" s="245">
        <v>-1390998.88</v>
      </c>
      <c r="E27" s="269">
        <f>E28-E32</f>
        <v>-451593.47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2761.17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2761.17</v>
      </c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1393760.0499999998</v>
      </c>
      <c r="E32" s="284">
        <f>SUM(E33:E39)</f>
        <v>451593.47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352484.64</v>
      </c>
      <c r="E33" s="286">
        <v>430700.84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1853.62</v>
      </c>
      <c r="E35" s="286">
        <v>740.22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30885.72</v>
      </c>
      <c r="E37" s="286">
        <v>20152.41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1008536.07</v>
      </c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51286.91</v>
      </c>
      <c r="E40" s="115">
        <v>101309.53</v>
      </c>
      <c r="G40" s="81"/>
    </row>
    <row r="41" spans="2:10" ht="13.5" thickBot="1">
      <c r="B41" s="116" t="s">
        <v>37</v>
      </c>
      <c r="C41" s="117" t="s">
        <v>38</v>
      </c>
      <c r="D41" s="249">
        <v>1492826.51</v>
      </c>
      <c r="E41" s="165">
        <f>E26+E27+E40</f>
        <v>1142542.57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5198.9399999999996</v>
      </c>
      <c r="E47" s="80">
        <v>2621.25</v>
      </c>
      <c r="G47" s="77"/>
    </row>
    <row r="48" spans="2:10">
      <c r="B48" s="222" t="s">
        <v>6</v>
      </c>
      <c r="C48" s="223" t="s">
        <v>41</v>
      </c>
      <c r="D48" s="251">
        <v>2621.25</v>
      </c>
      <c r="E48" s="166">
        <v>1856.41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544.83000000000004</v>
      </c>
      <c r="E50" s="82">
        <v>569.50940000000003</v>
      </c>
      <c r="G50" s="208"/>
    </row>
    <row r="51" spans="2:7">
      <c r="B51" s="220" t="s">
        <v>6</v>
      </c>
      <c r="C51" s="221" t="s">
        <v>220</v>
      </c>
      <c r="D51" s="253">
        <v>507.7</v>
      </c>
      <c r="E51" s="82">
        <v>568.92539999999997</v>
      </c>
      <c r="G51" s="208"/>
    </row>
    <row r="52" spans="2:7">
      <c r="B52" s="220" t="s">
        <v>8</v>
      </c>
      <c r="C52" s="221" t="s">
        <v>221</v>
      </c>
      <c r="D52" s="253">
        <v>572.17169999999999</v>
      </c>
      <c r="E52" s="82">
        <v>615.45809999999994</v>
      </c>
    </row>
    <row r="53" spans="2:7" ht="13.5" customHeight="1" thickBot="1">
      <c r="B53" s="224" t="s">
        <v>9</v>
      </c>
      <c r="C53" s="225" t="s">
        <v>41</v>
      </c>
      <c r="D53" s="254">
        <v>569.50940000000003</v>
      </c>
      <c r="E53" s="167">
        <v>615.45809999999994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1142542.57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1142542.57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1142542.57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1142542.57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99"/>
      <c r="C4" s="99"/>
      <c r="D4" s="99"/>
      <c r="E4" s="99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228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0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15686212.550000001</v>
      </c>
      <c r="E11" s="9">
        <f>E12+E13+E14</f>
        <v>16141966.959999999</v>
      </c>
    </row>
    <row r="12" spans="2:12">
      <c r="B12" s="123" t="s">
        <v>4</v>
      </c>
      <c r="C12" s="6" t="s">
        <v>5</v>
      </c>
      <c r="D12" s="297">
        <v>15673234.500000002</v>
      </c>
      <c r="E12" s="95">
        <f>16130849.1-592.07</f>
        <v>16130257.029999999</v>
      </c>
    </row>
    <row r="13" spans="2:12">
      <c r="B13" s="123" t="s">
        <v>6</v>
      </c>
      <c r="C13" s="72" t="s">
        <v>7</v>
      </c>
      <c r="D13" s="297">
        <v>116.86</v>
      </c>
      <c r="E13" s="95">
        <v>13.86</v>
      </c>
    </row>
    <row r="14" spans="2:12">
      <c r="B14" s="123" t="s">
        <v>8</v>
      </c>
      <c r="C14" s="72" t="s">
        <v>10</v>
      </c>
      <c r="D14" s="297">
        <v>12861.19</v>
      </c>
      <c r="E14" s="95">
        <f>E15</f>
        <v>11696.07</v>
      </c>
    </row>
    <row r="15" spans="2:12">
      <c r="B15" s="123" t="s">
        <v>212</v>
      </c>
      <c r="C15" s="72" t="s">
        <v>11</v>
      </c>
      <c r="D15" s="297">
        <v>12861.19</v>
      </c>
      <c r="E15" s="95">
        <v>11696.07</v>
      </c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>
        <v>20721.32</v>
      </c>
      <c r="E17" s="107">
        <f>SUM(E18:E19)</f>
        <v>38009.22</v>
      </c>
    </row>
    <row r="18" spans="2:11">
      <c r="B18" s="123" t="s">
        <v>4</v>
      </c>
      <c r="C18" s="6" t="s">
        <v>11</v>
      </c>
      <c r="D18" s="297">
        <v>20721.32</v>
      </c>
      <c r="E18" s="96">
        <v>38009.22</v>
      </c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15665491.23</v>
      </c>
      <c r="E21" s="165">
        <f>E11-E17</f>
        <v>16103957.739999998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5.75">
      <c r="B23" s="336"/>
      <c r="C23" s="344"/>
      <c r="D23" s="344"/>
      <c r="E23" s="344"/>
      <c r="G23" s="77"/>
    </row>
    <row r="24" spans="2:11" ht="18" customHeight="1" thickBot="1">
      <c r="B24" s="335" t="s">
        <v>211</v>
      </c>
      <c r="C24" s="345"/>
      <c r="D24" s="345"/>
      <c r="E24" s="345"/>
    </row>
    <row r="25" spans="2:11" ht="13.5" thickBot="1">
      <c r="B25" s="100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16814852.739999998</v>
      </c>
      <c r="E26" s="112">
        <f>D21</f>
        <v>15665491.23</v>
      </c>
      <c r="G26" s="81"/>
    </row>
    <row r="27" spans="2:11">
      <c r="B27" s="10" t="s">
        <v>17</v>
      </c>
      <c r="C27" s="11" t="s">
        <v>217</v>
      </c>
      <c r="D27" s="245">
        <v>-2076897.1200000006</v>
      </c>
      <c r="E27" s="269">
        <f>E28-E32</f>
        <v>-1473496.88</v>
      </c>
      <c r="F27" s="77"/>
      <c r="G27" s="81"/>
      <c r="I27" s="81"/>
      <c r="J27" s="81"/>
    </row>
    <row r="28" spans="2:11">
      <c r="B28" s="10" t="s">
        <v>18</v>
      </c>
      <c r="C28" s="11" t="s">
        <v>19</v>
      </c>
      <c r="D28" s="245">
        <v>2086081.65</v>
      </c>
      <c r="E28" s="284">
        <f>SUM(E29:E31)</f>
        <v>3943074.7700000005</v>
      </c>
      <c r="F28" s="77"/>
      <c r="G28" s="81"/>
      <c r="H28" s="77"/>
      <c r="I28" s="81"/>
      <c r="J28" s="81"/>
    </row>
    <row r="29" spans="2:11">
      <c r="B29" s="121" t="s">
        <v>4</v>
      </c>
      <c r="C29" s="6" t="s">
        <v>20</v>
      </c>
      <c r="D29" s="246">
        <v>1824361.25</v>
      </c>
      <c r="E29" s="286">
        <v>1472213.11</v>
      </c>
      <c r="F29" s="77"/>
      <c r="G29" s="77"/>
      <c r="H29" s="77"/>
      <c r="I29" s="81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81"/>
      <c r="J30" s="81"/>
    </row>
    <row r="31" spans="2:11">
      <c r="B31" s="121" t="s">
        <v>8</v>
      </c>
      <c r="C31" s="6" t="s">
        <v>22</v>
      </c>
      <c r="D31" s="246">
        <v>261720.4</v>
      </c>
      <c r="E31" s="286">
        <v>2470861.66</v>
      </c>
      <c r="F31" s="77"/>
      <c r="G31" s="77"/>
      <c r="H31" s="77"/>
      <c r="I31" s="81"/>
      <c r="J31" s="81"/>
    </row>
    <row r="32" spans="2:11">
      <c r="B32" s="106" t="s">
        <v>23</v>
      </c>
      <c r="C32" s="12" t="s">
        <v>24</v>
      </c>
      <c r="D32" s="245">
        <v>4162978.7700000005</v>
      </c>
      <c r="E32" s="284">
        <f>SUM(E33:E39)</f>
        <v>5416571.6500000004</v>
      </c>
      <c r="F32" s="77"/>
      <c r="G32" s="77"/>
      <c r="H32" s="77"/>
      <c r="I32" s="81"/>
      <c r="J32" s="81"/>
    </row>
    <row r="33" spans="2:10">
      <c r="B33" s="121" t="s">
        <v>4</v>
      </c>
      <c r="C33" s="6" t="s">
        <v>25</v>
      </c>
      <c r="D33" s="246">
        <v>2595260.2400000002</v>
      </c>
      <c r="E33" s="286">
        <f>4181023.9+572.87</f>
        <v>4181596.77</v>
      </c>
      <c r="F33" s="77"/>
      <c r="G33" s="81"/>
      <c r="H33" s="77"/>
      <c r="I33" s="81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81"/>
      <c r="J34" s="81"/>
    </row>
    <row r="35" spans="2:10">
      <c r="B35" s="121" t="s">
        <v>8</v>
      </c>
      <c r="C35" s="6" t="s">
        <v>27</v>
      </c>
      <c r="D35" s="246">
        <v>187474.21</v>
      </c>
      <c r="E35" s="286">
        <v>132316.32</v>
      </c>
      <c r="F35" s="77"/>
      <c r="G35" s="77"/>
      <c r="H35" s="77"/>
      <c r="I35" s="81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81"/>
      <c r="J36" s="81"/>
    </row>
    <row r="37" spans="2:10" ht="25.5">
      <c r="B37" s="121" t="s">
        <v>29</v>
      </c>
      <c r="C37" s="6" t="s">
        <v>30</v>
      </c>
      <c r="D37" s="246">
        <v>273356.52</v>
      </c>
      <c r="E37" s="286">
        <v>285461.11</v>
      </c>
      <c r="F37" s="77"/>
      <c r="G37" s="77"/>
      <c r="H37" s="77"/>
      <c r="I37" s="81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81"/>
      <c r="J38" s="81"/>
    </row>
    <row r="39" spans="2:10">
      <c r="B39" s="122" t="s">
        <v>33</v>
      </c>
      <c r="C39" s="13" t="s">
        <v>34</v>
      </c>
      <c r="D39" s="247">
        <v>1106887.8</v>
      </c>
      <c r="E39" s="288">
        <v>817197.45</v>
      </c>
      <c r="F39" s="77"/>
      <c r="G39" s="77"/>
      <c r="H39" s="77"/>
      <c r="I39" s="81"/>
      <c r="J39" s="81"/>
    </row>
    <row r="40" spans="2:10" ht="13.5" thickBot="1">
      <c r="B40" s="113" t="s">
        <v>35</v>
      </c>
      <c r="C40" s="114" t="s">
        <v>36</v>
      </c>
      <c r="D40" s="248">
        <v>927535.6100000001</v>
      </c>
      <c r="E40" s="115">
        <v>1911963.39</v>
      </c>
      <c r="G40" s="81"/>
    </row>
    <row r="41" spans="2:10" ht="13.5" thickBot="1">
      <c r="B41" s="116" t="s">
        <v>37</v>
      </c>
      <c r="C41" s="117" t="s">
        <v>38</v>
      </c>
      <c r="D41" s="249">
        <v>15665491.229999997</v>
      </c>
      <c r="E41" s="165">
        <f>E26+E27+E40</f>
        <v>16103957.740000002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7.25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0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144253.4406</v>
      </c>
      <c r="E47" s="80">
        <v>126363.8998</v>
      </c>
      <c r="G47" s="77"/>
    </row>
    <row r="48" spans="2:10">
      <c r="B48" s="140" t="s">
        <v>6</v>
      </c>
      <c r="C48" s="23" t="s">
        <v>41</v>
      </c>
      <c r="D48" s="251">
        <v>126363.8998</v>
      </c>
      <c r="E48" s="80">
        <v>115705.8988</v>
      </c>
      <c r="G48" s="231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116.56465641347</v>
      </c>
      <c r="E50" s="80">
        <v>123.971254857177</v>
      </c>
      <c r="G50" s="208"/>
    </row>
    <row r="51" spans="2:7">
      <c r="B51" s="119" t="s">
        <v>6</v>
      </c>
      <c r="C51" s="16" t="s">
        <v>220</v>
      </c>
      <c r="D51" s="256">
        <v>106.96420000000001</v>
      </c>
      <c r="E51" s="207">
        <v>123.9713</v>
      </c>
      <c r="G51" s="208"/>
    </row>
    <row r="52" spans="2:7" ht="12.75" customHeight="1">
      <c r="B52" s="119" t="s">
        <v>8</v>
      </c>
      <c r="C52" s="16" t="s">
        <v>221</v>
      </c>
      <c r="D52" s="256">
        <v>123.9713</v>
      </c>
      <c r="E52" s="207">
        <v>141.7148</v>
      </c>
    </row>
    <row r="53" spans="2:7" ht="13.5" thickBot="1">
      <c r="B53" s="120" t="s">
        <v>9</v>
      </c>
      <c r="C53" s="18" t="s">
        <v>41</v>
      </c>
      <c r="D53" s="254">
        <v>123.971254857177</v>
      </c>
      <c r="E53" s="167">
        <v>139.180092846614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8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SUM(D59:D70)</f>
        <v>16130257.029999999</v>
      </c>
      <c r="E58" s="33">
        <f>D58/E21</f>
        <v>1.0016330948220684</v>
      </c>
    </row>
    <row r="59" spans="2:7" ht="25.5">
      <c r="B59" s="22" t="s">
        <v>4</v>
      </c>
      <c r="C59" s="23" t="s">
        <v>44</v>
      </c>
      <c r="D59" s="90">
        <v>0</v>
      </c>
      <c r="E59" s="91">
        <v>0</v>
      </c>
    </row>
    <row r="60" spans="2:7" ht="24" customHeight="1">
      <c r="B60" s="15" t="s">
        <v>6</v>
      </c>
      <c r="C60" s="16" t="s">
        <v>45</v>
      </c>
      <c r="D60" s="88">
        <v>0</v>
      </c>
      <c r="E60" s="89">
        <v>0</v>
      </c>
    </row>
    <row r="61" spans="2:7">
      <c r="B61" s="15" t="s">
        <v>8</v>
      </c>
      <c r="C61" s="16" t="s">
        <v>46</v>
      </c>
      <c r="D61" s="88">
        <v>0</v>
      </c>
      <c r="E61" s="89">
        <v>0</v>
      </c>
    </row>
    <row r="62" spans="2:7">
      <c r="B62" s="15" t="s">
        <v>9</v>
      </c>
      <c r="C62" s="16" t="s">
        <v>47</v>
      </c>
      <c r="D62" s="88">
        <v>0</v>
      </c>
      <c r="E62" s="89">
        <v>0</v>
      </c>
    </row>
    <row r="63" spans="2:7">
      <c r="B63" s="15" t="s">
        <v>29</v>
      </c>
      <c r="C63" s="16" t="s">
        <v>48</v>
      </c>
      <c r="D63" s="88">
        <v>0</v>
      </c>
      <c r="E63" s="89">
        <v>0</v>
      </c>
    </row>
    <row r="64" spans="2:7">
      <c r="B64" s="22" t="s">
        <v>31</v>
      </c>
      <c r="C64" s="23" t="s">
        <v>49</v>
      </c>
      <c r="D64" s="90">
        <f>15817238.31-592.07</f>
        <v>15816646.24</v>
      </c>
      <c r="E64" s="91">
        <f>D64/E21</f>
        <v>0.98215895094617911</v>
      </c>
    </row>
    <row r="65" spans="2:5">
      <c r="B65" s="22" t="s">
        <v>33</v>
      </c>
      <c r="C65" s="23" t="s">
        <v>224</v>
      </c>
      <c r="D65" s="90">
        <v>0</v>
      </c>
      <c r="E65" s="91">
        <v>0</v>
      </c>
    </row>
    <row r="66" spans="2:5">
      <c r="B66" s="22" t="s">
        <v>50</v>
      </c>
      <c r="C66" s="23" t="s">
        <v>51</v>
      </c>
      <c r="D66" s="90">
        <v>0</v>
      </c>
      <c r="E66" s="91">
        <v>0</v>
      </c>
    </row>
    <row r="67" spans="2:5">
      <c r="B67" s="15" t="s">
        <v>52</v>
      </c>
      <c r="C67" s="16" t="s">
        <v>53</v>
      </c>
      <c r="D67" s="88">
        <v>0</v>
      </c>
      <c r="E67" s="89">
        <v>0</v>
      </c>
    </row>
    <row r="68" spans="2:5">
      <c r="B68" s="15" t="s">
        <v>54</v>
      </c>
      <c r="C68" s="16" t="s">
        <v>55</v>
      </c>
      <c r="D68" s="88">
        <v>0</v>
      </c>
      <c r="E68" s="89">
        <v>0</v>
      </c>
    </row>
    <row r="69" spans="2:5">
      <c r="B69" s="15" t="s">
        <v>56</v>
      </c>
      <c r="C69" s="16" t="s">
        <v>57</v>
      </c>
      <c r="D69" s="88">
        <v>313610.78999999998</v>
      </c>
      <c r="E69" s="89">
        <f>D69/E21</f>
        <v>1.9474143875889232E-2</v>
      </c>
    </row>
    <row r="70" spans="2:5">
      <c r="B70" s="129" t="s">
        <v>58</v>
      </c>
      <c r="C70" s="130" t="s">
        <v>59</v>
      </c>
      <c r="D70" s="131">
        <v>0</v>
      </c>
      <c r="E70" s="132">
        <v>0</v>
      </c>
    </row>
    <row r="71" spans="2:5">
      <c r="B71" s="137" t="s">
        <v>23</v>
      </c>
      <c r="C71" s="138" t="s">
        <v>61</v>
      </c>
      <c r="D71" s="139">
        <f>E13</f>
        <v>13.86</v>
      </c>
      <c r="E71" s="70">
        <f>D71/E21</f>
        <v>8.6065799623738963E-7</v>
      </c>
    </row>
    <row r="72" spans="2:5">
      <c r="B72" s="133" t="s">
        <v>60</v>
      </c>
      <c r="C72" s="134" t="s">
        <v>63</v>
      </c>
      <c r="D72" s="135">
        <f>E14</f>
        <v>11696.07</v>
      </c>
      <c r="E72" s="136">
        <f>D72/E21</f>
        <v>7.2628543795470746E-4</v>
      </c>
    </row>
    <row r="73" spans="2:5">
      <c r="B73" s="24" t="s">
        <v>62</v>
      </c>
      <c r="C73" s="25" t="s">
        <v>65</v>
      </c>
      <c r="D73" s="26">
        <f>E17</f>
        <v>38009.22</v>
      </c>
      <c r="E73" s="27">
        <f>D73/E21</f>
        <v>2.3602409180192001E-3</v>
      </c>
    </row>
    <row r="74" spans="2:5">
      <c r="B74" s="137" t="s">
        <v>64</v>
      </c>
      <c r="C74" s="138" t="s">
        <v>66</v>
      </c>
      <c r="D74" s="139">
        <f>D58+D71+D72-D73</f>
        <v>16103957.739999998</v>
      </c>
      <c r="E74" s="70">
        <f>E58+E72-E73</f>
        <v>0.9999991393420038</v>
      </c>
    </row>
    <row r="75" spans="2:5">
      <c r="B75" s="15" t="s">
        <v>4</v>
      </c>
      <c r="C75" s="16" t="s">
        <v>67</v>
      </c>
      <c r="D75" s="88">
        <f>D74</f>
        <v>16103957.739999998</v>
      </c>
      <c r="E75" s="89">
        <f>E74</f>
        <v>0.9999991393420038</v>
      </c>
    </row>
    <row r="76" spans="2:5">
      <c r="B76" s="15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7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94488188976377963" right="0.74803149606299213" top="0.55118110236220474" bottom="0.47244094488188981" header="0.51181102362204722" footer="0.51181102362204722"/>
  <pageSetup paperSize="9" scale="70" orientation="portrait" r:id="rId1"/>
  <headerFooter alignWithMargins="0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8">
    <pageSetUpPr fitToPage="1"/>
  </sheetPr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  <c r="H1" s="178"/>
      <c r="I1" s="178"/>
      <c r="J1" s="178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150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504749.21</v>
      </c>
      <c r="E11" s="9">
        <f>E12</f>
        <v>691426.31</v>
      </c>
    </row>
    <row r="12" spans="2:12">
      <c r="B12" s="209" t="s">
        <v>4</v>
      </c>
      <c r="C12" s="210" t="s">
        <v>5</v>
      </c>
      <c r="D12" s="297">
        <v>504749.21</v>
      </c>
      <c r="E12" s="95">
        <v>691426.31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504749.21</v>
      </c>
      <c r="E21" s="165">
        <f>E11</f>
        <v>691426.31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547467.30000000005</v>
      </c>
      <c r="E26" s="112">
        <f>D21</f>
        <v>504749.21</v>
      </c>
      <c r="G26" s="81"/>
    </row>
    <row r="27" spans="2:11">
      <c r="B27" s="10" t="s">
        <v>17</v>
      </c>
      <c r="C27" s="11" t="s">
        <v>217</v>
      </c>
      <c r="D27" s="245">
        <v>-112256.76999999999</v>
      </c>
      <c r="E27" s="269">
        <f>E28-E32</f>
        <v>127006.31000000001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10340</v>
      </c>
      <c r="E28" s="284">
        <f>SUM(E29:E31)</f>
        <v>156883.01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10340</v>
      </c>
      <c r="E31" s="286">
        <v>156883.01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122596.76999999999</v>
      </c>
      <c r="E32" s="284">
        <f>SUM(E33:E39)</f>
        <v>29876.7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3699.95</v>
      </c>
      <c r="E33" s="286">
        <v>18065.7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1008.69</v>
      </c>
      <c r="E35" s="286">
        <v>121.48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8056.57</v>
      </c>
      <c r="E37" s="286">
        <v>9222.9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109831.56</v>
      </c>
      <c r="E39" s="288">
        <v>2466.62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69538.679999999993</v>
      </c>
      <c r="E40" s="115">
        <v>59670.79</v>
      </c>
      <c r="G40" s="81"/>
    </row>
    <row r="41" spans="2:10" ht="13.5" thickBot="1">
      <c r="B41" s="116" t="s">
        <v>37</v>
      </c>
      <c r="C41" s="117" t="s">
        <v>38</v>
      </c>
      <c r="D41" s="249">
        <v>504749.21</v>
      </c>
      <c r="E41" s="165">
        <f>E26+E27+E40</f>
        <v>691426.31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1796.86</v>
      </c>
      <c r="E47" s="80">
        <v>1420.35</v>
      </c>
      <c r="G47" s="77"/>
    </row>
    <row r="48" spans="2:10">
      <c r="B48" s="222" t="s">
        <v>6</v>
      </c>
      <c r="C48" s="223" t="s">
        <v>41</v>
      </c>
      <c r="D48" s="251">
        <v>1420.35</v>
      </c>
      <c r="E48" s="166">
        <v>1745.02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304.68</v>
      </c>
      <c r="E50" s="82">
        <v>355.36959999999999</v>
      </c>
      <c r="G50" s="208"/>
    </row>
    <row r="51" spans="2:7">
      <c r="B51" s="220" t="s">
        <v>6</v>
      </c>
      <c r="C51" s="221" t="s">
        <v>220</v>
      </c>
      <c r="D51" s="253">
        <v>290.75</v>
      </c>
      <c r="E51" s="82">
        <v>354.3304</v>
      </c>
      <c r="G51" s="208"/>
    </row>
    <row r="52" spans="2:7">
      <c r="B52" s="220" t="s">
        <v>8</v>
      </c>
      <c r="C52" s="221" t="s">
        <v>221</v>
      </c>
      <c r="D52" s="253">
        <v>364.22410000000002</v>
      </c>
      <c r="E52" s="82">
        <v>397.00220000000002</v>
      </c>
    </row>
    <row r="53" spans="2:7" ht="14.25" customHeight="1" thickBot="1">
      <c r="B53" s="224" t="s">
        <v>9</v>
      </c>
      <c r="C53" s="225" t="s">
        <v>41</v>
      </c>
      <c r="D53" s="254">
        <v>355.36959999999999</v>
      </c>
      <c r="E53" s="167">
        <v>396.22829999999999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691426.31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691426.31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691426.31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691426.31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9">
    <pageSetUpPr fitToPage="1"/>
  </sheetPr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8"/>
      <c r="C4" s="158"/>
      <c r="D4" s="158"/>
      <c r="E4" s="158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230</v>
      </c>
      <c r="C6" s="334"/>
      <c r="D6" s="334"/>
      <c r="E6" s="334"/>
    </row>
    <row r="7" spans="2:12" ht="14.25">
      <c r="B7" s="156"/>
      <c r="C7" s="156"/>
      <c r="D7" s="156"/>
      <c r="E7" s="15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7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19669.080000000002</v>
      </c>
      <c r="E11" s="9">
        <f>E12</f>
        <v>0</v>
      </c>
    </row>
    <row r="12" spans="2:12">
      <c r="B12" s="209" t="s">
        <v>4</v>
      </c>
      <c r="C12" s="210" t="s">
        <v>5</v>
      </c>
      <c r="D12" s="297">
        <v>19669.080000000002</v>
      </c>
      <c r="E12" s="95">
        <f>43.69-43.69</f>
        <v>0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19669.080000000002</v>
      </c>
      <c r="E21" s="165">
        <f>E11-E17</f>
        <v>0</v>
      </c>
      <c r="F21" s="86"/>
      <c r="G21" s="86"/>
      <c r="H21" s="188"/>
      <c r="J21" s="71"/>
      <c r="K21" s="71">
        <f>E21-E41</f>
        <v>-2.6147972675971687E-12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33970.050000000003</v>
      </c>
      <c r="E26" s="112">
        <f>D21</f>
        <v>19669.080000000002</v>
      </c>
      <c r="G26" s="81"/>
    </row>
    <row r="27" spans="2:11">
      <c r="B27" s="10" t="s">
        <v>17</v>
      </c>
      <c r="C27" s="11" t="s">
        <v>217</v>
      </c>
      <c r="D27" s="245">
        <v>-14685.469999999994</v>
      </c>
      <c r="E27" s="269">
        <f>E28-E32</f>
        <v>-19841.46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19831.78</v>
      </c>
      <c r="E28" s="284">
        <f>SUM(E29:E31)</f>
        <v>6574.27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19831.78</v>
      </c>
      <c r="E31" s="286">
        <v>6574.27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34517.249999999993</v>
      </c>
      <c r="E32" s="284">
        <f>SUM(E33:E39)</f>
        <v>26415.73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33904.559999999998</v>
      </c>
      <c r="E33" s="286">
        <f>6602.53+1.25</f>
        <v>6603.78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51.13</v>
      </c>
      <c r="E35" s="286">
        <v>7.46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561.55999999999995</v>
      </c>
      <c r="E37" s="286">
        <v>113.12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>
        <v>19691.37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384.5</v>
      </c>
      <c r="E40" s="115">
        <v>172.38</v>
      </c>
      <c r="G40" s="81"/>
    </row>
    <row r="41" spans="2:10" ht="13.5" thickBot="1">
      <c r="B41" s="116" t="s">
        <v>37</v>
      </c>
      <c r="C41" s="117" t="s">
        <v>38</v>
      </c>
      <c r="D41" s="249">
        <v>19669.080000000009</v>
      </c>
      <c r="E41" s="165">
        <f>E26+E27+E40</f>
        <v>2.6147972675971687E-12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102.32250000000001</v>
      </c>
      <c r="E47" s="80">
        <v>58.533700000000003</v>
      </c>
      <c r="G47" s="228"/>
    </row>
    <row r="48" spans="2:10">
      <c r="B48" s="222" t="s">
        <v>6</v>
      </c>
      <c r="C48" s="223" t="s">
        <v>41</v>
      </c>
      <c r="D48" s="251">
        <v>58.533700000000003</v>
      </c>
      <c r="E48" s="166"/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331.99</v>
      </c>
      <c r="E50" s="82">
        <v>336.03</v>
      </c>
      <c r="G50" s="208"/>
    </row>
    <row r="51" spans="2:7">
      <c r="B51" s="220" t="s">
        <v>6</v>
      </c>
      <c r="C51" s="221" t="s">
        <v>220</v>
      </c>
      <c r="D51" s="253">
        <v>331.90000000000003</v>
      </c>
      <c r="E51" s="207">
        <v>335.77</v>
      </c>
      <c r="G51" s="208"/>
    </row>
    <row r="52" spans="2:7">
      <c r="B52" s="220" t="s">
        <v>8</v>
      </c>
      <c r="C52" s="221" t="s">
        <v>221</v>
      </c>
      <c r="D52" s="253">
        <v>336.03</v>
      </c>
      <c r="E52" s="207">
        <v>345.93</v>
      </c>
    </row>
    <row r="53" spans="2:7" ht="12.75" customHeight="1" thickBot="1">
      <c r="B53" s="224" t="s">
        <v>9</v>
      </c>
      <c r="C53" s="225" t="s">
        <v>41</v>
      </c>
      <c r="D53" s="254">
        <v>336.03</v>
      </c>
      <c r="E53" s="167"/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0</v>
      </c>
      <c r="E58" s="33" t="e">
        <f>D58/E21</f>
        <v>#DIV/0!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E12</f>
        <v>0</v>
      </c>
      <c r="E64" s="91" t="e">
        <f>E58</f>
        <v>#DIV/0!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f>E17</f>
        <v>0</v>
      </c>
      <c r="E73" s="27" t="e">
        <f>D73/E21</f>
        <v>#DIV/0!</v>
      </c>
    </row>
    <row r="74" spans="2:5">
      <c r="B74" s="147" t="s">
        <v>64</v>
      </c>
      <c r="C74" s="138" t="s">
        <v>66</v>
      </c>
      <c r="D74" s="139">
        <f>D58-D73</f>
        <v>0</v>
      </c>
      <c r="E74" s="70" t="e">
        <f>E58+E72-E73</f>
        <v>#DIV/0!</v>
      </c>
    </row>
    <row r="75" spans="2:5">
      <c r="B75" s="119" t="s">
        <v>4</v>
      </c>
      <c r="C75" s="16" t="s">
        <v>67</v>
      </c>
      <c r="D75" s="88">
        <f>D74</f>
        <v>0</v>
      </c>
      <c r="E75" s="89" t="e">
        <f>E74</f>
        <v>#DIV/0!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0">
    <pageSetUpPr fitToPage="1"/>
  </sheetPr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1"/>
      <c r="C4" s="161"/>
      <c r="D4" s="161"/>
      <c r="E4" s="16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137</v>
      </c>
      <c r="C6" s="334"/>
      <c r="D6" s="334"/>
      <c r="E6" s="334"/>
    </row>
    <row r="7" spans="2:12" ht="14.25">
      <c r="B7" s="159"/>
      <c r="C7" s="159"/>
      <c r="D7" s="159"/>
      <c r="E7" s="159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60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26997.35</v>
      </c>
      <c r="E11" s="9">
        <f>E12</f>
        <v>18631.87</v>
      </c>
    </row>
    <row r="12" spans="2:12">
      <c r="B12" s="209" t="s">
        <v>4</v>
      </c>
      <c r="C12" s="210" t="s">
        <v>5</v>
      </c>
      <c r="D12" s="297">
        <v>26997.35</v>
      </c>
      <c r="E12" s="95">
        <v>18631.87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26997.35</v>
      </c>
      <c r="E21" s="165">
        <f>E11</f>
        <v>18631.87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21641.759999999998</v>
      </c>
      <c r="E26" s="112">
        <f>D21</f>
        <v>26997.35</v>
      </c>
      <c r="G26" s="81"/>
    </row>
    <row r="27" spans="2:11">
      <c r="B27" s="10" t="s">
        <v>17</v>
      </c>
      <c r="C27" s="11" t="s">
        <v>217</v>
      </c>
      <c r="D27" s="245">
        <v>3749.8499999999985</v>
      </c>
      <c r="E27" s="269">
        <f>E28-E32</f>
        <v>-9178.1200000000008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23526.71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23526.71</v>
      </c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19776.86</v>
      </c>
      <c r="E32" s="284">
        <f>SUM(E33:E39)</f>
        <v>9178.1200000000008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19073.990000000002</v>
      </c>
      <c r="E33" s="286"/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94.27</v>
      </c>
      <c r="E35" s="286">
        <v>108.16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608.6</v>
      </c>
      <c r="E37" s="286">
        <v>423.84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>
        <v>8646.1200000000008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1605.74</v>
      </c>
      <c r="E40" s="115">
        <v>812.64</v>
      </c>
      <c r="G40" s="81"/>
    </row>
    <row r="41" spans="2:10" ht="13.5" thickBot="1">
      <c r="B41" s="116" t="s">
        <v>37</v>
      </c>
      <c r="C41" s="117" t="s">
        <v>38</v>
      </c>
      <c r="D41" s="249">
        <v>26997.35</v>
      </c>
      <c r="E41" s="165">
        <f>E26+E27+E40</f>
        <v>18631.869999999995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172.00569999999999</v>
      </c>
      <c r="E47" s="80">
        <v>202.47</v>
      </c>
      <c r="G47" s="77"/>
    </row>
    <row r="48" spans="2:10">
      <c r="B48" s="222" t="s">
        <v>6</v>
      </c>
      <c r="C48" s="223" t="s">
        <v>41</v>
      </c>
      <c r="D48" s="251">
        <v>202.47</v>
      </c>
      <c r="E48" s="166">
        <v>134.68170000000001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125.82</v>
      </c>
      <c r="E50" s="82">
        <v>133.34</v>
      </c>
      <c r="G50" s="208"/>
    </row>
    <row r="51" spans="2:7">
      <c r="B51" s="220" t="s">
        <v>6</v>
      </c>
      <c r="C51" s="221" t="s">
        <v>220</v>
      </c>
      <c r="D51" s="253">
        <v>122.5</v>
      </c>
      <c r="E51" s="82">
        <v>133.34</v>
      </c>
      <c r="G51" s="208"/>
    </row>
    <row r="52" spans="2:7">
      <c r="B52" s="220" t="s">
        <v>8</v>
      </c>
      <c r="C52" s="221" t="s">
        <v>221</v>
      </c>
      <c r="D52" s="253">
        <v>133.69999999999999</v>
      </c>
      <c r="E52" s="82">
        <v>138.34</v>
      </c>
    </row>
    <row r="53" spans="2:7" ht="12.75" customHeight="1" thickBot="1">
      <c r="B53" s="224" t="s">
        <v>9</v>
      </c>
      <c r="C53" s="225" t="s">
        <v>41</v>
      </c>
      <c r="D53" s="254">
        <v>133.34</v>
      </c>
      <c r="E53" s="167">
        <v>138.34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18631.87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18631.87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18631.87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18631.87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1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1"/>
      <c r="C4" s="161"/>
      <c r="D4" s="161"/>
      <c r="E4" s="16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188</v>
      </c>
      <c r="C6" s="334"/>
      <c r="D6" s="334"/>
      <c r="E6" s="334"/>
    </row>
    <row r="7" spans="2:12" ht="14.25">
      <c r="B7" s="159"/>
      <c r="C7" s="159"/>
      <c r="D7" s="159"/>
      <c r="E7" s="159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60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95507.51</v>
      </c>
      <c r="E11" s="9">
        <f>E12</f>
        <v>96476.89</v>
      </c>
    </row>
    <row r="12" spans="2:12">
      <c r="B12" s="209" t="s">
        <v>4</v>
      </c>
      <c r="C12" s="210" t="s">
        <v>5</v>
      </c>
      <c r="D12" s="297">
        <v>95507.51</v>
      </c>
      <c r="E12" s="95">
        <v>96476.89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95507.51</v>
      </c>
      <c r="E21" s="165">
        <f>E11</f>
        <v>96476.89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39051.660000000003</v>
      </c>
      <c r="E26" s="112">
        <f>D21</f>
        <v>95507.51</v>
      </c>
      <c r="G26" s="81"/>
    </row>
    <row r="27" spans="2:11">
      <c r="B27" s="10" t="s">
        <v>17</v>
      </c>
      <c r="C27" s="11" t="s">
        <v>217</v>
      </c>
      <c r="D27" s="245">
        <v>50314.53</v>
      </c>
      <c r="E27" s="269">
        <f>E28-E32</f>
        <v>-18914.68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51128.84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51128.84</v>
      </c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814.31</v>
      </c>
      <c r="E32" s="284">
        <f>SUM(E33:E39)</f>
        <v>18914.68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>
        <v>16990.810000000001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49.14</v>
      </c>
      <c r="E35" s="286">
        <v>32.76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765.17</v>
      </c>
      <c r="E37" s="286">
        <v>1891.11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6141.32</v>
      </c>
      <c r="E40" s="115">
        <v>19884.060000000001</v>
      </c>
      <c r="G40" s="81"/>
    </row>
    <row r="41" spans="2:10" ht="13.5" thickBot="1">
      <c r="B41" s="116" t="s">
        <v>37</v>
      </c>
      <c r="C41" s="117" t="s">
        <v>38</v>
      </c>
      <c r="D41" s="249">
        <v>95507.510000000009</v>
      </c>
      <c r="E41" s="165">
        <f>E26+E27+E40</f>
        <v>96476.889999999985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560.60379999999998</v>
      </c>
      <c r="E47" s="80">
        <v>1184.9567</v>
      </c>
      <c r="G47" s="77"/>
    </row>
    <row r="48" spans="2:10">
      <c r="B48" s="222" t="s">
        <v>6</v>
      </c>
      <c r="C48" s="223" t="s">
        <v>41</v>
      </c>
      <c r="D48" s="251">
        <v>1184.9567</v>
      </c>
      <c r="E48" s="166">
        <v>987.98659999999995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69.66</v>
      </c>
      <c r="E50" s="82">
        <v>80.599999999999994</v>
      </c>
      <c r="G50" s="208"/>
    </row>
    <row r="51" spans="2:7">
      <c r="B51" s="220" t="s">
        <v>6</v>
      </c>
      <c r="C51" s="221" t="s">
        <v>220</v>
      </c>
      <c r="D51" s="253">
        <v>62.92</v>
      </c>
      <c r="E51" s="82">
        <v>80.52</v>
      </c>
      <c r="G51" s="208"/>
    </row>
    <row r="52" spans="2:7">
      <c r="B52" s="220" t="s">
        <v>8</v>
      </c>
      <c r="C52" s="221" t="s">
        <v>221</v>
      </c>
      <c r="D52" s="253">
        <v>80.599999999999994</v>
      </c>
      <c r="E52" s="82">
        <v>97.99</v>
      </c>
    </row>
    <row r="53" spans="2:7" ht="13.5" customHeight="1" thickBot="1">
      <c r="B53" s="224" t="s">
        <v>9</v>
      </c>
      <c r="C53" s="225" t="s">
        <v>41</v>
      </c>
      <c r="D53" s="254">
        <v>80.599999999999994</v>
      </c>
      <c r="E53" s="167">
        <v>97.65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96476.89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96476.89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96476.89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96476.89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2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1"/>
      <c r="C4" s="161"/>
      <c r="D4" s="161"/>
      <c r="E4" s="16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138</v>
      </c>
      <c r="C6" s="334"/>
      <c r="D6" s="334"/>
      <c r="E6" s="334"/>
    </row>
    <row r="7" spans="2:12" ht="14.25">
      <c r="B7" s="159"/>
      <c r="C7" s="159"/>
      <c r="D7" s="159"/>
      <c r="E7" s="159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60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12801.73</v>
      </c>
      <c r="E11" s="9">
        <f>E12</f>
        <v>68499.899999999994</v>
      </c>
    </row>
    <row r="12" spans="2:12">
      <c r="B12" s="209" t="s">
        <v>4</v>
      </c>
      <c r="C12" s="210" t="s">
        <v>5</v>
      </c>
      <c r="D12" s="297">
        <v>12801.73</v>
      </c>
      <c r="E12" s="95">
        <v>68499.899999999994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12801.73</v>
      </c>
      <c r="E21" s="165">
        <f>E11</f>
        <v>68499.899999999994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35000.78</v>
      </c>
      <c r="E26" s="112">
        <f>D21</f>
        <v>12801.73</v>
      </c>
      <c r="G26" s="81"/>
    </row>
    <row r="27" spans="2:11">
      <c r="B27" s="10" t="s">
        <v>17</v>
      </c>
      <c r="C27" s="11" t="s">
        <v>217</v>
      </c>
      <c r="D27" s="245">
        <v>-20485.850000000006</v>
      </c>
      <c r="E27" s="269">
        <f>E28-E32</f>
        <v>29702.48000000001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43334.68</v>
      </c>
      <c r="E28" s="284">
        <f>SUM(E29:E31)</f>
        <v>151249.69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11760</v>
      </c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31574.68</v>
      </c>
      <c r="E31" s="286">
        <v>151249.69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63820.530000000006</v>
      </c>
      <c r="E32" s="284">
        <f>SUM(E33:E39)</f>
        <v>121547.20999999999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11522.87</v>
      </c>
      <c r="E33" s="286">
        <v>119676.26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60.46</v>
      </c>
      <c r="E35" s="286">
        <v>157.5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354.79</v>
      </c>
      <c r="E37" s="286">
        <v>1713.45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51882.41</v>
      </c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-1713.2</v>
      </c>
      <c r="E40" s="115">
        <v>25995.69</v>
      </c>
      <c r="G40" s="81"/>
    </row>
    <row r="41" spans="2:10" ht="13.5" thickBot="1">
      <c r="B41" s="116" t="s">
        <v>37</v>
      </c>
      <c r="C41" s="117" t="s">
        <v>38</v>
      </c>
      <c r="D41" s="249">
        <v>12801.729999999992</v>
      </c>
      <c r="E41" s="165">
        <f>E26+E27+E40</f>
        <v>68499.900000000009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489.86399999999998</v>
      </c>
      <c r="E47" s="80">
        <v>173.74770000000001</v>
      </c>
      <c r="G47" s="77"/>
    </row>
    <row r="48" spans="2:10">
      <c r="B48" s="222" t="s">
        <v>6</v>
      </c>
      <c r="C48" s="223" t="s">
        <v>41</v>
      </c>
      <c r="D48" s="251">
        <v>173.74770000000001</v>
      </c>
      <c r="E48" s="166">
        <v>672.3587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71.45</v>
      </c>
      <c r="E50" s="82">
        <v>73.680000000000007</v>
      </c>
      <c r="G50" s="208"/>
    </row>
    <row r="51" spans="2:7">
      <c r="B51" s="220" t="s">
        <v>6</v>
      </c>
      <c r="C51" s="221" t="s">
        <v>220</v>
      </c>
      <c r="D51" s="253">
        <v>58.44</v>
      </c>
      <c r="E51" s="82">
        <v>73.680000000000007</v>
      </c>
      <c r="G51" s="208"/>
    </row>
    <row r="52" spans="2:7">
      <c r="B52" s="220" t="s">
        <v>8</v>
      </c>
      <c r="C52" s="221" t="s">
        <v>221</v>
      </c>
      <c r="D52" s="253">
        <v>76.53</v>
      </c>
      <c r="E52" s="82">
        <v>109.82</v>
      </c>
    </row>
    <row r="53" spans="2:7" ht="12.75" customHeight="1" thickBot="1">
      <c r="B53" s="224" t="s">
        <v>9</v>
      </c>
      <c r="C53" s="225" t="s">
        <v>41</v>
      </c>
      <c r="D53" s="254">
        <v>73.680000000000007</v>
      </c>
      <c r="E53" s="167">
        <v>101.88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68499.899999999994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68499.899999999994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68499.899999999994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68499.899999999994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3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1"/>
      <c r="C4" s="161"/>
      <c r="D4" s="161"/>
      <c r="E4" s="16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189</v>
      </c>
      <c r="C6" s="334"/>
      <c r="D6" s="334"/>
      <c r="E6" s="334"/>
    </row>
    <row r="7" spans="2:12" ht="14.25">
      <c r="B7" s="159"/>
      <c r="C7" s="159"/>
      <c r="D7" s="159"/>
      <c r="E7" s="159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60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46926.26</v>
      </c>
      <c r="E11" s="9" t="str">
        <f>E12</f>
        <v>-</v>
      </c>
    </row>
    <row r="12" spans="2:12">
      <c r="B12" s="209" t="s">
        <v>4</v>
      </c>
      <c r="C12" s="210" t="s">
        <v>5</v>
      </c>
      <c r="D12" s="297">
        <v>46926.26</v>
      </c>
      <c r="E12" s="95" t="s">
        <v>246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46926.26</v>
      </c>
      <c r="E21" s="165" t="str">
        <f>E11</f>
        <v>-</v>
      </c>
      <c r="F21" s="86"/>
      <c r="G21" s="86"/>
      <c r="H21" s="188"/>
      <c r="J21" s="71"/>
      <c r="K21" s="71" t="e">
        <f>E21-E41</f>
        <v>#VALUE!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140439.1</v>
      </c>
      <c r="E26" s="112">
        <f>D21</f>
        <v>46926.26</v>
      </c>
      <c r="G26" s="81"/>
    </row>
    <row r="27" spans="2:11">
      <c r="B27" s="10" t="s">
        <v>17</v>
      </c>
      <c r="C27" s="11" t="s">
        <v>217</v>
      </c>
      <c r="D27" s="245">
        <v>-92390</v>
      </c>
      <c r="E27" s="269">
        <f>E28-E32</f>
        <v>-48654.570000000007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17161.25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17161.25</v>
      </c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109551.25</v>
      </c>
      <c r="E32" s="284">
        <f>SUM(E33:E39)</f>
        <v>48654.570000000007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>
        <v>38320.75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52.15</v>
      </c>
      <c r="E35" s="286">
        <v>8.11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1180.0899999999999</v>
      </c>
      <c r="E37" s="286">
        <v>858.12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108319.01</v>
      </c>
      <c r="E39" s="288">
        <v>9467.59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-1122.8399999999999</v>
      </c>
      <c r="E40" s="115">
        <v>1728.31</v>
      </c>
      <c r="G40" s="81"/>
    </row>
    <row r="41" spans="2:10" ht="13.5" thickBot="1">
      <c r="B41" s="116" t="s">
        <v>37</v>
      </c>
      <c r="C41" s="117" t="s">
        <v>38</v>
      </c>
      <c r="D41" s="249">
        <v>46926.260000000009</v>
      </c>
      <c r="E41" s="165" t="s">
        <v>246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1089.8579999999999</v>
      </c>
      <c r="E47" s="80">
        <v>369.12029999999999</v>
      </c>
      <c r="G47" s="77"/>
    </row>
    <row r="48" spans="2:10">
      <c r="B48" s="222" t="s">
        <v>6</v>
      </c>
      <c r="C48" s="223" t="s">
        <v>41</v>
      </c>
      <c r="D48" s="251">
        <v>369.12029999999999</v>
      </c>
      <c r="E48" s="166"/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128.86000000000001</v>
      </c>
      <c r="E50" s="82">
        <v>127.13</v>
      </c>
      <c r="G50" s="208"/>
    </row>
    <row r="51" spans="2:7">
      <c r="B51" s="220" t="s">
        <v>6</v>
      </c>
      <c r="C51" s="221" t="s">
        <v>220</v>
      </c>
      <c r="D51" s="253">
        <v>121.86</v>
      </c>
      <c r="E51" s="82">
        <v>125.26</v>
      </c>
      <c r="G51" s="208"/>
    </row>
    <row r="52" spans="2:7">
      <c r="B52" s="220" t="s">
        <v>8</v>
      </c>
      <c r="C52" s="221" t="s">
        <v>221</v>
      </c>
      <c r="D52" s="253">
        <v>133.87</v>
      </c>
      <c r="E52" s="82">
        <v>137.01</v>
      </c>
    </row>
    <row r="53" spans="2:7" ht="12.75" customHeight="1" thickBot="1">
      <c r="B53" s="224" t="s">
        <v>9</v>
      </c>
      <c r="C53" s="225" t="s">
        <v>41</v>
      </c>
      <c r="D53" s="254">
        <v>127.13</v>
      </c>
      <c r="E53" s="167"/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8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 t="str">
        <f>D64</f>
        <v>-</v>
      </c>
      <c r="E58" s="33" t="e">
        <f>D58/E21</f>
        <v>#VALUE!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 t="str">
        <f>E21</f>
        <v>-</v>
      </c>
      <c r="E64" s="91" t="e">
        <f>E58</f>
        <v>#VALUE!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 t="str">
        <f>D58</f>
        <v>-</v>
      </c>
      <c r="E74" s="70" t="e">
        <f>E58+E72-E73</f>
        <v>#VALUE!</v>
      </c>
    </row>
    <row r="75" spans="2:5">
      <c r="B75" s="119" t="s">
        <v>4</v>
      </c>
      <c r="C75" s="16" t="s">
        <v>67</v>
      </c>
      <c r="D75" s="88" t="str">
        <f>D74</f>
        <v>-</v>
      </c>
      <c r="E75" s="89" t="e">
        <f>E74</f>
        <v>#VALUE!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4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14.25">
      <c r="B5" s="333" t="s">
        <v>1</v>
      </c>
      <c r="C5" s="333"/>
      <c r="D5" s="333"/>
      <c r="E5" s="333"/>
    </row>
    <row r="6" spans="2:12" ht="14.25">
      <c r="B6" s="334" t="s">
        <v>253</v>
      </c>
      <c r="C6" s="334"/>
      <c r="D6" s="334"/>
      <c r="E6" s="334"/>
    </row>
    <row r="7" spans="2:12" ht="14.25">
      <c r="B7" s="196"/>
      <c r="C7" s="196"/>
      <c r="D7" s="196"/>
      <c r="E7" s="19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9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51724.98</v>
      </c>
      <c r="E11" s="9">
        <f>E12</f>
        <v>110929.34</v>
      </c>
    </row>
    <row r="12" spans="2:12">
      <c r="B12" s="209" t="s">
        <v>4</v>
      </c>
      <c r="C12" s="210" t="s">
        <v>5</v>
      </c>
      <c r="D12" s="297">
        <v>51724.98</v>
      </c>
      <c r="E12" s="95">
        <v>110929.34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51724.98</v>
      </c>
      <c r="E21" s="165">
        <f>E11</f>
        <v>110929.34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 t="s">
        <v>246</v>
      </c>
      <c r="E26" s="112">
        <f>D21</f>
        <v>51724.98</v>
      </c>
      <c r="G26" s="81"/>
    </row>
    <row r="27" spans="2:11">
      <c r="B27" s="10" t="s">
        <v>17</v>
      </c>
      <c r="C27" s="11" t="s">
        <v>217</v>
      </c>
      <c r="D27" s="245">
        <v>51185.01</v>
      </c>
      <c r="E27" s="269">
        <f>E28-E32</f>
        <v>39224.479999999996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51185.01</v>
      </c>
      <c r="E28" s="284">
        <f>SUM(E29:E31)</f>
        <v>81489.48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51185.01</v>
      </c>
      <c r="E31" s="286">
        <v>81489.48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/>
      <c r="E32" s="284">
        <f>SUM(E33:E39)</f>
        <v>42265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/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/>
      <c r="E35" s="286">
        <v>62.18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/>
      <c r="E37" s="286">
        <v>1915.59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>
        <v>40287.230000000003</v>
      </c>
      <c r="F39" s="77"/>
      <c r="G39" s="77"/>
      <c r="H39" s="77"/>
      <c r="I39" s="77"/>
      <c r="J39" s="81"/>
    </row>
    <row r="40" spans="2:10" ht="15.75" customHeight="1" thickBot="1">
      <c r="B40" s="113" t="s">
        <v>35</v>
      </c>
      <c r="C40" s="114" t="s">
        <v>36</v>
      </c>
      <c r="D40" s="248">
        <v>539.97</v>
      </c>
      <c r="E40" s="115">
        <v>19979.88</v>
      </c>
      <c r="G40" s="81"/>
    </row>
    <row r="41" spans="2:10" ht="13.5" thickBot="1">
      <c r="B41" s="116" t="s">
        <v>37</v>
      </c>
      <c r="C41" s="117" t="s">
        <v>38</v>
      </c>
      <c r="D41" s="249">
        <v>51724.98</v>
      </c>
      <c r="E41" s="165">
        <f>E26+E27+E40</f>
        <v>110929.34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/>
      <c r="E47" s="80">
        <v>184.48830000000001</v>
      </c>
      <c r="G47" s="77"/>
    </row>
    <row r="48" spans="2:10">
      <c r="B48" s="222" t="s">
        <v>6</v>
      </c>
      <c r="C48" s="223" t="s">
        <v>41</v>
      </c>
      <c r="D48" s="251">
        <v>184.48830000000001</v>
      </c>
      <c r="E48" s="166">
        <v>315.49869999999999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/>
      <c r="E50" s="82">
        <v>280.37</v>
      </c>
      <c r="G50" s="208"/>
    </row>
    <row r="51" spans="2:7">
      <c r="B51" s="220" t="s">
        <v>6</v>
      </c>
      <c r="C51" s="221" t="s">
        <v>220</v>
      </c>
      <c r="D51" s="253">
        <v>223.83</v>
      </c>
      <c r="E51" s="82">
        <v>280.37</v>
      </c>
      <c r="G51" s="208"/>
    </row>
    <row r="52" spans="2:7">
      <c r="B52" s="220" t="s">
        <v>8</v>
      </c>
      <c r="C52" s="221" t="s">
        <v>221</v>
      </c>
      <c r="D52" s="253">
        <v>280.37</v>
      </c>
      <c r="E52" s="82">
        <v>354.26</v>
      </c>
    </row>
    <row r="53" spans="2:7" ht="13.5" thickBot="1">
      <c r="B53" s="224" t="s">
        <v>9</v>
      </c>
      <c r="C53" s="225" t="s">
        <v>41</v>
      </c>
      <c r="D53" s="254">
        <v>280.37</v>
      </c>
      <c r="E53" s="167">
        <v>351.6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110929.34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110929.34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110929.34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110929.34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5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14.25">
      <c r="B5" s="333" t="s">
        <v>1</v>
      </c>
      <c r="C5" s="333"/>
      <c r="D5" s="333"/>
      <c r="E5" s="333"/>
    </row>
    <row r="6" spans="2:12" ht="14.25">
      <c r="B6" s="334" t="s">
        <v>254</v>
      </c>
      <c r="C6" s="334"/>
      <c r="D6" s="334"/>
      <c r="E6" s="334"/>
    </row>
    <row r="7" spans="2:12" ht="14.25">
      <c r="B7" s="196"/>
      <c r="C7" s="196"/>
      <c r="D7" s="196"/>
      <c r="E7" s="19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9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11009.59</v>
      </c>
      <c r="E11" s="9" t="str">
        <f>E12</f>
        <v>-</v>
      </c>
    </row>
    <row r="12" spans="2:12">
      <c r="B12" s="209" t="s">
        <v>4</v>
      </c>
      <c r="C12" s="210" t="s">
        <v>5</v>
      </c>
      <c r="D12" s="297">
        <v>11009.59</v>
      </c>
      <c r="E12" s="95" t="s">
        <v>246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11009.59</v>
      </c>
      <c r="E21" s="165" t="str">
        <f>E11</f>
        <v>-</v>
      </c>
      <c r="F21" s="86"/>
      <c r="G21" s="86"/>
      <c r="H21" s="188"/>
      <c r="J21" s="71"/>
      <c r="K21" s="71" t="e">
        <f>E21-E41</f>
        <v>#VALUE!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 t="s">
        <v>246</v>
      </c>
      <c r="E26" s="112">
        <f>D21</f>
        <v>11009.59</v>
      </c>
      <c r="G26" s="81"/>
    </row>
    <row r="27" spans="2:11">
      <c r="B27" s="10" t="s">
        <v>17</v>
      </c>
      <c r="C27" s="11" t="s">
        <v>217</v>
      </c>
      <c r="D27" s="245">
        <v>10878</v>
      </c>
      <c r="E27" s="269">
        <f>E28-E32</f>
        <v>-13290.470000000001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10878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10878</v>
      </c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0</v>
      </c>
      <c r="E32" s="284">
        <f>SUM(E33:E39)</f>
        <v>13290.470000000001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>
        <v>5768.31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/>
      <c r="E35" s="286">
        <v>52.63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/>
      <c r="E37" s="286"/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>
        <v>7469.53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131.59</v>
      </c>
      <c r="E40" s="115">
        <v>2280.88</v>
      </c>
      <c r="G40" s="81"/>
    </row>
    <row r="41" spans="2:10" ht="13.5" thickBot="1">
      <c r="B41" s="116" t="s">
        <v>37</v>
      </c>
      <c r="C41" s="117" t="s">
        <v>38</v>
      </c>
      <c r="D41" s="249">
        <v>11009.59</v>
      </c>
      <c r="E41" s="165">
        <f>E26+E27+E40</f>
        <v>0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/>
      <c r="E47" s="80">
        <v>86.005700000000004</v>
      </c>
      <c r="G47" s="77"/>
    </row>
    <row r="48" spans="2:10">
      <c r="B48" s="222" t="s">
        <v>6</v>
      </c>
      <c r="C48" s="223" t="s">
        <v>41</v>
      </c>
      <c r="D48" s="251">
        <v>86.005700000000004</v>
      </c>
      <c r="E48" s="166"/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/>
      <c r="E50" s="82">
        <v>128.01</v>
      </c>
      <c r="G50" s="208"/>
    </row>
    <row r="51" spans="2:7">
      <c r="B51" s="220" t="s">
        <v>6</v>
      </c>
      <c r="C51" s="221" t="s">
        <v>220</v>
      </c>
      <c r="D51" s="253">
        <v>99.08</v>
      </c>
      <c r="E51" s="82">
        <v>128.5</v>
      </c>
      <c r="G51" s="208"/>
    </row>
    <row r="52" spans="2:7">
      <c r="B52" s="220" t="s">
        <v>8</v>
      </c>
      <c r="C52" s="221" t="s">
        <v>221</v>
      </c>
      <c r="D52" s="253">
        <v>129.78</v>
      </c>
      <c r="E52" s="82">
        <v>175.86</v>
      </c>
    </row>
    <row r="53" spans="2:7" ht="13.5" thickBot="1">
      <c r="B53" s="224" t="s">
        <v>9</v>
      </c>
      <c r="C53" s="225" t="s">
        <v>41</v>
      </c>
      <c r="D53" s="254">
        <v>128.01</v>
      </c>
      <c r="E53" s="167"/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 t="str">
        <f>D64</f>
        <v>-</v>
      </c>
      <c r="E58" s="33" t="e">
        <f>D58/E21</f>
        <v>#VALUE!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 t="str">
        <f>E21</f>
        <v>-</v>
      </c>
      <c r="E64" s="91" t="e">
        <f>E58</f>
        <v>#VALUE!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 t="str">
        <f>D58</f>
        <v>-</v>
      </c>
      <c r="E74" s="70" t="e">
        <f>E58+E72-E73</f>
        <v>#VALUE!</v>
      </c>
    </row>
    <row r="75" spans="2:5">
      <c r="B75" s="119" t="s">
        <v>4</v>
      </c>
      <c r="C75" s="16" t="s">
        <v>67</v>
      </c>
      <c r="D75" s="88" t="str">
        <f>D74</f>
        <v>-</v>
      </c>
      <c r="E75" s="89" t="e">
        <f>E74</f>
        <v>#VALUE!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6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1"/>
      <c r="C4" s="161"/>
      <c r="D4" s="161"/>
      <c r="E4" s="16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159</v>
      </c>
      <c r="C6" s="334"/>
      <c r="D6" s="334"/>
      <c r="E6" s="334"/>
    </row>
    <row r="7" spans="2:12" ht="14.25">
      <c r="B7" s="159"/>
      <c r="C7" s="159"/>
      <c r="D7" s="159"/>
      <c r="E7" s="159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60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28221.35</v>
      </c>
      <c r="E11" s="9">
        <f>E12</f>
        <v>10044.700000000001</v>
      </c>
    </row>
    <row r="12" spans="2:12">
      <c r="B12" s="209" t="s">
        <v>4</v>
      </c>
      <c r="C12" s="210" t="s">
        <v>5</v>
      </c>
      <c r="D12" s="297">
        <v>28221.35</v>
      </c>
      <c r="E12" s="95">
        <v>10044.700000000001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28221.35</v>
      </c>
      <c r="E21" s="165">
        <f>E11</f>
        <v>10044.700000000001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14959.2</v>
      </c>
      <c r="E26" s="112">
        <f>D21</f>
        <v>28221.35</v>
      </c>
      <c r="G26" s="81"/>
    </row>
    <row r="27" spans="2:11">
      <c r="B27" s="10" t="s">
        <v>17</v>
      </c>
      <c r="C27" s="11" t="s">
        <v>217</v>
      </c>
      <c r="D27" s="245">
        <v>10160.94</v>
      </c>
      <c r="E27" s="269">
        <f>E28-E32</f>
        <v>-29512.799999999996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10590.15</v>
      </c>
      <c r="E28" s="284">
        <f>SUM(E29:E31)</f>
        <v>42500.62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10590.15</v>
      </c>
      <c r="E31" s="286">
        <v>42500.62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429.21</v>
      </c>
      <c r="E32" s="284">
        <f>SUM(E33:E39)</f>
        <v>72013.42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>
        <v>21145.73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23.71</v>
      </c>
      <c r="E35" s="286">
        <v>154.91999999999999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405.5</v>
      </c>
      <c r="E37" s="286">
        <v>899.43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>
        <v>49813.34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3101.21</v>
      </c>
      <c r="E40" s="115">
        <v>11336.15</v>
      </c>
      <c r="G40" s="81"/>
    </row>
    <row r="41" spans="2:10" ht="13.5" thickBot="1">
      <c r="B41" s="116" t="s">
        <v>37</v>
      </c>
      <c r="C41" s="117" t="s">
        <v>38</v>
      </c>
      <c r="D41" s="249">
        <v>28221.35</v>
      </c>
      <c r="E41" s="165">
        <f>E26+E27+E40</f>
        <v>10044.700000000003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1450.941</v>
      </c>
      <c r="E47" s="80">
        <v>2290.694</v>
      </c>
      <c r="G47" s="77"/>
    </row>
    <row r="48" spans="2:10">
      <c r="B48" s="222" t="s">
        <v>6</v>
      </c>
      <c r="C48" s="223" t="s">
        <v>41</v>
      </c>
      <c r="D48" s="251">
        <v>2290.694</v>
      </c>
      <c r="E48" s="166">
        <v>637.75900000000001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10.31</v>
      </c>
      <c r="E50" s="82">
        <v>12.32</v>
      </c>
      <c r="G50" s="208"/>
    </row>
    <row r="51" spans="2:7">
      <c r="B51" s="220" t="s">
        <v>6</v>
      </c>
      <c r="C51" s="221" t="s">
        <v>220</v>
      </c>
      <c r="D51" s="253">
        <v>9.17</v>
      </c>
      <c r="E51" s="82">
        <v>12.32</v>
      </c>
      <c r="G51" s="208"/>
    </row>
    <row r="52" spans="2:7">
      <c r="B52" s="220" t="s">
        <v>8</v>
      </c>
      <c r="C52" s="221" t="s">
        <v>221</v>
      </c>
      <c r="D52" s="253">
        <v>12.54</v>
      </c>
      <c r="E52" s="82">
        <v>15.95</v>
      </c>
    </row>
    <row r="53" spans="2:7" ht="13.5" customHeight="1" thickBot="1">
      <c r="B53" s="224" t="s">
        <v>9</v>
      </c>
      <c r="C53" s="225" t="s">
        <v>41</v>
      </c>
      <c r="D53" s="254">
        <v>12.32</v>
      </c>
      <c r="E53" s="167">
        <v>15.75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8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10044.700000000001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10044.700000000001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10044.700000000001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10044.700000000001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7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1"/>
      <c r="C4" s="161"/>
      <c r="D4" s="161"/>
      <c r="E4" s="16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157</v>
      </c>
      <c r="C6" s="334"/>
      <c r="D6" s="334"/>
      <c r="E6" s="334"/>
    </row>
    <row r="7" spans="2:12" ht="14.25">
      <c r="B7" s="159"/>
      <c r="C7" s="159"/>
      <c r="D7" s="159"/>
      <c r="E7" s="159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60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7933746.6600000001</v>
      </c>
      <c r="E11" s="9">
        <f>E12</f>
        <v>6841466.8399999999</v>
      </c>
    </row>
    <row r="12" spans="2:12">
      <c r="B12" s="209" t="s">
        <v>4</v>
      </c>
      <c r="C12" s="210" t="s">
        <v>5</v>
      </c>
      <c r="D12" s="297">
        <v>7933746.6600000001</v>
      </c>
      <c r="E12" s="95">
        <v>6841466.8399999999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7933746.6600000001</v>
      </c>
      <c r="E21" s="165">
        <f>E11</f>
        <v>6841466.8399999999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7290340.7199999997</v>
      </c>
      <c r="E26" s="112">
        <f>D21</f>
        <v>7933746.6600000001</v>
      </c>
      <c r="G26" s="81"/>
    </row>
    <row r="27" spans="2:11">
      <c r="B27" s="10" t="s">
        <v>17</v>
      </c>
      <c r="C27" s="11" t="s">
        <v>217</v>
      </c>
      <c r="D27" s="245">
        <v>191939.00000000023</v>
      </c>
      <c r="E27" s="269">
        <f>E28-E32</f>
        <v>-1197655.9300000002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1546686.37</v>
      </c>
      <c r="E28" s="284">
        <f>SUM(E29:E31)</f>
        <v>503793.61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1546686.37</v>
      </c>
      <c r="E31" s="286">
        <v>503793.61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1354747.3699999999</v>
      </c>
      <c r="E32" s="284">
        <f>SUM(E33:E39)</f>
        <v>1701449.54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1011212.61</v>
      </c>
      <c r="E33" s="286">
        <v>1475575.98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12076.77</v>
      </c>
      <c r="E35" s="286">
        <v>3911.33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127219.81</v>
      </c>
      <c r="E37" s="286">
        <v>125754.71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204238.18</v>
      </c>
      <c r="E39" s="288">
        <v>96207.52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451466.94</v>
      </c>
      <c r="E40" s="115">
        <v>105376.11</v>
      </c>
      <c r="G40" s="81"/>
    </row>
    <row r="41" spans="2:10" ht="13.5" thickBot="1">
      <c r="B41" s="116" t="s">
        <v>37</v>
      </c>
      <c r="C41" s="117" t="s">
        <v>38</v>
      </c>
      <c r="D41" s="249">
        <v>7933746.6600000001</v>
      </c>
      <c r="E41" s="165">
        <f>E26+E27+E40</f>
        <v>6841466.8400000008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542839.96400000004</v>
      </c>
      <c r="E47" s="80">
        <v>563076.41299999994</v>
      </c>
      <c r="G47" s="77"/>
    </row>
    <row r="48" spans="2:10">
      <c r="B48" s="222" t="s">
        <v>6</v>
      </c>
      <c r="C48" s="223" t="s">
        <v>41</v>
      </c>
      <c r="D48" s="251">
        <v>563076.41299999994</v>
      </c>
      <c r="E48" s="166">
        <v>480440.087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13.43</v>
      </c>
      <c r="E50" s="82">
        <v>14.09</v>
      </c>
      <c r="G50" s="208"/>
    </row>
    <row r="51" spans="2:7">
      <c r="B51" s="220" t="s">
        <v>6</v>
      </c>
      <c r="C51" s="221" t="s">
        <v>220</v>
      </c>
      <c r="D51" s="253">
        <v>12.41</v>
      </c>
      <c r="E51" s="82">
        <v>13.79</v>
      </c>
      <c r="G51" s="208"/>
    </row>
    <row r="52" spans="2:7">
      <c r="B52" s="220" t="s">
        <v>8</v>
      </c>
      <c r="C52" s="221" t="s">
        <v>221</v>
      </c>
      <c r="D52" s="253">
        <v>14.19</v>
      </c>
      <c r="E52" s="82">
        <v>14.78</v>
      </c>
    </row>
    <row r="53" spans="2:7" ht="14.25" customHeight="1" thickBot="1">
      <c r="B53" s="224" t="s">
        <v>9</v>
      </c>
      <c r="C53" s="225" t="s">
        <v>41</v>
      </c>
      <c r="D53" s="254">
        <v>14.09</v>
      </c>
      <c r="E53" s="167">
        <v>14.24</v>
      </c>
    </row>
    <row r="54" spans="2:7">
      <c r="B54" s="226"/>
      <c r="C54" s="2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6841466.8399999999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6841466.8399999999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6841466.8399999999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6841466.8399999999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99"/>
      <c r="C4" s="99"/>
      <c r="D4" s="99"/>
      <c r="E4" s="99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92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0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32075498.629999999</v>
      </c>
      <c r="E11" s="9">
        <f>E12+E13+E14</f>
        <v>27801180.699999999</v>
      </c>
    </row>
    <row r="12" spans="2:12">
      <c r="B12" s="123" t="s">
        <v>4</v>
      </c>
      <c r="C12" s="6" t="s">
        <v>5</v>
      </c>
      <c r="D12" s="297">
        <v>32060044.75</v>
      </c>
      <c r="E12" s="95">
        <f>27792462.75-2885.14</f>
        <v>27789577.609999999</v>
      </c>
    </row>
    <row r="13" spans="2:12">
      <c r="B13" s="123" t="s">
        <v>6</v>
      </c>
      <c r="C13" s="72" t="s">
        <v>7</v>
      </c>
      <c r="D13" s="297">
        <v>243.86</v>
      </c>
      <c r="E13" s="95"/>
    </row>
    <row r="14" spans="2:12">
      <c r="B14" s="123" t="s">
        <v>8</v>
      </c>
      <c r="C14" s="72" t="s">
        <v>10</v>
      </c>
      <c r="D14" s="297">
        <v>15210.02</v>
      </c>
      <c r="E14" s="95">
        <f>E15</f>
        <v>11603.09</v>
      </c>
    </row>
    <row r="15" spans="2:12">
      <c r="B15" s="123" t="s">
        <v>212</v>
      </c>
      <c r="C15" s="72" t="s">
        <v>11</v>
      </c>
      <c r="D15" s="297">
        <v>15210.02</v>
      </c>
      <c r="E15" s="95">
        <v>11603.09</v>
      </c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>
        <v>31729.38</v>
      </c>
      <c r="E17" s="107">
        <f>SUM(E18:E20)</f>
        <v>6374.95</v>
      </c>
    </row>
    <row r="18" spans="2:11">
      <c r="B18" s="123" t="s">
        <v>4</v>
      </c>
      <c r="C18" s="6" t="s">
        <v>11</v>
      </c>
      <c r="D18" s="297">
        <v>31729.38</v>
      </c>
      <c r="E18" s="96">
        <v>6374.95</v>
      </c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32043769.25</v>
      </c>
      <c r="E21" s="165">
        <f>E11-E17</f>
        <v>27794805.75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00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304">
        <v>37221244.49000001</v>
      </c>
      <c r="E26" s="112">
        <f>D21</f>
        <v>32043769.25</v>
      </c>
      <c r="G26" s="81"/>
    </row>
    <row r="27" spans="2:11">
      <c r="B27" s="10" t="s">
        <v>17</v>
      </c>
      <c r="C27" s="11" t="s">
        <v>217</v>
      </c>
      <c r="D27" s="305">
        <v>-6344195.3900000006</v>
      </c>
      <c r="E27" s="269">
        <f>E28-E32</f>
        <v>-6263279.0600000015</v>
      </c>
      <c r="F27" s="77"/>
      <c r="G27" s="81"/>
      <c r="H27" s="77"/>
      <c r="I27" s="81"/>
      <c r="J27" s="81"/>
    </row>
    <row r="28" spans="2:11">
      <c r="B28" s="10" t="s">
        <v>18</v>
      </c>
      <c r="C28" s="11" t="s">
        <v>19</v>
      </c>
      <c r="D28" s="305">
        <v>2339032.3199999998</v>
      </c>
      <c r="E28" s="284">
        <f>SUM(E29:E31)</f>
        <v>2461083.79</v>
      </c>
      <c r="F28" s="77"/>
      <c r="G28" s="77"/>
      <c r="H28" s="77"/>
      <c r="I28" s="81"/>
      <c r="J28" s="81"/>
    </row>
    <row r="29" spans="2:11">
      <c r="B29" s="121" t="s">
        <v>4</v>
      </c>
      <c r="C29" s="6" t="s">
        <v>20</v>
      </c>
      <c r="D29" s="257">
        <v>1924239.21</v>
      </c>
      <c r="E29" s="286">
        <v>1723287.5999999999</v>
      </c>
      <c r="F29" s="77"/>
      <c r="G29" s="77"/>
      <c r="H29" s="77"/>
      <c r="I29" s="81"/>
      <c r="J29" s="81"/>
    </row>
    <row r="30" spans="2:11">
      <c r="B30" s="121" t="s">
        <v>6</v>
      </c>
      <c r="C30" s="6" t="s">
        <v>21</v>
      </c>
      <c r="D30" s="257"/>
      <c r="E30" s="286"/>
      <c r="F30" s="77"/>
      <c r="G30" s="77"/>
      <c r="H30" s="77"/>
      <c r="I30" s="81"/>
      <c r="J30" s="81"/>
    </row>
    <row r="31" spans="2:11">
      <c r="B31" s="121" t="s">
        <v>8</v>
      </c>
      <c r="C31" s="6" t="s">
        <v>22</v>
      </c>
      <c r="D31" s="257">
        <v>414793.11</v>
      </c>
      <c r="E31" s="286">
        <v>737796.19000000006</v>
      </c>
      <c r="F31" s="77"/>
      <c r="G31" s="77"/>
      <c r="H31" s="77"/>
      <c r="I31" s="81"/>
      <c r="J31" s="81"/>
    </row>
    <row r="32" spans="2:11">
      <c r="B32" s="106" t="s">
        <v>23</v>
      </c>
      <c r="C32" s="12" t="s">
        <v>24</v>
      </c>
      <c r="D32" s="305">
        <v>8683227.7100000009</v>
      </c>
      <c r="E32" s="284">
        <f>SUM(E33:E39)</f>
        <v>8724362.8500000015</v>
      </c>
      <c r="F32" s="77"/>
      <c r="G32" s="81"/>
      <c r="H32" s="77"/>
      <c r="I32" s="81"/>
      <c r="J32" s="81"/>
    </row>
    <row r="33" spans="2:10">
      <c r="B33" s="121" t="s">
        <v>4</v>
      </c>
      <c r="C33" s="6" t="s">
        <v>25</v>
      </c>
      <c r="D33" s="257">
        <v>5719429.3899999997</v>
      </c>
      <c r="E33" s="286">
        <f>7648562.78-45108.6</f>
        <v>7603454.1800000006</v>
      </c>
      <c r="F33" s="77"/>
      <c r="G33" s="77"/>
      <c r="H33" s="77"/>
      <c r="I33" s="81"/>
      <c r="J33" s="81"/>
    </row>
    <row r="34" spans="2:10">
      <c r="B34" s="121" t="s">
        <v>6</v>
      </c>
      <c r="C34" s="6" t="s">
        <v>26</v>
      </c>
      <c r="D34" s="257"/>
      <c r="E34" s="286"/>
      <c r="F34" s="77"/>
      <c r="G34" s="77"/>
      <c r="H34" s="77"/>
      <c r="I34" s="81"/>
      <c r="J34" s="81"/>
    </row>
    <row r="35" spans="2:10">
      <c r="B35" s="121" t="s">
        <v>8</v>
      </c>
      <c r="C35" s="6" t="s">
        <v>27</v>
      </c>
      <c r="D35" s="257">
        <v>197919.61</v>
      </c>
      <c r="E35" s="286">
        <v>119933.94</v>
      </c>
      <c r="F35" s="77"/>
      <c r="G35" s="77"/>
      <c r="H35" s="77"/>
      <c r="I35" s="81"/>
      <c r="J35" s="81"/>
    </row>
    <row r="36" spans="2:10">
      <c r="B36" s="121" t="s">
        <v>9</v>
      </c>
      <c r="C36" s="6" t="s">
        <v>28</v>
      </c>
      <c r="D36" s="257"/>
      <c r="E36" s="286"/>
      <c r="F36" s="77"/>
      <c r="G36" s="77"/>
      <c r="H36" s="77"/>
      <c r="I36" s="81"/>
      <c r="J36" s="81"/>
    </row>
    <row r="37" spans="2:10" ht="25.5">
      <c r="B37" s="121" t="s">
        <v>29</v>
      </c>
      <c r="C37" s="6" t="s">
        <v>30</v>
      </c>
      <c r="D37" s="257">
        <v>610254.62</v>
      </c>
      <c r="E37" s="286">
        <v>520878.4</v>
      </c>
      <c r="F37" s="77"/>
      <c r="G37" s="77"/>
      <c r="H37" s="77"/>
      <c r="I37" s="81"/>
      <c r="J37" s="81"/>
    </row>
    <row r="38" spans="2:10">
      <c r="B38" s="121" t="s">
        <v>31</v>
      </c>
      <c r="C38" s="6" t="s">
        <v>32</v>
      </c>
      <c r="D38" s="257"/>
      <c r="E38" s="286"/>
      <c r="F38" s="77"/>
      <c r="G38" s="77"/>
      <c r="H38" s="77"/>
      <c r="I38" s="81"/>
      <c r="J38" s="81"/>
    </row>
    <row r="39" spans="2:10">
      <c r="B39" s="122" t="s">
        <v>33</v>
      </c>
      <c r="C39" s="13" t="s">
        <v>34</v>
      </c>
      <c r="D39" s="306">
        <v>2155624.09</v>
      </c>
      <c r="E39" s="288">
        <v>480096.33</v>
      </c>
      <c r="F39" s="77"/>
      <c r="G39" s="77"/>
      <c r="H39" s="77"/>
      <c r="I39" s="81"/>
      <c r="J39" s="81"/>
    </row>
    <row r="40" spans="2:10" ht="13.5" thickBot="1">
      <c r="B40" s="113" t="s">
        <v>35</v>
      </c>
      <c r="C40" s="114" t="s">
        <v>36</v>
      </c>
      <c r="D40" s="307">
        <v>1166720.1500000001</v>
      </c>
      <c r="E40" s="115">
        <v>2014315.56</v>
      </c>
      <c r="G40" s="81"/>
    </row>
    <row r="41" spans="2:10" ht="13.5" thickBot="1">
      <c r="B41" s="116" t="s">
        <v>37</v>
      </c>
      <c r="C41" s="117" t="s">
        <v>38</v>
      </c>
      <c r="D41" s="87">
        <v>32043769.250000007</v>
      </c>
      <c r="E41" s="165">
        <f>E26+E27+E40</f>
        <v>27794805.749999996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0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302">
        <v>297099.30440000002</v>
      </c>
      <c r="E47" s="80">
        <v>246897.13389999999</v>
      </c>
      <c r="G47" s="77"/>
    </row>
    <row r="48" spans="2:10">
      <c r="B48" s="140" t="s">
        <v>6</v>
      </c>
      <c r="C48" s="23" t="s">
        <v>41</v>
      </c>
      <c r="D48" s="308">
        <v>246897.13389999999</v>
      </c>
      <c r="E48" s="80">
        <v>200882.4307</v>
      </c>
      <c r="G48" s="231"/>
    </row>
    <row r="49" spans="2:7">
      <c r="B49" s="137" t="s">
        <v>23</v>
      </c>
      <c r="C49" s="141" t="s">
        <v>219</v>
      </c>
      <c r="D49" s="309"/>
      <c r="E49" s="142"/>
    </row>
    <row r="50" spans="2:7">
      <c r="B50" s="119" t="s">
        <v>4</v>
      </c>
      <c r="C50" s="16" t="s">
        <v>40</v>
      </c>
      <c r="D50" s="310">
        <v>125.282166396078</v>
      </c>
      <c r="E50" s="80">
        <v>129.78591020657899</v>
      </c>
      <c r="G50" s="208"/>
    </row>
    <row r="51" spans="2:7">
      <c r="B51" s="119" t="s">
        <v>6</v>
      </c>
      <c r="C51" s="16" t="s">
        <v>220</v>
      </c>
      <c r="D51" s="311">
        <v>121.51180000000001</v>
      </c>
      <c r="E51" s="207">
        <v>129.7859</v>
      </c>
      <c r="G51" s="208"/>
    </row>
    <row r="52" spans="2:7" ht="12.75" customHeight="1">
      <c r="B52" s="119" t="s">
        <v>8</v>
      </c>
      <c r="C52" s="16" t="s">
        <v>221</v>
      </c>
      <c r="D52" s="311">
        <v>129.81469999999999</v>
      </c>
      <c r="E52" s="207">
        <v>138.6404</v>
      </c>
    </row>
    <row r="53" spans="2:7" ht="13.5" thickBot="1">
      <c r="B53" s="120" t="s">
        <v>9</v>
      </c>
      <c r="C53" s="18" t="s">
        <v>41</v>
      </c>
      <c r="D53" s="254">
        <v>129.78591020657899</v>
      </c>
      <c r="E53" s="167">
        <v>138.36354752522999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SUM(D59:D70)</f>
        <v>27789577.609999999</v>
      </c>
      <c r="E58" s="33">
        <f>D58/E21</f>
        <v>0.99981190226522809</v>
      </c>
    </row>
    <row r="59" spans="2:7" ht="25.5">
      <c r="B59" s="22" t="s">
        <v>4</v>
      </c>
      <c r="C59" s="23" t="s">
        <v>44</v>
      </c>
      <c r="D59" s="90">
        <v>0</v>
      </c>
      <c r="E59" s="91">
        <v>0</v>
      </c>
    </row>
    <row r="60" spans="2:7" ht="24" customHeight="1">
      <c r="B60" s="15" t="s">
        <v>6</v>
      </c>
      <c r="C60" s="16" t="s">
        <v>45</v>
      </c>
      <c r="D60" s="88">
        <v>0</v>
      </c>
      <c r="E60" s="89">
        <v>0</v>
      </c>
    </row>
    <row r="61" spans="2:7">
      <c r="B61" s="15" t="s">
        <v>8</v>
      </c>
      <c r="C61" s="16" t="s">
        <v>46</v>
      </c>
      <c r="D61" s="88">
        <v>0</v>
      </c>
      <c r="E61" s="89">
        <v>0</v>
      </c>
    </row>
    <row r="62" spans="2:7">
      <c r="B62" s="15" t="s">
        <v>9</v>
      </c>
      <c r="C62" s="16" t="s">
        <v>47</v>
      </c>
      <c r="D62" s="88">
        <v>0</v>
      </c>
      <c r="E62" s="89">
        <v>0</v>
      </c>
    </row>
    <row r="63" spans="2:7">
      <c r="B63" s="15" t="s">
        <v>29</v>
      </c>
      <c r="C63" s="16" t="s">
        <v>48</v>
      </c>
      <c r="D63" s="88">
        <v>0</v>
      </c>
      <c r="E63" s="89">
        <v>0</v>
      </c>
    </row>
    <row r="64" spans="2:7">
      <c r="B64" s="22" t="s">
        <v>31</v>
      </c>
      <c r="C64" s="23" t="s">
        <v>49</v>
      </c>
      <c r="D64" s="90">
        <f>27149082.14-2885.14</f>
        <v>27146197</v>
      </c>
      <c r="E64" s="91">
        <f>D64/E21</f>
        <v>0.97666438989234527</v>
      </c>
    </row>
    <row r="65" spans="2:5">
      <c r="B65" s="22" t="s">
        <v>33</v>
      </c>
      <c r="C65" s="23" t="s">
        <v>224</v>
      </c>
      <c r="D65" s="90">
        <v>0</v>
      </c>
      <c r="E65" s="91">
        <v>0</v>
      </c>
    </row>
    <row r="66" spans="2:5">
      <c r="B66" s="22" t="s">
        <v>50</v>
      </c>
      <c r="C66" s="23" t="s">
        <v>51</v>
      </c>
      <c r="D66" s="90">
        <v>0</v>
      </c>
      <c r="E66" s="91">
        <v>0</v>
      </c>
    </row>
    <row r="67" spans="2:5">
      <c r="B67" s="15" t="s">
        <v>52</v>
      </c>
      <c r="C67" s="16" t="s">
        <v>53</v>
      </c>
      <c r="D67" s="88">
        <v>0</v>
      </c>
      <c r="E67" s="89">
        <v>0</v>
      </c>
    </row>
    <row r="68" spans="2:5">
      <c r="B68" s="15" t="s">
        <v>54</v>
      </c>
      <c r="C68" s="16" t="s">
        <v>55</v>
      </c>
      <c r="D68" s="88">
        <v>0</v>
      </c>
      <c r="E68" s="89">
        <v>0</v>
      </c>
    </row>
    <row r="69" spans="2:5">
      <c r="B69" s="15" t="s">
        <v>56</v>
      </c>
      <c r="C69" s="16" t="s">
        <v>57</v>
      </c>
      <c r="D69" s="88">
        <v>643380.61</v>
      </c>
      <c r="E69" s="89">
        <f>D69/E21</f>
        <v>2.3147512372882834E-2</v>
      </c>
    </row>
    <row r="70" spans="2:5">
      <c r="B70" s="129" t="s">
        <v>58</v>
      </c>
      <c r="C70" s="130" t="s">
        <v>59</v>
      </c>
      <c r="D70" s="131">
        <v>0</v>
      </c>
      <c r="E70" s="132">
        <v>0</v>
      </c>
    </row>
    <row r="71" spans="2:5">
      <c r="B71" s="137" t="s">
        <v>23</v>
      </c>
      <c r="C71" s="138" t="s">
        <v>61</v>
      </c>
      <c r="D71" s="139">
        <f>E13</f>
        <v>0</v>
      </c>
      <c r="E71" s="70">
        <f>D71/E21</f>
        <v>0</v>
      </c>
    </row>
    <row r="72" spans="2:5">
      <c r="B72" s="133" t="s">
        <v>60</v>
      </c>
      <c r="C72" s="134" t="s">
        <v>63</v>
      </c>
      <c r="D72" s="135">
        <f>E14</f>
        <v>11603.09</v>
      </c>
      <c r="E72" s="136">
        <f>D72/E21</f>
        <v>4.1745533695625848E-4</v>
      </c>
    </row>
    <row r="73" spans="2:5">
      <c r="B73" s="24" t="s">
        <v>62</v>
      </c>
      <c r="C73" s="25" t="s">
        <v>65</v>
      </c>
      <c r="D73" s="26">
        <f>E17</f>
        <v>6374.95</v>
      </c>
      <c r="E73" s="27">
        <f>D73/E21</f>
        <v>2.2935760218435776E-4</v>
      </c>
    </row>
    <row r="74" spans="2:5">
      <c r="B74" s="137" t="s">
        <v>64</v>
      </c>
      <c r="C74" s="138" t="s">
        <v>66</v>
      </c>
      <c r="D74" s="139">
        <f>D58+D71+D72-D73</f>
        <v>27794805.75</v>
      </c>
      <c r="E74" s="70">
        <f>E58+E72-E73</f>
        <v>1</v>
      </c>
    </row>
    <row r="75" spans="2:5">
      <c r="B75" s="15" t="s">
        <v>4</v>
      </c>
      <c r="C75" s="16" t="s">
        <v>67</v>
      </c>
      <c r="D75" s="88">
        <f>D74</f>
        <v>27794805.75</v>
      </c>
      <c r="E75" s="89">
        <f>E74</f>
        <v>1</v>
      </c>
    </row>
    <row r="76" spans="2:5">
      <c r="B76" s="15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7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1.03" right="0.75" top="0.6" bottom="0.19" header="0.5" footer="0.5"/>
  <pageSetup paperSize="9" scale="70" orientation="portrait" r:id="rId1"/>
  <headerFooter alignWithMargins="0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8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4.710937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1"/>
      <c r="C4" s="161"/>
      <c r="D4" s="161"/>
      <c r="E4" s="16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158</v>
      </c>
      <c r="C6" s="334"/>
      <c r="D6" s="334"/>
      <c r="E6" s="334"/>
    </row>
    <row r="7" spans="2:12" ht="14.25">
      <c r="B7" s="159"/>
      <c r="C7" s="159"/>
      <c r="D7" s="159"/>
      <c r="E7" s="159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60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10676382.380000001</v>
      </c>
      <c r="E11" s="9">
        <f>E12</f>
        <v>11673425.619999999</v>
      </c>
    </row>
    <row r="12" spans="2:12">
      <c r="B12" s="209" t="s">
        <v>4</v>
      </c>
      <c r="C12" s="210" t="s">
        <v>5</v>
      </c>
      <c r="D12" s="297">
        <v>10676382.380000001</v>
      </c>
      <c r="E12" s="95">
        <f>11673470.85-45.23</f>
        <v>11673425.619999999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10676382.380000001</v>
      </c>
      <c r="E21" s="165">
        <f>E11</f>
        <v>11673425.619999999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11898794.42</v>
      </c>
      <c r="E26" s="112">
        <f>D21</f>
        <v>10676382.380000001</v>
      </c>
      <c r="G26" s="81"/>
    </row>
    <row r="27" spans="2:11">
      <c r="B27" s="10" t="s">
        <v>17</v>
      </c>
      <c r="C27" s="11" t="s">
        <v>217</v>
      </c>
      <c r="D27" s="245">
        <v>-1889129.29</v>
      </c>
      <c r="E27" s="269">
        <f>E28-E32</f>
        <v>620575.40000000037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322040.62</v>
      </c>
      <c r="E28" s="284">
        <f>SUM(E29:E31)</f>
        <v>5567845.6799999997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2437.5</v>
      </c>
      <c r="E29" s="286">
        <v>250000.04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319603.12</v>
      </c>
      <c r="E31" s="286">
        <v>5317845.6399999997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2211169.91</v>
      </c>
      <c r="E32" s="284">
        <f>SUM(E33:E39)</f>
        <v>4947270.2799999993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612263.23</v>
      </c>
      <c r="E33" s="286">
        <f>3358385.65+45.23</f>
        <v>3358430.88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27806.400000000001</v>
      </c>
      <c r="E35" s="286">
        <v>12762.36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167267.07999999999</v>
      </c>
      <c r="E37" s="286">
        <v>210589.17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1403833.2</v>
      </c>
      <c r="E39" s="288">
        <v>1365487.87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666717.25</v>
      </c>
      <c r="E40" s="115">
        <v>376467.84</v>
      </c>
      <c r="G40" s="81"/>
    </row>
    <row r="41" spans="2:10" ht="13.5" thickBot="1">
      <c r="B41" s="116" t="s">
        <v>37</v>
      </c>
      <c r="C41" s="117" t="s">
        <v>38</v>
      </c>
      <c r="D41" s="249">
        <v>10676382.379999999</v>
      </c>
      <c r="E41" s="165">
        <f>E26+E27+E40</f>
        <v>11673425.620000001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60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146230.72899999999</v>
      </c>
      <c r="E47" s="80">
        <v>122239.322</v>
      </c>
      <c r="G47" s="77"/>
    </row>
    <row r="48" spans="2:10">
      <c r="B48" s="140" t="s">
        <v>6</v>
      </c>
      <c r="C48" s="23" t="s">
        <v>41</v>
      </c>
      <c r="D48" s="251">
        <v>122239.322</v>
      </c>
      <c r="E48" s="166">
        <v>129575.656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81.37</v>
      </c>
      <c r="E50" s="82">
        <v>87.34</v>
      </c>
      <c r="G50" s="208"/>
    </row>
    <row r="51" spans="2:7">
      <c r="B51" s="119" t="s">
        <v>6</v>
      </c>
      <c r="C51" s="16" t="s">
        <v>220</v>
      </c>
      <c r="D51" s="253">
        <v>74.69</v>
      </c>
      <c r="E51" s="82">
        <v>85.84</v>
      </c>
      <c r="G51" s="208"/>
    </row>
    <row r="52" spans="2:7">
      <c r="B52" s="119" t="s">
        <v>8</v>
      </c>
      <c r="C52" s="16" t="s">
        <v>221</v>
      </c>
      <c r="D52" s="253">
        <v>88.09</v>
      </c>
      <c r="E52" s="82">
        <v>92.59</v>
      </c>
    </row>
    <row r="53" spans="2:7" ht="14.25" customHeight="1" thickBot="1">
      <c r="B53" s="120" t="s">
        <v>9</v>
      </c>
      <c r="C53" s="18" t="s">
        <v>41</v>
      </c>
      <c r="D53" s="254">
        <v>87.34</v>
      </c>
      <c r="E53" s="167">
        <v>90.09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11673425.619999999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11673425.619999999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11673425.619999999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11673425.619999999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9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1"/>
      <c r="C4" s="161"/>
      <c r="D4" s="161"/>
      <c r="E4" s="16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194</v>
      </c>
      <c r="C6" s="334"/>
      <c r="D6" s="334"/>
      <c r="E6" s="334"/>
    </row>
    <row r="7" spans="2:12" ht="14.25">
      <c r="B7" s="159"/>
      <c r="C7" s="159"/>
      <c r="D7" s="159"/>
      <c r="E7" s="159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60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47606.3</v>
      </c>
      <c r="E11" s="9">
        <f>E12</f>
        <v>53143.45</v>
      </c>
    </row>
    <row r="12" spans="2:12">
      <c r="B12" s="209" t="s">
        <v>4</v>
      </c>
      <c r="C12" s="210" t="s">
        <v>5</v>
      </c>
      <c r="D12" s="297">
        <v>47606.3</v>
      </c>
      <c r="E12" s="95">
        <v>53143.45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47606.3</v>
      </c>
      <c r="E21" s="165">
        <f>E11</f>
        <v>53143.45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40953.79</v>
      </c>
      <c r="E26" s="112">
        <f>D21</f>
        <v>47606.3</v>
      </c>
      <c r="G26" s="81"/>
    </row>
    <row r="27" spans="2:11">
      <c r="B27" s="10" t="s">
        <v>17</v>
      </c>
      <c r="C27" s="11" t="s">
        <v>217</v>
      </c>
      <c r="D27" s="245">
        <v>-3081.9400000000005</v>
      </c>
      <c r="E27" s="269">
        <f>E28-E32</f>
        <v>-4461.29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3394.59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3394.59</v>
      </c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6476.5300000000007</v>
      </c>
      <c r="E32" s="284">
        <f>SUM(E33:E39)</f>
        <v>4461.29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3104.01</v>
      </c>
      <c r="E33" s="286">
        <v>3187.33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218.11</v>
      </c>
      <c r="E35" s="286">
        <v>174.04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664.63</v>
      </c>
      <c r="E37" s="286">
        <v>808.01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2489.7800000000002</v>
      </c>
      <c r="E39" s="288">
        <v>291.91000000000003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9734.4500000000007</v>
      </c>
      <c r="E40" s="115">
        <v>9998.44</v>
      </c>
      <c r="G40" s="81"/>
    </row>
    <row r="41" spans="2:10" ht="13.5" thickBot="1">
      <c r="B41" s="116" t="s">
        <v>37</v>
      </c>
      <c r="C41" s="117" t="s">
        <v>38</v>
      </c>
      <c r="D41" s="249">
        <v>47606.3</v>
      </c>
      <c r="E41" s="165">
        <f>E26+E27+E40</f>
        <v>53143.450000000004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7800.7209999999995</v>
      </c>
      <c r="E47" s="80">
        <v>7380.8209999999999</v>
      </c>
      <c r="G47" s="77"/>
    </row>
    <row r="48" spans="2:10">
      <c r="B48" s="222" t="s">
        <v>6</v>
      </c>
      <c r="C48" s="223" t="s">
        <v>41</v>
      </c>
      <c r="D48" s="251">
        <v>7380.8209999999999</v>
      </c>
      <c r="E48" s="166">
        <v>6804.5389999999998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5.25</v>
      </c>
      <c r="E50" s="82">
        <v>6.45</v>
      </c>
      <c r="G50" s="208"/>
    </row>
    <row r="51" spans="2:7">
      <c r="B51" s="220" t="s">
        <v>6</v>
      </c>
      <c r="C51" s="221" t="s">
        <v>220</v>
      </c>
      <c r="D51" s="253">
        <v>4.58</v>
      </c>
      <c r="E51" s="82">
        <v>6.42</v>
      </c>
      <c r="G51" s="208"/>
    </row>
    <row r="52" spans="2:7">
      <c r="B52" s="220" t="s">
        <v>8</v>
      </c>
      <c r="C52" s="221" t="s">
        <v>221</v>
      </c>
      <c r="D52" s="253">
        <v>7.3</v>
      </c>
      <c r="E52" s="82">
        <v>8.44</v>
      </c>
    </row>
    <row r="53" spans="2:7" ht="14.25" customHeight="1" thickBot="1">
      <c r="B53" s="224" t="s">
        <v>9</v>
      </c>
      <c r="C53" s="225" t="s">
        <v>41</v>
      </c>
      <c r="D53" s="254">
        <v>6.45</v>
      </c>
      <c r="E53" s="167">
        <v>7.81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53143.45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53143.45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53143.45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53143.45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0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1"/>
      <c r="C4" s="161"/>
      <c r="D4" s="161"/>
      <c r="E4" s="16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191</v>
      </c>
      <c r="C6" s="334"/>
      <c r="D6" s="334"/>
      <c r="E6" s="334"/>
    </row>
    <row r="7" spans="2:12" ht="14.25">
      <c r="B7" s="159"/>
      <c r="C7" s="159"/>
      <c r="D7" s="159"/>
      <c r="E7" s="159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60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241638.35</v>
      </c>
      <c r="E11" s="9">
        <f>E12</f>
        <v>186984.3</v>
      </c>
    </row>
    <row r="12" spans="2:12">
      <c r="B12" s="209" t="s">
        <v>4</v>
      </c>
      <c r="C12" s="210" t="s">
        <v>5</v>
      </c>
      <c r="D12" s="297">
        <v>241638.35</v>
      </c>
      <c r="E12" s="95">
        <v>186984.3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241638.35</v>
      </c>
      <c r="E21" s="165">
        <f>E11</f>
        <v>186984.3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218590.81</v>
      </c>
      <c r="E26" s="112">
        <f>D21</f>
        <v>241638.35</v>
      </c>
      <c r="G26" s="81"/>
    </row>
    <row r="27" spans="2:11">
      <c r="B27" s="10" t="s">
        <v>17</v>
      </c>
      <c r="C27" s="11" t="s">
        <v>217</v>
      </c>
      <c r="D27" s="245">
        <v>-8108.14</v>
      </c>
      <c r="E27" s="269">
        <f>E28-E32</f>
        <v>-68723.75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0</v>
      </c>
      <c r="E28" s="284">
        <f>SUM(E29:E31)</f>
        <v>9659.35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>
        <v>5791.5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>
        <v>3867.85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8108.14</v>
      </c>
      <c r="E32" s="284">
        <f>SUM(E33:E39)</f>
        <v>78383.100000000006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3908.71</v>
      </c>
      <c r="E33" s="286">
        <v>71910.61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1058.92</v>
      </c>
      <c r="E35" s="286">
        <v>669.8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3140.51</v>
      </c>
      <c r="E37" s="286">
        <v>3337.56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>
        <v>2465.13</v>
      </c>
      <c r="F39" s="77"/>
      <c r="G39" s="77">
        <f>2464.56+0.57</f>
        <v>2465.13</v>
      </c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31155.68</v>
      </c>
      <c r="E40" s="115">
        <v>14069.7</v>
      </c>
      <c r="G40" s="81"/>
    </row>
    <row r="41" spans="2:10" ht="13.5" thickBot="1">
      <c r="B41" s="116" t="s">
        <v>37</v>
      </c>
      <c r="C41" s="117" t="s">
        <v>38</v>
      </c>
      <c r="D41" s="249">
        <v>241638.34999999998</v>
      </c>
      <c r="E41" s="165">
        <f>E26+E27+E40</f>
        <v>186984.30000000002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1979.9892</v>
      </c>
      <c r="E47" s="80">
        <v>1910.0336</v>
      </c>
      <c r="G47" s="77"/>
    </row>
    <row r="48" spans="2:10">
      <c r="B48" s="222" t="s">
        <v>6</v>
      </c>
      <c r="C48" s="223" t="s">
        <v>41</v>
      </c>
      <c r="D48" s="251">
        <v>1910.0336</v>
      </c>
      <c r="E48" s="166">
        <v>1407.5903000000001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110.4</v>
      </c>
      <c r="E50" s="82">
        <v>126.51</v>
      </c>
      <c r="G50" s="208"/>
    </row>
    <row r="51" spans="2:7">
      <c r="B51" s="220" t="s">
        <v>6</v>
      </c>
      <c r="C51" s="221" t="s">
        <v>220</v>
      </c>
      <c r="D51" s="253">
        <v>103.46000000000001</v>
      </c>
      <c r="E51" s="82">
        <v>126.7</v>
      </c>
      <c r="G51" s="208"/>
    </row>
    <row r="52" spans="2:7">
      <c r="B52" s="220" t="s">
        <v>8</v>
      </c>
      <c r="C52" s="221" t="s">
        <v>221</v>
      </c>
      <c r="D52" s="253">
        <v>126.51</v>
      </c>
      <c r="E52" s="82">
        <v>138.74</v>
      </c>
    </row>
    <row r="53" spans="2:7" ht="14.25" customHeight="1" thickBot="1">
      <c r="B53" s="224" t="s">
        <v>9</v>
      </c>
      <c r="C53" s="225" t="s">
        <v>41</v>
      </c>
      <c r="D53" s="254">
        <v>126.51</v>
      </c>
      <c r="E53" s="167">
        <v>132.84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186984.3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186984.3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186984.3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186984.3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1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1"/>
      <c r="C4" s="161"/>
      <c r="D4" s="161"/>
      <c r="E4" s="16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140</v>
      </c>
      <c r="C6" s="334"/>
      <c r="D6" s="334"/>
      <c r="E6" s="334"/>
    </row>
    <row r="7" spans="2:12" ht="14.25">
      <c r="B7" s="159"/>
      <c r="C7" s="159"/>
      <c r="D7" s="159"/>
      <c r="E7" s="159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60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262403.26</v>
      </c>
      <c r="E11" s="9">
        <f>E12</f>
        <v>223618.74000000002</v>
      </c>
    </row>
    <row r="12" spans="2:12">
      <c r="B12" s="209" t="s">
        <v>4</v>
      </c>
      <c r="C12" s="210" t="s">
        <v>5</v>
      </c>
      <c r="D12" s="297">
        <v>262403.26</v>
      </c>
      <c r="E12" s="95">
        <f>223824.14-205.4</f>
        <v>223618.74000000002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262403.26</v>
      </c>
      <c r="E21" s="165">
        <f>E11-E17</f>
        <v>223618.74000000002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234940.21</v>
      </c>
      <c r="E26" s="112">
        <f>D21</f>
        <v>262403.26</v>
      </c>
      <c r="G26" s="81"/>
    </row>
    <row r="27" spans="2:11">
      <c r="B27" s="10" t="s">
        <v>17</v>
      </c>
      <c r="C27" s="11" t="s">
        <v>217</v>
      </c>
      <c r="D27" s="245">
        <v>320.32999999999447</v>
      </c>
      <c r="E27" s="269">
        <f>E28-E32</f>
        <v>-64456.72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49399.159999999996</v>
      </c>
      <c r="E28" s="284">
        <f>SUM(E29:E31)</f>
        <v>37292.160000000003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34888.699999999997</v>
      </c>
      <c r="E29" s="286">
        <v>17515.349999999999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14510.46</v>
      </c>
      <c r="E31" s="286">
        <v>19776.810000000001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49078.83</v>
      </c>
      <c r="E32" s="284">
        <f>SUM(E33:E39)</f>
        <v>101748.88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6682.49</v>
      </c>
      <c r="E33" s="286">
        <f>60433.62+18.11</f>
        <v>60451.73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1344.53</v>
      </c>
      <c r="E35" s="286">
        <v>1083.94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4005.8</v>
      </c>
      <c r="E37" s="286">
        <v>3919.23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37046.01</v>
      </c>
      <c r="E39" s="288">
        <v>36293.980000000003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27142.720000000001</v>
      </c>
      <c r="E40" s="115">
        <v>25672.2</v>
      </c>
      <c r="G40" s="81"/>
    </row>
    <row r="41" spans="2:10" ht="13.5" thickBot="1">
      <c r="B41" s="116" t="s">
        <v>37</v>
      </c>
      <c r="C41" s="117" t="s">
        <v>38</v>
      </c>
      <c r="D41" s="249">
        <v>262403.26</v>
      </c>
      <c r="E41" s="165">
        <f>E26+E27+E40</f>
        <v>223618.74000000002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60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2618.3017</v>
      </c>
      <c r="E47" s="80">
        <v>2613.0578</v>
      </c>
      <c r="G47" s="77"/>
      <c r="H47" s="177"/>
    </row>
    <row r="48" spans="2:10">
      <c r="B48" s="140" t="s">
        <v>6</v>
      </c>
      <c r="C48" s="23" t="s">
        <v>41</v>
      </c>
      <c r="D48" s="251">
        <v>2613.0578</v>
      </c>
      <c r="E48" s="166">
        <v>2030.498</v>
      </c>
      <c r="G48" s="177"/>
    </row>
    <row r="49" spans="2:8">
      <c r="B49" s="137" t="s">
        <v>23</v>
      </c>
      <c r="C49" s="141" t="s">
        <v>219</v>
      </c>
      <c r="D49" s="252"/>
      <c r="E49" s="142"/>
      <c r="H49" s="170"/>
    </row>
    <row r="50" spans="2:8">
      <c r="B50" s="119" t="s">
        <v>4</v>
      </c>
      <c r="C50" s="16" t="s">
        <v>40</v>
      </c>
      <c r="D50" s="250">
        <v>89.73</v>
      </c>
      <c r="E50" s="82">
        <v>100.42</v>
      </c>
      <c r="G50" s="208"/>
    </row>
    <row r="51" spans="2:8">
      <c r="B51" s="119" t="s">
        <v>6</v>
      </c>
      <c r="C51" s="16" t="s">
        <v>220</v>
      </c>
      <c r="D51" s="253">
        <v>82.460000000000008</v>
      </c>
      <c r="E51" s="82">
        <v>100.42</v>
      </c>
      <c r="G51" s="208"/>
    </row>
    <row r="52" spans="2:8">
      <c r="B52" s="119" t="s">
        <v>8</v>
      </c>
      <c r="C52" s="16" t="s">
        <v>221</v>
      </c>
      <c r="D52" s="253">
        <v>102.06</v>
      </c>
      <c r="E52" s="82">
        <v>114.32</v>
      </c>
    </row>
    <row r="53" spans="2:8" ht="13.5" customHeight="1" thickBot="1">
      <c r="B53" s="120" t="s">
        <v>9</v>
      </c>
      <c r="C53" s="18" t="s">
        <v>41</v>
      </c>
      <c r="D53" s="254">
        <v>100.42</v>
      </c>
      <c r="E53" s="167">
        <v>110.13</v>
      </c>
    </row>
    <row r="54" spans="2:8">
      <c r="B54" s="126"/>
      <c r="C54" s="127"/>
      <c r="D54" s="128"/>
      <c r="E54" s="128"/>
    </row>
    <row r="55" spans="2:8" ht="13.5">
      <c r="B55" s="337" t="s">
        <v>62</v>
      </c>
      <c r="C55" s="338"/>
      <c r="D55" s="338"/>
      <c r="E55" s="338"/>
    </row>
    <row r="56" spans="2:8" ht="15.75" customHeight="1" thickBot="1">
      <c r="B56" s="335" t="s">
        <v>222</v>
      </c>
      <c r="C56" s="339"/>
      <c r="D56" s="339"/>
      <c r="E56" s="339"/>
    </row>
    <row r="57" spans="2:8" ht="23.25" thickBot="1">
      <c r="B57" s="330" t="s">
        <v>42</v>
      </c>
      <c r="C57" s="331"/>
      <c r="D57" s="19" t="s">
        <v>244</v>
      </c>
      <c r="E57" s="20" t="s">
        <v>223</v>
      </c>
    </row>
    <row r="58" spans="2:8">
      <c r="B58" s="21" t="s">
        <v>18</v>
      </c>
      <c r="C58" s="143" t="s">
        <v>43</v>
      </c>
      <c r="D58" s="144">
        <f>D64</f>
        <v>223618.74000000002</v>
      </c>
      <c r="E58" s="33">
        <f>D58/E21</f>
        <v>1</v>
      </c>
    </row>
    <row r="59" spans="2:8" ht="25.5">
      <c r="B59" s="140" t="s">
        <v>4</v>
      </c>
      <c r="C59" s="23" t="s">
        <v>44</v>
      </c>
      <c r="D59" s="90">
        <v>0</v>
      </c>
      <c r="E59" s="91">
        <v>0</v>
      </c>
    </row>
    <row r="60" spans="2:8" ht="25.5">
      <c r="B60" s="119" t="s">
        <v>6</v>
      </c>
      <c r="C60" s="16" t="s">
        <v>45</v>
      </c>
      <c r="D60" s="88">
        <v>0</v>
      </c>
      <c r="E60" s="89">
        <v>0</v>
      </c>
    </row>
    <row r="61" spans="2:8">
      <c r="B61" s="119" t="s">
        <v>8</v>
      </c>
      <c r="C61" s="16" t="s">
        <v>46</v>
      </c>
      <c r="D61" s="88">
        <v>0</v>
      </c>
      <c r="E61" s="89">
        <v>0</v>
      </c>
    </row>
    <row r="62" spans="2:8">
      <c r="B62" s="119" t="s">
        <v>9</v>
      </c>
      <c r="C62" s="16" t="s">
        <v>47</v>
      </c>
      <c r="D62" s="88">
        <v>0</v>
      </c>
      <c r="E62" s="89">
        <v>0</v>
      </c>
    </row>
    <row r="63" spans="2:8">
      <c r="B63" s="119" t="s">
        <v>29</v>
      </c>
      <c r="C63" s="16" t="s">
        <v>48</v>
      </c>
      <c r="D63" s="88">
        <v>0</v>
      </c>
      <c r="E63" s="89">
        <v>0</v>
      </c>
    </row>
    <row r="64" spans="2:8">
      <c r="B64" s="140" t="s">
        <v>31</v>
      </c>
      <c r="C64" s="23" t="s">
        <v>49</v>
      </c>
      <c r="D64" s="90">
        <f>E12</f>
        <v>223618.74000000002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47" t="s">
        <v>64</v>
      </c>
      <c r="C74" s="138" t="s">
        <v>66</v>
      </c>
      <c r="D74" s="139">
        <f>D75</f>
        <v>223618.74000000002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D58-D73</f>
        <v>223618.74000000002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2"/>
  <dimension ref="A1:L81"/>
  <sheetViews>
    <sheetView topLeftCell="A4"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175</v>
      </c>
      <c r="C6" s="334"/>
      <c r="D6" s="334"/>
      <c r="E6" s="334"/>
    </row>
    <row r="7" spans="2:12" ht="14.25">
      <c r="B7" s="162"/>
      <c r="C7" s="162"/>
      <c r="D7" s="162"/>
      <c r="E7" s="162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63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117844.04</v>
      </c>
      <c r="E11" s="9">
        <f>E12</f>
        <v>115825.60000000001</v>
      </c>
    </row>
    <row r="12" spans="2:12">
      <c r="B12" s="209" t="s">
        <v>4</v>
      </c>
      <c r="C12" s="210" t="s">
        <v>5</v>
      </c>
      <c r="D12" s="297">
        <v>117844.04</v>
      </c>
      <c r="E12" s="95">
        <f>115854.44-28.84</f>
        <v>115825.60000000001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117844.04</v>
      </c>
      <c r="E21" s="165">
        <f>E11</f>
        <v>115825.60000000001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93470.15</v>
      </c>
      <c r="E26" s="112">
        <f>D21</f>
        <v>117844.04</v>
      </c>
      <c r="G26" s="81"/>
    </row>
    <row r="27" spans="2:11">
      <c r="B27" s="10" t="s">
        <v>17</v>
      </c>
      <c r="C27" s="11" t="s">
        <v>217</v>
      </c>
      <c r="D27" s="245">
        <v>14307.529999999999</v>
      </c>
      <c r="E27" s="269">
        <f>E28-E32</f>
        <v>-20243.580000000002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75513.84</v>
      </c>
      <c r="E28" s="284">
        <f>SUM(E29:E31)</f>
        <v>41244.92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5533.32</v>
      </c>
      <c r="E29" s="286">
        <v>6396.38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69980.52</v>
      </c>
      <c r="E31" s="286">
        <v>34848.54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61206.31</v>
      </c>
      <c r="E32" s="284">
        <f>SUM(E33:E39)</f>
        <v>61488.5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626.83000000000004</v>
      </c>
      <c r="E33" s="286">
        <f>26672.73+28.84</f>
        <v>26701.57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566.30999999999995</v>
      </c>
      <c r="E35" s="286">
        <v>687.91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827.22</v>
      </c>
      <c r="E37" s="286">
        <v>844.89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59185.95</v>
      </c>
      <c r="E39" s="288">
        <v>33254.129999999997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10066.36</v>
      </c>
      <c r="E40" s="115">
        <v>18225.14</v>
      </c>
      <c r="G40" s="81"/>
    </row>
    <row r="41" spans="2:10" ht="13.5" thickBot="1">
      <c r="B41" s="116" t="s">
        <v>37</v>
      </c>
      <c r="C41" s="117" t="s">
        <v>38</v>
      </c>
      <c r="D41" s="249">
        <v>117844.04</v>
      </c>
      <c r="E41" s="165">
        <f>E26+E27+E40</f>
        <v>115825.59999999999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920.34410000000003</v>
      </c>
      <c r="E47" s="80">
        <v>1023.8405</v>
      </c>
      <c r="G47" s="77"/>
    </row>
    <row r="48" spans="2:10">
      <c r="B48" s="222" t="s">
        <v>6</v>
      </c>
      <c r="C48" s="223" t="s">
        <v>41</v>
      </c>
      <c r="D48" s="251">
        <v>1023.8405</v>
      </c>
      <c r="E48" s="166">
        <v>865.79160000000002</v>
      </c>
      <c r="G48" s="1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101.56</v>
      </c>
      <c r="E50" s="82">
        <v>115.1</v>
      </c>
      <c r="G50" s="208"/>
    </row>
    <row r="51" spans="2:7">
      <c r="B51" s="220" t="s">
        <v>6</v>
      </c>
      <c r="C51" s="221" t="s">
        <v>220</v>
      </c>
      <c r="D51" s="253">
        <v>95.09</v>
      </c>
      <c r="E51" s="82">
        <v>115</v>
      </c>
      <c r="G51" s="208"/>
    </row>
    <row r="52" spans="2:7">
      <c r="B52" s="220" t="s">
        <v>8</v>
      </c>
      <c r="C52" s="221" t="s">
        <v>221</v>
      </c>
      <c r="D52" s="253">
        <v>115.1</v>
      </c>
      <c r="E52" s="82">
        <v>136.58000000000001</v>
      </c>
    </row>
    <row r="53" spans="2:7" ht="13.5" customHeight="1" thickBot="1">
      <c r="B53" s="224" t="s">
        <v>9</v>
      </c>
      <c r="C53" s="225" t="s">
        <v>41</v>
      </c>
      <c r="D53" s="254">
        <v>115.1</v>
      </c>
      <c r="E53" s="167">
        <v>133.78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115825.60000000001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115825.60000000001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115825.60000000001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115825.60000000001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1" right="0.75" top="0.56999999999999995" bottom="0.55000000000000004" header="0.5" footer="0.5"/>
  <pageSetup paperSize="9" scale="70" orientation="portrait" r:id="rId1"/>
  <headerFooter alignWithMargins="0"/>
</worksheet>
</file>

<file path=xl/worksheets/sheet1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3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145</v>
      </c>
      <c r="C6" s="334"/>
      <c r="D6" s="334"/>
      <c r="E6" s="334"/>
    </row>
    <row r="7" spans="2:12" ht="14.25">
      <c r="B7" s="162"/>
      <c r="C7" s="162"/>
      <c r="D7" s="162"/>
      <c r="E7" s="162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63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54787.77</v>
      </c>
      <c r="E11" s="9">
        <f>E12</f>
        <v>90376.75</v>
      </c>
    </row>
    <row r="12" spans="2:12">
      <c r="B12" s="209" t="s">
        <v>4</v>
      </c>
      <c r="C12" s="210" t="s">
        <v>5</v>
      </c>
      <c r="D12" s="297">
        <v>54787.77</v>
      </c>
      <c r="E12" s="95">
        <v>90376.75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54787.77</v>
      </c>
      <c r="E21" s="165">
        <f>E11</f>
        <v>90376.75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55097.98</v>
      </c>
      <c r="E26" s="112">
        <f>D21</f>
        <v>54787.77</v>
      </c>
      <c r="G26" s="81"/>
    </row>
    <row r="27" spans="2:11">
      <c r="B27" s="10" t="s">
        <v>17</v>
      </c>
      <c r="C27" s="11" t="s">
        <v>217</v>
      </c>
      <c r="D27" s="245">
        <v>-7273.3600000000006</v>
      </c>
      <c r="E27" s="269">
        <f>E28-E32</f>
        <v>26094.999999999993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0</v>
      </c>
      <c r="E28" s="284">
        <f>SUM(E29:E31)</f>
        <v>88028.68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>
        <v>88028.68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7273.3600000000006</v>
      </c>
      <c r="E32" s="284">
        <f>SUM(E33:E39)</f>
        <v>61933.68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>
        <v>23574.82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148.4</v>
      </c>
      <c r="E35" s="286">
        <v>143.22999999999999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745.94</v>
      </c>
      <c r="E37" s="286">
        <v>1731.12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6379.02</v>
      </c>
      <c r="E39" s="288">
        <v>36484.51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6963.15</v>
      </c>
      <c r="E40" s="115">
        <v>9493.98</v>
      </c>
      <c r="G40" s="81"/>
    </row>
    <row r="41" spans="2:10" ht="13.5" thickBot="1">
      <c r="B41" s="116" t="s">
        <v>37</v>
      </c>
      <c r="C41" s="117" t="s">
        <v>38</v>
      </c>
      <c r="D41" s="249">
        <v>54787.770000000004</v>
      </c>
      <c r="E41" s="165">
        <f>E26+E27+E40</f>
        <v>90376.749999999985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623.35080000000005</v>
      </c>
      <c r="E47" s="80">
        <v>539.7278</v>
      </c>
      <c r="G47" s="77"/>
    </row>
    <row r="48" spans="2:10">
      <c r="B48" s="222" t="s">
        <v>6</v>
      </c>
      <c r="C48" s="223" t="s">
        <v>41</v>
      </c>
      <c r="D48" s="251">
        <v>539.7278</v>
      </c>
      <c r="E48" s="166">
        <v>776.56600000000003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88.39</v>
      </c>
      <c r="E50" s="82">
        <v>101.51</v>
      </c>
      <c r="G50" s="208"/>
    </row>
    <row r="51" spans="2:7">
      <c r="B51" s="220" t="s">
        <v>6</v>
      </c>
      <c r="C51" s="221" t="s">
        <v>220</v>
      </c>
      <c r="D51" s="253">
        <v>81.25</v>
      </c>
      <c r="E51" s="82">
        <v>101.51</v>
      </c>
      <c r="G51" s="208"/>
    </row>
    <row r="52" spans="2:7">
      <c r="B52" s="220" t="s">
        <v>8</v>
      </c>
      <c r="C52" s="221" t="s">
        <v>221</v>
      </c>
      <c r="D52" s="253">
        <v>101.51</v>
      </c>
      <c r="E52" s="82">
        <v>120.23</v>
      </c>
    </row>
    <row r="53" spans="2:7" ht="12.75" customHeight="1" thickBot="1">
      <c r="B53" s="224" t="s">
        <v>9</v>
      </c>
      <c r="C53" s="225" t="s">
        <v>41</v>
      </c>
      <c r="D53" s="254">
        <v>101.51</v>
      </c>
      <c r="E53" s="167">
        <v>116.38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90376.75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90376.75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90376.75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90376.75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000000000000005" right="0.75" top="0.55000000000000004" bottom="0.52" header="0.5" footer="0.5"/>
  <pageSetup paperSize="9" scale="70" orientation="portrait" r:id="rId1"/>
  <headerFooter alignWithMargins="0"/>
</worksheet>
</file>

<file path=xl/worksheets/sheet1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4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139</v>
      </c>
      <c r="C6" s="334"/>
      <c r="D6" s="334"/>
      <c r="E6" s="334"/>
    </row>
    <row r="7" spans="2:12" ht="14.25">
      <c r="B7" s="162"/>
      <c r="C7" s="162"/>
      <c r="D7" s="162"/>
      <c r="E7" s="162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63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687908.93</v>
      </c>
      <c r="E11" s="9">
        <f>E12</f>
        <v>565749.92000000004</v>
      </c>
    </row>
    <row r="12" spans="2:12">
      <c r="B12" s="209" t="s">
        <v>4</v>
      </c>
      <c r="C12" s="210" t="s">
        <v>5</v>
      </c>
      <c r="D12" s="297">
        <v>687908.93</v>
      </c>
      <c r="E12" s="95">
        <v>565749.92000000004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687908.93</v>
      </c>
      <c r="E21" s="165">
        <f>E11</f>
        <v>565749.92000000004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392472.51</v>
      </c>
      <c r="E26" s="112">
        <f>D21</f>
        <v>687908.93</v>
      </c>
      <c r="G26" s="81"/>
    </row>
    <row r="27" spans="2:11">
      <c r="B27" s="10" t="s">
        <v>17</v>
      </c>
      <c r="C27" s="11" t="s">
        <v>217</v>
      </c>
      <c r="D27" s="245">
        <v>235015.41</v>
      </c>
      <c r="E27" s="269">
        <f>E28-E32</f>
        <v>-252418.52999999997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434966.63</v>
      </c>
      <c r="E28" s="284">
        <f>SUM(E29:E31)</f>
        <v>386115.56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5766.85</v>
      </c>
      <c r="E29" s="286">
        <v>6597.01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429199.78</v>
      </c>
      <c r="E31" s="286">
        <v>379518.55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199951.22</v>
      </c>
      <c r="E32" s="284">
        <f>SUM(E33:E39)</f>
        <v>638534.09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185937.22</v>
      </c>
      <c r="E33" s="286">
        <v>584835.38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1084.78</v>
      </c>
      <c r="E35" s="286">
        <v>570.49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10616.58</v>
      </c>
      <c r="E37" s="286">
        <v>12444.36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2312.64</v>
      </c>
      <c r="E39" s="288">
        <v>40683.86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60421.01</v>
      </c>
      <c r="E40" s="115">
        <v>130259.52</v>
      </c>
      <c r="G40" s="81"/>
    </row>
    <row r="41" spans="2:10" ht="13.5" thickBot="1">
      <c r="B41" s="116" t="s">
        <v>37</v>
      </c>
      <c r="C41" s="117" t="s">
        <v>38</v>
      </c>
      <c r="D41" s="249">
        <v>687908.93</v>
      </c>
      <c r="E41" s="165">
        <f>E26+E27+E40</f>
        <v>565749.92000000004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2161.4303</v>
      </c>
      <c r="E47" s="80">
        <v>3402.9627999999998</v>
      </c>
      <c r="G47" s="77"/>
    </row>
    <row r="48" spans="2:10">
      <c r="B48" s="222" t="s">
        <v>6</v>
      </c>
      <c r="C48" s="223" t="s">
        <v>41</v>
      </c>
      <c r="D48" s="251">
        <v>3402.9627999999998</v>
      </c>
      <c r="E48" s="166">
        <v>2369.4346999999998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>
        <v>181.58</v>
      </c>
      <c r="E50" s="82">
        <v>202.15</v>
      </c>
      <c r="G50" s="208"/>
    </row>
    <row r="51" spans="2:7">
      <c r="B51" s="220" t="s">
        <v>6</v>
      </c>
      <c r="C51" s="221" t="s">
        <v>220</v>
      </c>
      <c r="D51" s="253">
        <v>164.38</v>
      </c>
      <c r="E51" s="82">
        <v>202.15</v>
      </c>
      <c r="G51" s="208"/>
    </row>
    <row r="52" spans="2:7">
      <c r="B52" s="220" t="s">
        <v>8</v>
      </c>
      <c r="C52" s="221" t="s">
        <v>221</v>
      </c>
      <c r="D52" s="253">
        <v>202.15</v>
      </c>
      <c r="E52" s="82">
        <v>246.2</v>
      </c>
    </row>
    <row r="53" spans="2:7" ht="13.5" customHeight="1" thickBot="1">
      <c r="B53" s="224" t="s">
        <v>9</v>
      </c>
      <c r="C53" s="225" t="s">
        <v>41</v>
      </c>
      <c r="D53" s="254">
        <v>202.15</v>
      </c>
      <c r="E53" s="167">
        <v>238.77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565749.92000000004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565749.92000000004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565749.92000000004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565749.92000000004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3" right="0.75" top="0.52" bottom="0.68" header="0.5" footer="0.5"/>
  <pageSetup paperSize="9" scale="70" orientation="portrait" r:id="rId1"/>
  <headerFooter alignWithMargins="0"/>
</worksheet>
</file>

<file path=xl/worksheets/sheet1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5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144</v>
      </c>
      <c r="C6" s="334"/>
      <c r="D6" s="334"/>
      <c r="E6" s="334"/>
    </row>
    <row r="7" spans="2:12" ht="14.25">
      <c r="B7" s="162"/>
      <c r="C7" s="162"/>
      <c r="D7" s="162"/>
      <c r="E7" s="162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63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860630.64</v>
      </c>
      <c r="E11" s="9">
        <f>E12</f>
        <v>686021.21</v>
      </c>
    </row>
    <row r="12" spans="2:12">
      <c r="B12" s="209" t="s">
        <v>4</v>
      </c>
      <c r="C12" s="210" t="s">
        <v>5</v>
      </c>
      <c r="D12" s="297">
        <v>860630.64</v>
      </c>
      <c r="E12" s="95">
        <f>686219.82-198.61</f>
        <v>686021.21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860630.64</v>
      </c>
      <c r="E21" s="165">
        <f>E11-E17</f>
        <v>686021.21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1290957.28</v>
      </c>
      <c r="E26" s="112">
        <f>D21</f>
        <v>860630.64</v>
      </c>
      <c r="G26" s="81"/>
    </row>
    <row r="27" spans="2:11">
      <c r="B27" s="10" t="s">
        <v>17</v>
      </c>
      <c r="C27" s="11" t="s">
        <v>217</v>
      </c>
      <c r="D27" s="245">
        <v>-429795.93000000005</v>
      </c>
      <c r="E27" s="269">
        <f>E28-E32</f>
        <v>-207501.97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190629.88999999998</v>
      </c>
      <c r="E28" s="284">
        <f>SUM(E29:E31)</f>
        <v>11154.25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13827.52</v>
      </c>
      <c r="E29" s="286">
        <v>10634.46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176802.37</v>
      </c>
      <c r="E31" s="286">
        <v>519.79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620425.82000000007</v>
      </c>
      <c r="E32" s="284">
        <f>SUM(E33:E39)</f>
        <v>218656.22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264916.17</v>
      </c>
      <c r="E33" s="286">
        <f>201606.1-17.49</f>
        <v>201588.61000000002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2351.4</v>
      </c>
      <c r="E35" s="286">
        <v>1626.77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19913.669999999998</v>
      </c>
      <c r="E37" s="286">
        <v>12352.77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333244.58</v>
      </c>
      <c r="E39" s="288">
        <v>3088.07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-530.71</v>
      </c>
      <c r="E40" s="115">
        <v>32892.54</v>
      </c>
      <c r="G40" s="81"/>
    </row>
    <row r="41" spans="2:10" ht="13.5" thickBot="1">
      <c r="B41" s="116" t="s">
        <v>37</v>
      </c>
      <c r="C41" s="117" t="s">
        <v>38</v>
      </c>
      <c r="D41" s="249">
        <v>860630.64</v>
      </c>
      <c r="E41" s="165">
        <f>E26+E27+E40</f>
        <v>686021.21000000008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63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228"/>
    </row>
    <row r="47" spans="2:10">
      <c r="B47" s="119" t="s">
        <v>4</v>
      </c>
      <c r="C47" s="16" t="s">
        <v>40</v>
      </c>
      <c r="D47" s="250">
        <v>3876.8649999999998</v>
      </c>
      <c r="E47" s="80">
        <v>2590.6223199999999</v>
      </c>
      <c r="G47" s="228"/>
    </row>
    <row r="48" spans="2:10">
      <c r="B48" s="140" t="s">
        <v>6</v>
      </c>
      <c r="C48" s="23" t="s">
        <v>41</v>
      </c>
      <c r="D48" s="251">
        <v>2590.6223199999999</v>
      </c>
      <c r="E48" s="166">
        <v>1983.3508099999999</v>
      </c>
      <c r="G48" s="228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332.99</v>
      </c>
      <c r="E50" s="82">
        <v>332.21</v>
      </c>
      <c r="G50" s="208"/>
    </row>
    <row r="51" spans="2:7">
      <c r="B51" s="119" t="s">
        <v>6</v>
      </c>
      <c r="C51" s="16" t="s">
        <v>220</v>
      </c>
      <c r="D51" s="253">
        <v>330.54</v>
      </c>
      <c r="E51" s="82">
        <v>330.79</v>
      </c>
      <c r="G51" s="208"/>
    </row>
    <row r="52" spans="2:7">
      <c r="B52" s="119" t="s">
        <v>8</v>
      </c>
      <c r="C52" s="16" t="s">
        <v>221</v>
      </c>
      <c r="D52" s="253">
        <v>339.19</v>
      </c>
      <c r="E52" s="82">
        <v>346.02</v>
      </c>
    </row>
    <row r="53" spans="2:7" ht="13.5" customHeight="1" thickBot="1">
      <c r="B53" s="120" t="s">
        <v>9</v>
      </c>
      <c r="C53" s="18" t="s">
        <v>41</v>
      </c>
      <c r="D53" s="254">
        <v>332.21</v>
      </c>
      <c r="E53" s="167">
        <v>345.89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686021.21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E12</f>
        <v>686021.21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47" t="s">
        <v>64</v>
      </c>
      <c r="C74" s="138" t="s">
        <v>66</v>
      </c>
      <c r="D74" s="139">
        <f>D58-D73</f>
        <v>686021.21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686021.21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6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142</v>
      </c>
      <c r="C6" s="334"/>
      <c r="D6" s="334"/>
      <c r="E6" s="334"/>
    </row>
    <row r="7" spans="2:12" ht="14.25">
      <c r="B7" s="162"/>
      <c r="C7" s="162"/>
      <c r="D7" s="162"/>
      <c r="E7" s="162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63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307157.87</v>
      </c>
      <c r="E11" s="9">
        <f>E12</f>
        <v>247940.58</v>
      </c>
    </row>
    <row r="12" spans="2:12">
      <c r="B12" s="209" t="s">
        <v>4</v>
      </c>
      <c r="C12" s="210" t="s">
        <v>5</v>
      </c>
      <c r="D12" s="297">
        <v>307157.87</v>
      </c>
      <c r="E12" s="95">
        <f>248052.03-111.45</f>
        <v>247940.58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307157.87</v>
      </c>
      <c r="E21" s="165">
        <f>E11-E17</f>
        <v>247940.58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711193.63</v>
      </c>
      <c r="E26" s="112">
        <f>D21</f>
        <v>307157.87</v>
      </c>
      <c r="G26" s="81"/>
    </row>
    <row r="27" spans="2:11">
      <c r="B27" s="10" t="s">
        <v>17</v>
      </c>
      <c r="C27" s="11" t="s">
        <v>217</v>
      </c>
      <c r="D27" s="245">
        <v>-417090.54000000004</v>
      </c>
      <c r="E27" s="269">
        <f>E28-E32</f>
        <v>-71838.13999999997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129243.5</v>
      </c>
      <c r="E28" s="284">
        <f>SUM(E29:E31)</f>
        <v>81870.95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129243.5</v>
      </c>
      <c r="E31" s="286">
        <v>81870.95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546334.04</v>
      </c>
      <c r="E32" s="284">
        <f>SUM(E33:E39)</f>
        <v>153709.08999999997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304995.38</v>
      </c>
      <c r="E33" s="286">
        <f>93007.15+4.59</f>
        <v>93011.739999999991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926.89</v>
      </c>
      <c r="E35" s="286">
        <v>441.75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10849.93</v>
      </c>
      <c r="E37" s="286">
        <v>5484.43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229561.84</v>
      </c>
      <c r="E39" s="288">
        <v>54771.17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13054.78</v>
      </c>
      <c r="E40" s="115">
        <v>12620.85</v>
      </c>
      <c r="G40" s="81"/>
    </row>
    <row r="41" spans="2:10" ht="13.5" thickBot="1">
      <c r="B41" s="116" t="s">
        <v>37</v>
      </c>
      <c r="C41" s="117" t="s">
        <v>38</v>
      </c>
      <c r="D41" s="249">
        <v>307157.87</v>
      </c>
      <c r="E41" s="165">
        <f>E26+E27+E40</f>
        <v>247940.58000000005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63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3504.9708000000001</v>
      </c>
      <c r="E47" s="80">
        <v>1479.4946</v>
      </c>
      <c r="G47" s="77"/>
    </row>
    <row r="48" spans="2:10">
      <c r="B48" s="140" t="s">
        <v>6</v>
      </c>
      <c r="C48" s="23" t="s">
        <v>41</v>
      </c>
      <c r="D48" s="251">
        <v>1479.4946</v>
      </c>
      <c r="E48" s="166">
        <v>1145.5780999999999</v>
      </c>
      <c r="G48" s="77"/>
      <c r="H48" s="1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202.91</v>
      </c>
      <c r="E50" s="82">
        <v>207.61</v>
      </c>
      <c r="G50" s="208"/>
    </row>
    <row r="51" spans="2:7">
      <c r="B51" s="119" t="s">
        <v>6</v>
      </c>
      <c r="C51" s="16" t="s">
        <v>220</v>
      </c>
      <c r="D51" s="253">
        <v>202.26</v>
      </c>
      <c r="E51" s="82">
        <v>207.53</v>
      </c>
      <c r="G51" s="208"/>
    </row>
    <row r="52" spans="2:7">
      <c r="B52" s="119" t="s">
        <v>8</v>
      </c>
      <c r="C52" s="16" t="s">
        <v>221</v>
      </c>
      <c r="D52" s="253">
        <v>208.16</v>
      </c>
      <c r="E52" s="82">
        <v>216.53</v>
      </c>
    </row>
    <row r="53" spans="2:7" ht="14.25" customHeight="1" thickBot="1">
      <c r="B53" s="120" t="s">
        <v>9</v>
      </c>
      <c r="C53" s="18" t="s">
        <v>41</v>
      </c>
      <c r="D53" s="254">
        <v>207.61</v>
      </c>
      <c r="E53" s="167">
        <v>216.53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247940.58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E12</f>
        <v>247940.58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f>E17</f>
        <v>0</v>
      </c>
      <c r="E73" s="91">
        <f>D73/E21</f>
        <v>0</v>
      </c>
    </row>
    <row r="74" spans="2:5">
      <c r="B74" s="147" t="s">
        <v>64</v>
      </c>
      <c r="C74" s="138" t="s">
        <v>66</v>
      </c>
      <c r="D74" s="139">
        <f>D58-D73</f>
        <v>247940.58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247940.58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000000000000004" right="0.75" top="0.61" bottom="0.6" header="0.5" footer="0.5"/>
  <pageSetup paperSize="9" scale="70" orientation="portrait" r:id="rId1"/>
  <headerFooter alignWithMargins="0"/>
</worksheet>
</file>

<file path=xl/worksheets/sheet1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7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143</v>
      </c>
      <c r="C6" s="334"/>
      <c r="D6" s="334"/>
      <c r="E6" s="334"/>
    </row>
    <row r="7" spans="2:12" ht="14.25">
      <c r="B7" s="162"/>
      <c r="C7" s="162"/>
      <c r="D7" s="162"/>
      <c r="E7" s="162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63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144698.82</v>
      </c>
      <c r="E11" s="9">
        <f>E12</f>
        <v>150486.65</v>
      </c>
    </row>
    <row r="12" spans="2:12">
      <c r="B12" s="209" t="s">
        <v>4</v>
      </c>
      <c r="C12" s="210" t="s">
        <v>5</v>
      </c>
      <c r="D12" s="297">
        <v>144698.82</v>
      </c>
      <c r="E12" s="95">
        <v>150486.65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144698.82</v>
      </c>
      <c r="E21" s="165">
        <f>E11</f>
        <v>150486.65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149352.82</v>
      </c>
      <c r="E26" s="112">
        <f>D21</f>
        <v>144698.82</v>
      </c>
      <c r="G26" s="81"/>
    </row>
    <row r="27" spans="2:11">
      <c r="B27" s="10" t="s">
        <v>17</v>
      </c>
      <c r="C27" s="11" t="s">
        <v>217</v>
      </c>
      <c r="D27" s="245">
        <v>-14875.520000000002</v>
      </c>
      <c r="E27" s="269">
        <f>E28-E32</f>
        <v>-10361.959999999999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13674.17</v>
      </c>
      <c r="E28" s="284">
        <f>SUM(E29:E31)</f>
        <v>56581.93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13353.06</v>
      </c>
      <c r="E29" s="286">
        <v>11414.43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321.11</v>
      </c>
      <c r="E31" s="286">
        <v>45167.5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28549.690000000002</v>
      </c>
      <c r="E32" s="284">
        <f>SUM(E33:E39)</f>
        <v>66943.89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23646.75</v>
      </c>
      <c r="E33" s="286">
        <v>22980.53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510.36</v>
      </c>
      <c r="E35" s="286">
        <v>647.11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2028.68</v>
      </c>
      <c r="E37" s="286">
        <v>2090.4699999999998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2363.9</v>
      </c>
      <c r="E39" s="288">
        <v>41225.78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10221.52</v>
      </c>
      <c r="E40" s="115">
        <v>16149.79</v>
      </c>
      <c r="G40" s="81"/>
    </row>
    <row r="41" spans="2:10" ht="13.5" thickBot="1">
      <c r="B41" s="116" t="s">
        <v>37</v>
      </c>
      <c r="C41" s="117" t="s">
        <v>38</v>
      </c>
      <c r="D41" s="249">
        <v>144698.82</v>
      </c>
      <c r="E41" s="165">
        <f>E26+E27+E40</f>
        <v>150486.65000000002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63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522.39530000000002</v>
      </c>
      <c r="E47" s="80">
        <v>472.65570000000002</v>
      </c>
      <c r="G47" s="77"/>
    </row>
    <row r="48" spans="2:10">
      <c r="B48" s="140" t="s">
        <v>6</v>
      </c>
      <c r="C48" s="23" t="s">
        <v>41</v>
      </c>
      <c r="D48" s="251">
        <v>472.65570000000002</v>
      </c>
      <c r="E48" s="166">
        <v>444.59539999999998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285.89999999999998</v>
      </c>
      <c r="E50" s="82">
        <v>306.14</v>
      </c>
      <c r="G50" s="208"/>
    </row>
    <row r="51" spans="2:7">
      <c r="B51" s="119" t="s">
        <v>6</v>
      </c>
      <c r="C51" s="16" t="s">
        <v>220</v>
      </c>
      <c r="D51" s="253">
        <v>273.32</v>
      </c>
      <c r="E51" s="82">
        <v>306.14</v>
      </c>
      <c r="G51" s="208"/>
    </row>
    <row r="52" spans="2:7">
      <c r="B52" s="119" t="s">
        <v>8</v>
      </c>
      <c r="C52" s="16" t="s">
        <v>221</v>
      </c>
      <c r="D52" s="253">
        <v>306.14</v>
      </c>
      <c r="E52" s="82">
        <v>347.48</v>
      </c>
    </row>
    <row r="53" spans="2:7" ht="13.5" customHeight="1" thickBot="1">
      <c r="B53" s="120" t="s">
        <v>9</v>
      </c>
      <c r="C53" s="18" t="s">
        <v>41</v>
      </c>
      <c r="D53" s="254">
        <v>306.14</v>
      </c>
      <c r="E53" s="167">
        <v>338.48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150486.65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150486.65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150486.65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150486.65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55000000000000004" bottom="0.5" header="0.5" footer="0.5"/>
  <pageSetup paperSize="9" scale="7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7.42578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01"/>
      <c r="C4" s="101"/>
      <c r="D4" s="101"/>
      <c r="E4" s="10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102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2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45506876.810000002</v>
      </c>
      <c r="E11" s="9">
        <f>E12+E13+E14</f>
        <v>37604020.210000001</v>
      </c>
    </row>
    <row r="12" spans="2:12">
      <c r="B12" s="123" t="s">
        <v>4</v>
      </c>
      <c r="C12" s="6" t="s">
        <v>5</v>
      </c>
      <c r="D12" s="297">
        <v>45506598.700000003</v>
      </c>
      <c r="E12" s="95">
        <f>37620274.37-16254.16</f>
        <v>37604020.210000001</v>
      </c>
    </row>
    <row r="13" spans="2:12">
      <c r="B13" s="123" t="s">
        <v>6</v>
      </c>
      <c r="C13" s="72" t="s">
        <v>7</v>
      </c>
      <c r="D13" s="297">
        <v>278.11</v>
      </c>
      <c r="E13" s="95"/>
    </row>
    <row r="14" spans="2:12">
      <c r="B14" s="123" t="s">
        <v>8</v>
      </c>
      <c r="C14" s="72" t="s">
        <v>10</v>
      </c>
      <c r="D14" s="297"/>
      <c r="E14" s="95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>
        <v>126986.82</v>
      </c>
      <c r="E17" s="107">
        <f>SUM(E18:E20)</f>
        <v>446414.97</v>
      </c>
    </row>
    <row r="18" spans="2:11">
      <c r="B18" s="123" t="s">
        <v>4</v>
      </c>
      <c r="C18" s="6" t="s">
        <v>11</v>
      </c>
      <c r="D18" s="297">
        <v>126986.82</v>
      </c>
      <c r="E18" s="96">
        <v>446414.97</v>
      </c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45379889.990000002</v>
      </c>
      <c r="E21" s="165">
        <f>E11-E17</f>
        <v>37157605.240000002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02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54627047.900000006</v>
      </c>
      <c r="E26" s="112">
        <f>D21</f>
        <v>45379889.990000002</v>
      </c>
      <c r="G26" s="81"/>
    </row>
    <row r="27" spans="2:11">
      <c r="B27" s="10" t="s">
        <v>17</v>
      </c>
      <c r="C27" s="11" t="s">
        <v>217</v>
      </c>
      <c r="D27" s="245">
        <v>-10972269.970000001</v>
      </c>
      <c r="E27" s="269">
        <f>E28-E32</f>
        <v>-13465760.85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1448336.76</v>
      </c>
      <c r="E28" s="284">
        <f>SUM(E29:E31)</f>
        <v>1187961.74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128691.73</v>
      </c>
      <c r="E29" s="286">
        <v>26193.02</v>
      </c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>
        <v>1319645.03</v>
      </c>
      <c r="E31" s="286">
        <v>1161768.72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12420606.73</v>
      </c>
      <c r="E32" s="284">
        <f>SUM(E33:E39)</f>
        <v>14653722.59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7708507.2400000002</v>
      </c>
      <c r="E33" s="286">
        <f>10690039.55-1716.09</f>
        <v>10688323.460000001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106920.07</v>
      </c>
      <c r="E35" s="286">
        <v>32200.44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>
        <v>931312.8</v>
      </c>
      <c r="E37" s="286">
        <v>791438.49</v>
      </c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>
        <v>3673866.62</v>
      </c>
      <c r="E39" s="288">
        <v>3141760.2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1725112.06</v>
      </c>
      <c r="E40" s="115">
        <v>5243476.0999999996</v>
      </c>
      <c r="G40" s="81"/>
    </row>
    <row r="41" spans="2:10" ht="13.5" thickBot="1">
      <c r="B41" s="116" t="s">
        <v>37</v>
      </c>
      <c r="C41" s="117" t="s">
        <v>38</v>
      </c>
      <c r="D41" s="249">
        <v>45379889.99000001</v>
      </c>
      <c r="E41" s="165">
        <f>E26+E27+E40</f>
        <v>37157605.240000002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459947.19439999998</v>
      </c>
      <c r="E47" s="80">
        <v>366500.28830000001</v>
      </c>
      <c r="G47" s="77"/>
    </row>
    <row r="48" spans="2:10">
      <c r="B48" s="140" t="s">
        <v>6</v>
      </c>
      <c r="C48" s="23" t="s">
        <v>41</v>
      </c>
      <c r="D48" s="251">
        <v>366500.28830000001</v>
      </c>
      <c r="E48" s="80">
        <v>264866.79619999998</v>
      </c>
      <c r="G48" s="228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118.768085913124</v>
      </c>
      <c r="E50" s="80">
        <v>123.819520583572</v>
      </c>
      <c r="G50" s="208"/>
    </row>
    <row r="51" spans="2:7">
      <c r="B51" s="119" t="s">
        <v>6</v>
      </c>
      <c r="C51" s="16" t="s">
        <v>220</v>
      </c>
      <c r="D51" s="256">
        <v>104.5428</v>
      </c>
      <c r="E51" s="207">
        <v>123.81950000000001</v>
      </c>
      <c r="G51" s="208"/>
    </row>
    <row r="52" spans="2:7" ht="12" customHeight="1">
      <c r="B52" s="119" t="s">
        <v>8</v>
      </c>
      <c r="C52" s="16" t="s">
        <v>221</v>
      </c>
      <c r="D52" s="256">
        <v>124.3515</v>
      </c>
      <c r="E52" s="207">
        <v>140.3535</v>
      </c>
    </row>
    <row r="53" spans="2:7" ht="13.5" thickBot="1">
      <c r="B53" s="120" t="s">
        <v>9</v>
      </c>
      <c r="C53" s="18" t="s">
        <v>41</v>
      </c>
      <c r="D53" s="254">
        <v>123.819520583572</v>
      </c>
      <c r="E53" s="167">
        <v>140.28789478624401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SUM(D59:D70)</f>
        <v>37604020.210000001</v>
      </c>
      <c r="E58" s="33">
        <f>D58/E21</f>
        <v>1.0120140942107709</v>
      </c>
    </row>
    <row r="59" spans="2:7" ht="25.5">
      <c r="B59" s="22" t="s">
        <v>4</v>
      </c>
      <c r="C59" s="23" t="s">
        <v>44</v>
      </c>
      <c r="D59" s="90">
        <v>0</v>
      </c>
      <c r="E59" s="91">
        <v>0</v>
      </c>
    </row>
    <row r="60" spans="2:7" ht="24" customHeight="1">
      <c r="B60" s="15" t="s">
        <v>6</v>
      </c>
      <c r="C60" s="16" t="s">
        <v>45</v>
      </c>
      <c r="D60" s="88">
        <v>0</v>
      </c>
      <c r="E60" s="89">
        <v>0</v>
      </c>
    </row>
    <row r="61" spans="2:7">
      <c r="B61" s="15" t="s">
        <v>8</v>
      </c>
      <c r="C61" s="16" t="s">
        <v>46</v>
      </c>
      <c r="D61" s="88">
        <v>0</v>
      </c>
      <c r="E61" s="89">
        <v>0</v>
      </c>
    </row>
    <row r="62" spans="2:7">
      <c r="B62" s="15" t="s">
        <v>9</v>
      </c>
      <c r="C62" s="16" t="s">
        <v>47</v>
      </c>
      <c r="D62" s="88">
        <v>0</v>
      </c>
      <c r="E62" s="89">
        <v>0</v>
      </c>
    </row>
    <row r="63" spans="2:7">
      <c r="B63" s="15" t="s">
        <v>29</v>
      </c>
      <c r="C63" s="16" t="s">
        <v>48</v>
      </c>
      <c r="D63" s="88">
        <v>0</v>
      </c>
      <c r="E63" s="89">
        <v>0</v>
      </c>
    </row>
    <row r="64" spans="2:7">
      <c r="B64" s="22" t="s">
        <v>31</v>
      </c>
      <c r="C64" s="23" t="s">
        <v>49</v>
      </c>
      <c r="D64" s="90">
        <f>37415885.86-16254.16</f>
        <v>37399631.700000003</v>
      </c>
      <c r="E64" s="91">
        <f>D64/E21</f>
        <v>1.006513510718378</v>
      </c>
    </row>
    <row r="65" spans="2:5">
      <c r="B65" s="22" t="s">
        <v>33</v>
      </c>
      <c r="C65" s="23" t="s">
        <v>224</v>
      </c>
      <c r="D65" s="90">
        <v>0</v>
      </c>
      <c r="E65" s="91">
        <v>0</v>
      </c>
    </row>
    <row r="66" spans="2:5">
      <c r="B66" s="22" t="s">
        <v>50</v>
      </c>
      <c r="C66" s="23" t="s">
        <v>51</v>
      </c>
      <c r="D66" s="90">
        <v>0</v>
      </c>
      <c r="E66" s="91">
        <v>0</v>
      </c>
    </row>
    <row r="67" spans="2:5">
      <c r="B67" s="15" t="s">
        <v>52</v>
      </c>
      <c r="C67" s="16" t="s">
        <v>53</v>
      </c>
      <c r="D67" s="88">
        <v>0</v>
      </c>
      <c r="E67" s="89">
        <v>0</v>
      </c>
    </row>
    <row r="68" spans="2:5">
      <c r="B68" s="15" t="s">
        <v>54</v>
      </c>
      <c r="C68" s="16" t="s">
        <v>55</v>
      </c>
      <c r="D68" s="88">
        <v>0</v>
      </c>
      <c r="E68" s="89">
        <v>0</v>
      </c>
    </row>
    <row r="69" spans="2:5">
      <c r="B69" s="15" t="s">
        <v>56</v>
      </c>
      <c r="C69" s="16" t="s">
        <v>57</v>
      </c>
      <c r="D69" s="88">
        <v>204388.51</v>
      </c>
      <c r="E69" s="89">
        <f>D69/E21</f>
        <v>5.5005834923930099E-3</v>
      </c>
    </row>
    <row r="70" spans="2:5">
      <c r="B70" s="129" t="s">
        <v>58</v>
      </c>
      <c r="C70" s="130" t="s">
        <v>59</v>
      </c>
      <c r="D70" s="131">
        <v>0</v>
      </c>
      <c r="E70" s="132">
        <v>0</v>
      </c>
    </row>
    <row r="71" spans="2:5">
      <c r="B71" s="137" t="s">
        <v>23</v>
      </c>
      <c r="C71" s="138" t="s">
        <v>61</v>
      </c>
      <c r="D71" s="139">
        <f>E13</f>
        <v>0</v>
      </c>
      <c r="E71" s="70">
        <v>0</v>
      </c>
    </row>
    <row r="72" spans="2:5">
      <c r="B72" s="133" t="s">
        <v>60</v>
      </c>
      <c r="C72" s="134" t="s">
        <v>63</v>
      </c>
      <c r="D72" s="135">
        <f>E14</f>
        <v>0</v>
      </c>
      <c r="E72" s="136">
        <f>D72/E21</f>
        <v>0</v>
      </c>
    </row>
    <row r="73" spans="2:5">
      <c r="B73" s="24" t="s">
        <v>62</v>
      </c>
      <c r="C73" s="25" t="s">
        <v>65</v>
      </c>
      <c r="D73" s="26">
        <f>E17</f>
        <v>446414.97</v>
      </c>
      <c r="E73" s="27">
        <f>D73/E21</f>
        <v>1.2014094210771048E-2</v>
      </c>
    </row>
    <row r="74" spans="2:5">
      <c r="B74" s="137" t="s">
        <v>64</v>
      </c>
      <c r="C74" s="138" t="s">
        <v>66</v>
      </c>
      <c r="D74" s="139">
        <f>D58+D71+D72-D73</f>
        <v>37157605.240000002</v>
      </c>
      <c r="E74" s="70">
        <f>E58+E72-E73</f>
        <v>0.99999999999999989</v>
      </c>
    </row>
    <row r="75" spans="2:5">
      <c r="B75" s="15" t="s">
        <v>4</v>
      </c>
      <c r="C75" s="16" t="s">
        <v>67</v>
      </c>
      <c r="D75" s="88">
        <v>29125225.059999999</v>
      </c>
      <c r="E75" s="89">
        <f>D75/E21</f>
        <v>0.78382944411731947</v>
      </c>
    </row>
    <row r="76" spans="2:5">
      <c r="B76" s="15" t="s">
        <v>6</v>
      </c>
      <c r="C76" s="16" t="s">
        <v>225</v>
      </c>
      <c r="D76" s="88">
        <v>8032380.1799999997</v>
      </c>
      <c r="E76" s="89">
        <f>D76/E21</f>
        <v>0.21617055588268044</v>
      </c>
    </row>
    <row r="77" spans="2:5" ht="13.5" thickBot="1">
      <c r="B77" s="17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97" right="0.75" top="0.6" bottom="0.32" header="0.5" footer="0.5"/>
  <pageSetup paperSize="9" scale="70" orientation="portrait" r:id="rId1"/>
  <headerFooter alignWithMargins="0"/>
</worksheet>
</file>

<file path=xl/worksheets/sheet1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8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146</v>
      </c>
      <c r="C6" s="334"/>
      <c r="D6" s="334"/>
      <c r="E6" s="334"/>
    </row>
    <row r="7" spans="2:12" ht="14.25">
      <c r="B7" s="162"/>
      <c r="C7" s="162"/>
      <c r="D7" s="162"/>
      <c r="E7" s="162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63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17081.25</v>
      </c>
      <c r="E11" s="9">
        <f>E12</f>
        <v>22242.32</v>
      </c>
    </row>
    <row r="12" spans="2:12">
      <c r="B12" s="209" t="s">
        <v>4</v>
      </c>
      <c r="C12" s="210" t="s">
        <v>5</v>
      </c>
      <c r="D12" s="297">
        <v>17081.25</v>
      </c>
      <c r="E12" s="95">
        <v>22242.32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17081.25</v>
      </c>
      <c r="E21" s="165">
        <f>E11</f>
        <v>22242.32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12093.85</v>
      </c>
      <c r="E26" s="112">
        <f>D21</f>
        <v>17081.25</v>
      </c>
      <c r="G26" s="81"/>
    </row>
    <row r="27" spans="2:11">
      <c r="B27" s="10" t="s">
        <v>17</v>
      </c>
      <c r="C27" s="11" t="s">
        <v>217</v>
      </c>
      <c r="D27" s="245">
        <v>4752.04</v>
      </c>
      <c r="E27" s="269">
        <f>E28-E32</f>
        <v>4726.1400000000003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5000.01</v>
      </c>
      <c r="E28" s="284">
        <f>SUM(E29:E31)</f>
        <v>5000.01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5000.01</v>
      </c>
      <c r="E29" s="286">
        <v>5000.01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247.97</v>
      </c>
      <c r="E32" s="284">
        <f>SUM(E33:E39)</f>
        <v>273.87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/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48.84</v>
      </c>
      <c r="E35" s="286">
        <v>45.36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199.13</v>
      </c>
      <c r="E37" s="286">
        <v>228.51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235.36</v>
      </c>
      <c r="E40" s="115">
        <v>434.93</v>
      </c>
      <c r="G40" s="81"/>
    </row>
    <row r="41" spans="2:10" ht="13.5" thickBot="1">
      <c r="B41" s="116" t="s">
        <v>37</v>
      </c>
      <c r="C41" s="117" t="s">
        <v>38</v>
      </c>
      <c r="D41" s="249">
        <v>17081.25</v>
      </c>
      <c r="E41" s="165">
        <f>E26+E27+E40</f>
        <v>22242.32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63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104.84480000000001</v>
      </c>
      <c r="E47" s="80">
        <v>145.47139999999999</v>
      </c>
      <c r="G47" s="77"/>
    </row>
    <row r="48" spans="2:10">
      <c r="B48" s="140" t="s">
        <v>6</v>
      </c>
      <c r="C48" s="23" t="s">
        <v>41</v>
      </c>
      <c r="D48" s="251">
        <v>145.47139999999999</v>
      </c>
      <c r="E48" s="166">
        <v>184.96729999999999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115.35</v>
      </c>
      <c r="E50" s="82">
        <v>117.42</v>
      </c>
      <c r="G50" s="208"/>
    </row>
    <row r="51" spans="2:7">
      <c r="B51" s="119" t="s">
        <v>6</v>
      </c>
      <c r="C51" s="16" t="s">
        <v>220</v>
      </c>
      <c r="D51" s="253">
        <v>115.35000000000001</v>
      </c>
      <c r="E51" s="82">
        <v>117.42</v>
      </c>
      <c r="G51" s="208"/>
    </row>
    <row r="52" spans="2:7">
      <c r="B52" s="119" t="s">
        <v>8</v>
      </c>
      <c r="C52" s="16" t="s">
        <v>221</v>
      </c>
      <c r="D52" s="253">
        <v>117.42</v>
      </c>
      <c r="E52" s="82">
        <v>120.25</v>
      </c>
    </row>
    <row r="53" spans="2:7" ht="13.5" customHeight="1" thickBot="1">
      <c r="B53" s="120" t="s">
        <v>9</v>
      </c>
      <c r="C53" s="18" t="s">
        <v>41</v>
      </c>
      <c r="D53" s="254">
        <v>117.42</v>
      </c>
      <c r="E53" s="167">
        <v>120.25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22242.32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22242.32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22242.32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22242.32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4" right="0.75" top="0.55000000000000004" bottom="0.59" header="0.5" footer="0.5"/>
  <pageSetup paperSize="9" scale="70" orientation="portrait" r:id="rId1"/>
  <headerFooter alignWithMargins="0"/>
</worksheet>
</file>

<file path=xl/worksheets/sheet1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9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190</v>
      </c>
      <c r="C6" s="334"/>
      <c r="D6" s="334"/>
      <c r="E6" s="334"/>
    </row>
    <row r="7" spans="2:12" ht="14.25">
      <c r="B7" s="162"/>
      <c r="C7" s="162"/>
      <c r="D7" s="162"/>
      <c r="E7" s="162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63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932848.72</v>
      </c>
      <c r="E11" s="9">
        <f>E12</f>
        <v>596963.11</v>
      </c>
    </row>
    <row r="12" spans="2:12">
      <c r="B12" s="209" t="s">
        <v>4</v>
      </c>
      <c r="C12" s="210" t="s">
        <v>5</v>
      </c>
      <c r="D12" s="297">
        <v>932848.72</v>
      </c>
      <c r="E12" s="95">
        <v>596963.11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932848.72</v>
      </c>
      <c r="E21" s="165">
        <f>E11</f>
        <v>596963.11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6687.24</v>
      </c>
      <c r="E26" s="112">
        <f>D21</f>
        <v>932848.72</v>
      </c>
      <c r="G26" s="81"/>
    </row>
    <row r="27" spans="2:11">
      <c r="B27" s="10" t="s">
        <v>17</v>
      </c>
      <c r="C27" s="11" t="s">
        <v>217</v>
      </c>
      <c r="D27" s="245">
        <v>944234.85000000009</v>
      </c>
      <c r="E27" s="269">
        <f>E28-E32</f>
        <v>-309411.01999999996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1969562.4200000002</v>
      </c>
      <c r="E28" s="284">
        <f>SUM(E29:E31)</f>
        <v>1457.21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326414.83</v>
      </c>
      <c r="E29" s="286">
        <v>1457.21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1643147.59</v>
      </c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1025327.5700000001</v>
      </c>
      <c r="E32" s="284">
        <f>SUM(E33:E39)</f>
        <v>310868.23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82900.570000000007</v>
      </c>
      <c r="E33" s="286">
        <v>272294.86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58.57</v>
      </c>
      <c r="E35" s="286">
        <v>29.2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10858.5</v>
      </c>
      <c r="E37" s="286">
        <v>11422.49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931509.93</v>
      </c>
      <c r="E39" s="288">
        <v>27121.68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-18073.37</v>
      </c>
      <c r="E40" s="115">
        <v>-26474.59</v>
      </c>
      <c r="G40" s="81"/>
    </row>
    <row r="41" spans="2:10" ht="13.5" thickBot="1">
      <c r="B41" s="116" t="s">
        <v>37</v>
      </c>
      <c r="C41" s="117" t="s">
        <v>38</v>
      </c>
      <c r="D41" s="249">
        <v>932848.72000000009</v>
      </c>
      <c r="E41" s="165">
        <f>E26+E27+E40</f>
        <v>596963.11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63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33.998899999999999</v>
      </c>
      <c r="E47" s="80">
        <v>4616.6917000000003</v>
      </c>
      <c r="G47" s="77"/>
    </row>
    <row r="48" spans="2:10">
      <c r="B48" s="140" t="s">
        <v>6</v>
      </c>
      <c r="C48" s="23" t="s">
        <v>41</v>
      </c>
      <c r="D48" s="251">
        <v>4616.6917000000003</v>
      </c>
      <c r="E48" s="166">
        <v>3052.4268000000002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196.69</v>
      </c>
      <c r="E50" s="82">
        <v>202.06</v>
      </c>
      <c r="G50" s="208"/>
    </row>
    <row r="51" spans="2:7">
      <c r="B51" s="119" t="s">
        <v>6</v>
      </c>
      <c r="C51" s="16" t="s">
        <v>220</v>
      </c>
      <c r="D51" s="253">
        <v>196.69</v>
      </c>
      <c r="E51" s="82">
        <v>191.69</v>
      </c>
      <c r="G51" s="208"/>
    </row>
    <row r="52" spans="2:7">
      <c r="B52" s="119" t="s">
        <v>8</v>
      </c>
      <c r="C52" s="16" t="s">
        <v>221</v>
      </c>
      <c r="D52" s="253">
        <v>215.8</v>
      </c>
      <c r="E52" s="82">
        <v>204.79</v>
      </c>
    </row>
    <row r="53" spans="2:7" ht="13.5" customHeight="1" thickBot="1">
      <c r="B53" s="120" t="s">
        <v>9</v>
      </c>
      <c r="C53" s="18" t="s">
        <v>41</v>
      </c>
      <c r="D53" s="254">
        <v>202.06</v>
      </c>
      <c r="E53" s="167">
        <v>195.57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596963.11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596963.11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596963.11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596963.11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0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141</v>
      </c>
      <c r="C6" s="334"/>
      <c r="D6" s="334"/>
      <c r="E6" s="334"/>
    </row>
    <row r="7" spans="2:12" ht="14.25">
      <c r="B7" s="162"/>
      <c r="C7" s="162"/>
      <c r="D7" s="162"/>
      <c r="E7" s="162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63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65369.14</v>
      </c>
      <c r="E11" s="9">
        <f>E12</f>
        <v>75258.92</v>
      </c>
    </row>
    <row r="12" spans="2:12">
      <c r="B12" s="209" t="s">
        <v>4</v>
      </c>
      <c r="C12" s="210" t="s">
        <v>5</v>
      </c>
      <c r="D12" s="297">
        <v>65369.14</v>
      </c>
      <c r="E12" s="95">
        <v>75258.92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65369.14</v>
      </c>
      <c r="E21" s="165">
        <f>E11</f>
        <v>75258.92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59956.92</v>
      </c>
      <c r="E26" s="112">
        <f>D21</f>
        <v>65369.14</v>
      </c>
      <c r="G26" s="81"/>
    </row>
    <row r="27" spans="2:11">
      <c r="B27" s="10" t="s">
        <v>17</v>
      </c>
      <c r="C27" s="11" t="s">
        <v>217</v>
      </c>
      <c r="D27" s="245">
        <v>3463.6400000000003</v>
      </c>
      <c r="E27" s="269">
        <f>E28-E32</f>
        <v>3654.01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4636.17</v>
      </c>
      <c r="E28" s="284">
        <f>SUM(E29:E31)</f>
        <v>4738.58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4636.17</v>
      </c>
      <c r="E29" s="286">
        <v>4738.58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1172.53</v>
      </c>
      <c r="E32" s="284">
        <f>SUM(E33:E39)</f>
        <v>1084.57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/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155.44999999999999</v>
      </c>
      <c r="E35" s="286">
        <v>107.42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1017.08</v>
      </c>
      <c r="E37" s="286">
        <v>977.15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1948.58</v>
      </c>
      <c r="E40" s="115">
        <v>6235.77</v>
      </c>
      <c r="G40" s="81"/>
    </row>
    <row r="41" spans="2:10" ht="13.5" thickBot="1">
      <c r="B41" s="116" t="s">
        <v>37</v>
      </c>
      <c r="C41" s="117" t="s">
        <v>38</v>
      </c>
      <c r="D41" s="249">
        <v>65369.14</v>
      </c>
      <c r="E41" s="165">
        <f>E26+E27+E40</f>
        <v>75258.92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63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372.2876</v>
      </c>
      <c r="E47" s="80">
        <v>393.6003</v>
      </c>
      <c r="G47" s="77"/>
    </row>
    <row r="48" spans="2:10">
      <c r="B48" s="140" t="s">
        <v>6</v>
      </c>
      <c r="C48" s="23" t="s">
        <v>41</v>
      </c>
      <c r="D48" s="251">
        <v>393.6003</v>
      </c>
      <c r="E48" s="166">
        <v>414.3073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161.05000000000001</v>
      </c>
      <c r="E50" s="82">
        <v>166.08</v>
      </c>
      <c r="G50" s="208"/>
    </row>
    <row r="51" spans="2:7">
      <c r="B51" s="119" t="s">
        <v>6</v>
      </c>
      <c r="C51" s="16" t="s">
        <v>220</v>
      </c>
      <c r="D51" s="253">
        <v>155.42000000000002</v>
      </c>
      <c r="E51" s="82">
        <v>165.92</v>
      </c>
      <c r="G51" s="208"/>
    </row>
    <row r="52" spans="2:7">
      <c r="B52" s="119" t="s">
        <v>8</v>
      </c>
      <c r="C52" s="16" t="s">
        <v>221</v>
      </c>
      <c r="D52" s="253">
        <v>166.91</v>
      </c>
      <c r="E52" s="82">
        <v>182.87</v>
      </c>
    </row>
    <row r="53" spans="2:7" ht="13.5" customHeight="1" thickBot="1">
      <c r="B53" s="120" t="s">
        <v>9</v>
      </c>
      <c r="C53" s="18" t="s">
        <v>41</v>
      </c>
      <c r="D53" s="254">
        <v>166.08</v>
      </c>
      <c r="E53" s="167">
        <v>181.65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75258.92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75258.92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75258.92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75258.92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" right="0.75" top="0.56999999999999995" bottom="0.49" header="0.5" footer="0.5"/>
  <pageSetup paperSize="9" scale="70" orientation="portrait" r:id="rId1"/>
  <headerFooter alignWithMargins="0"/>
</worksheet>
</file>

<file path=xl/worksheets/sheet1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1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208</v>
      </c>
      <c r="C6" s="334"/>
      <c r="D6" s="334"/>
      <c r="E6" s="334"/>
    </row>
    <row r="7" spans="2:12" ht="14.25">
      <c r="B7" s="162"/>
      <c r="C7" s="162"/>
      <c r="D7" s="162"/>
      <c r="E7" s="162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63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485575.32</v>
      </c>
      <c r="E11" s="9">
        <f>E12</f>
        <v>0</v>
      </c>
    </row>
    <row r="12" spans="2:12">
      <c r="B12" s="209" t="s">
        <v>4</v>
      </c>
      <c r="C12" s="210" t="s">
        <v>5</v>
      </c>
      <c r="D12" s="297">
        <v>485575.32</v>
      </c>
      <c r="E12" s="95"/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485575.32</v>
      </c>
      <c r="E21" s="165">
        <f>E11</f>
        <v>0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1881555.09</v>
      </c>
      <c r="E26" s="112">
        <f>D21</f>
        <v>485575.32</v>
      </c>
      <c r="G26" s="81"/>
    </row>
    <row r="27" spans="2:11">
      <c r="B27" s="10" t="s">
        <v>17</v>
      </c>
      <c r="C27" s="11" t="s">
        <v>217</v>
      </c>
      <c r="D27" s="245">
        <v>-1345888.02</v>
      </c>
      <c r="E27" s="269">
        <f>E28-E32</f>
        <v>-485430.04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0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1345888.02</v>
      </c>
      <c r="E32" s="284">
        <f>SUM(E33:E39)</f>
        <v>485430.04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1301623.8400000001</v>
      </c>
      <c r="E33" s="286"/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3618.42</v>
      </c>
      <c r="E35" s="286">
        <v>250.27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17469.150000000001</v>
      </c>
      <c r="E37" s="286">
        <v>916.42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23176.61</v>
      </c>
      <c r="E39" s="288">
        <v>484263.35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-50091.75</v>
      </c>
      <c r="E40" s="115">
        <v>-145.27000000000001</v>
      </c>
      <c r="G40" s="81"/>
    </row>
    <row r="41" spans="2:10" ht="13.5" thickBot="1">
      <c r="B41" s="116" t="s">
        <v>37</v>
      </c>
      <c r="C41" s="117" t="s">
        <v>38</v>
      </c>
      <c r="D41" s="249">
        <v>485575.32000000007</v>
      </c>
      <c r="E41" s="165">
        <v>0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63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18513.776300000001</v>
      </c>
      <c r="E47" s="80">
        <v>4851.3869999999997</v>
      </c>
      <c r="G47" s="77"/>
    </row>
    <row r="48" spans="2:10">
      <c r="B48" s="140" t="s">
        <v>6</v>
      </c>
      <c r="C48" s="23" t="s">
        <v>41</v>
      </c>
      <c r="D48" s="251">
        <v>4851.3869999999997</v>
      </c>
      <c r="E48" s="166"/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101.63</v>
      </c>
      <c r="E50" s="82">
        <v>100.09</v>
      </c>
      <c r="G50" s="208"/>
    </row>
    <row r="51" spans="2:7">
      <c r="B51" s="119" t="s">
        <v>6</v>
      </c>
      <c r="C51" s="16" t="s">
        <v>220</v>
      </c>
      <c r="D51" s="253">
        <v>96.26</v>
      </c>
      <c r="E51" s="82">
        <v>100.06</v>
      </c>
      <c r="G51" s="208"/>
    </row>
    <row r="52" spans="2:7">
      <c r="B52" s="119" t="s">
        <v>8</v>
      </c>
      <c r="C52" s="16" t="s">
        <v>221</v>
      </c>
      <c r="D52" s="253">
        <v>101.9</v>
      </c>
      <c r="E52" s="82">
        <v>100.09</v>
      </c>
    </row>
    <row r="53" spans="2:7" ht="12.75" customHeight="1" thickBot="1">
      <c r="B53" s="120" t="s">
        <v>9</v>
      </c>
      <c r="C53" s="18" t="s">
        <v>41</v>
      </c>
      <c r="D53" s="254">
        <v>100.09</v>
      </c>
      <c r="E53" s="167"/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8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0</v>
      </c>
      <c r="E58" s="33">
        <v>0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0</v>
      </c>
      <c r="E64" s="91">
        <f>E58</f>
        <v>0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0</v>
      </c>
      <c r="E74" s="70">
        <f>E58+E72-E73</f>
        <v>0</v>
      </c>
    </row>
    <row r="75" spans="2:5">
      <c r="B75" s="119" t="s">
        <v>4</v>
      </c>
      <c r="C75" s="16" t="s">
        <v>67</v>
      </c>
      <c r="D75" s="88">
        <f>D74</f>
        <v>0</v>
      </c>
      <c r="E75" s="89">
        <f>E74</f>
        <v>0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999999999999995" right="0.75" top="0.61" bottom="0.49" header="0.5" footer="0.5"/>
  <pageSetup paperSize="9" scale="70" orientation="portrait" r:id="rId1"/>
  <headerFooter alignWithMargins="0"/>
</worksheet>
</file>

<file path=xl/worksheets/sheet1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2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H2" s="178"/>
      <c r="I2" s="178"/>
      <c r="J2" s="178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21" customHeight="1">
      <c r="B5" s="333" t="s">
        <v>1</v>
      </c>
      <c r="C5" s="333"/>
      <c r="D5" s="333"/>
      <c r="E5" s="333"/>
      <c r="H5" s="178"/>
      <c r="I5" s="178"/>
      <c r="J5" s="178"/>
    </row>
    <row r="6" spans="2:12" ht="14.25">
      <c r="B6" s="334" t="s">
        <v>195</v>
      </c>
      <c r="C6" s="334"/>
      <c r="D6" s="334"/>
      <c r="E6" s="334"/>
    </row>
    <row r="7" spans="2:12" ht="14.25">
      <c r="B7" s="162"/>
      <c r="C7" s="162"/>
      <c r="D7" s="162"/>
      <c r="E7" s="162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63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1978121.52</v>
      </c>
      <c r="E11" s="9">
        <f>E12</f>
        <v>1769900.47</v>
      </c>
    </row>
    <row r="12" spans="2:12">
      <c r="B12" s="209" t="s">
        <v>4</v>
      </c>
      <c r="C12" s="210" t="s">
        <v>5</v>
      </c>
      <c r="D12" s="297">
        <v>1978121.52</v>
      </c>
      <c r="E12" s="95">
        <v>1769900.47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1978121.52</v>
      </c>
      <c r="E21" s="165">
        <f>E11</f>
        <v>1769900.47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2488485.1</v>
      </c>
      <c r="E26" s="112">
        <f>D21</f>
        <v>1978121.52</v>
      </c>
      <c r="G26" s="81"/>
    </row>
    <row r="27" spans="2:11">
      <c r="B27" s="10" t="s">
        <v>17</v>
      </c>
      <c r="C27" s="11" t="s">
        <v>217</v>
      </c>
      <c r="D27" s="245">
        <v>-514782.25000000006</v>
      </c>
      <c r="E27" s="269">
        <f>E28-E32</f>
        <v>-310110.9600000002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178736.44</v>
      </c>
      <c r="E28" s="284">
        <f>SUM(E29:E31)</f>
        <v>1036906.25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36420.26</v>
      </c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142316.18</v>
      </c>
      <c r="E31" s="286">
        <v>1036906.25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693518.69000000006</v>
      </c>
      <c r="E32" s="284">
        <f>SUM(E33:E39)</f>
        <v>1347017.2100000002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647010.27</v>
      </c>
      <c r="E33" s="286">
        <v>911345.67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9571.27</v>
      </c>
      <c r="E35" s="286">
        <v>6996.52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35834.93</v>
      </c>
      <c r="E37" s="286">
        <v>28226.81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1102.22</v>
      </c>
      <c r="E39" s="288">
        <v>400448.21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4418.67</v>
      </c>
      <c r="E40" s="115">
        <v>101889.91</v>
      </c>
      <c r="G40" s="81"/>
    </row>
    <row r="41" spans="2:10" ht="13.5" thickBot="1">
      <c r="B41" s="116" t="s">
        <v>37</v>
      </c>
      <c r="C41" s="117" t="s">
        <v>38</v>
      </c>
      <c r="D41" s="249">
        <v>1978121.52</v>
      </c>
      <c r="E41" s="165">
        <f>E26+E27+E40</f>
        <v>1769900.4699999997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63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16823.182100000002</v>
      </c>
      <c r="E47" s="80">
        <v>13344.947200000001</v>
      </c>
      <c r="G47" s="77"/>
    </row>
    <row r="48" spans="2:10">
      <c r="B48" s="140" t="s">
        <v>6</v>
      </c>
      <c r="C48" s="23" t="s">
        <v>41</v>
      </c>
      <c r="D48" s="251">
        <v>13344.947200000001</v>
      </c>
      <c r="E48" s="166">
        <v>11323.7394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147.91999999999999</v>
      </c>
      <c r="E50" s="82">
        <v>148.22999999999999</v>
      </c>
      <c r="G50" s="208"/>
    </row>
    <row r="51" spans="2:7">
      <c r="B51" s="119" t="s">
        <v>6</v>
      </c>
      <c r="C51" s="16" t="s">
        <v>220</v>
      </c>
      <c r="D51" s="253">
        <v>146.12</v>
      </c>
      <c r="E51" s="82">
        <v>145.79</v>
      </c>
      <c r="G51" s="208"/>
    </row>
    <row r="52" spans="2:7">
      <c r="B52" s="119" t="s">
        <v>8</v>
      </c>
      <c r="C52" s="16" t="s">
        <v>221</v>
      </c>
      <c r="D52" s="253">
        <v>155.59</v>
      </c>
      <c r="E52" s="82">
        <v>156.30000000000001</v>
      </c>
    </row>
    <row r="53" spans="2:7" ht="13.5" customHeight="1" thickBot="1">
      <c r="B53" s="120" t="s">
        <v>9</v>
      </c>
      <c r="C53" s="18" t="s">
        <v>41</v>
      </c>
      <c r="D53" s="254">
        <v>148.22999999999999</v>
      </c>
      <c r="E53" s="167">
        <v>156.30000000000001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8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1769900.47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1769900.47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1769900.47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1769900.47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3"/>
  <dimension ref="A1:K49"/>
  <sheetViews>
    <sheetView topLeftCell="B1" workbookViewId="0">
      <selection activeCell="G11" sqref="G11"/>
    </sheetView>
  </sheetViews>
  <sheetFormatPr defaultRowHeight="12.75"/>
  <cols>
    <col min="3" max="3" width="13.85546875" customWidth="1"/>
    <col min="4" max="4" width="19" customWidth="1"/>
    <col min="5" max="5" width="16.7109375" customWidth="1"/>
    <col min="6" max="6" width="11.28515625" bestFit="1" customWidth="1"/>
    <col min="7" max="8" width="18.7109375" bestFit="1" customWidth="1"/>
    <col min="9" max="9" width="17" customWidth="1"/>
    <col min="10" max="10" width="15.42578125" bestFit="1" customWidth="1"/>
    <col min="11" max="11" width="18.85546875" customWidth="1"/>
    <col min="12" max="12" width="12.28515625" bestFit="1" customWidth="1"/>
  </cols>
  <sheetData>
    <row r="1" spans="1:11">
      <c r="A1" s="34"/>
      <c r="B1" s="35"/>
      <c r="C1" s="35" t="s">
        <v>93</v>
      </c>
      <c r="D1" s="36"/>
      <c r="E1" s="36"/>
      <c r="F1" s="36"/>
      <c r="G1" s="36"/>
      <c r="H1" s="35"/>
      <c r="I1" s="35"/>
      <c r="J1" s="34"/>
    </row>
    <row r="2" spans="1:11">
      <c r="A2" s="34"/>
      <c r="B2" s="35"/>
      <c r="C2" s="35" t="s">
        <v>94</v>
      </c>
      <c r="D2" s="36"/>
      <c r="E2" s="36"/>
      <c r="F2" s="36"/>
      <c r="G2" s="36"/>
      <c r="H2" s="35"/>
      <c r="I2" s="35"/>
      <c r="J2" s="34"/>
    </row>
    <row r="3" spans="1:11">
      <c r="A3" s="34"/>
      <c r="B3" s="35"/>
      <c r="C3" s="35" t="s">
        <v>95</v>
      </c>
      <c r="D3" s="36"/>
      <c r="E3" s="36"/>
      <c r="F3" s="36"/>
      <c r="G3" s="36"/>
      <c r="H3" s="35"/>
      <c r="I3" s="35"/>
      <c r="J3" s="34"/>
    </row>
    <row r="4" spans="1:11">
      <c r="A4" s="34"/>
      <c r="B4" s="35"/>
      <c r="C4" s="35" t="s">
        <v>96</v>
      </c>
      <c r="D4" s="36"/>
      <c r="E4" s="36"/>
      <c r="F4" s="36"/>
      <c r="G4" s="36"/>
      <c r="H4" s="35"/>
      <c r="I4" s="35"/>
      <c r="J4" s="34"/>
    </row>
    <row r="5" spans="1:11">
      <c r="A5" s="34"/>
      <c r="B5" s="35"/>
      <c r="C5" s="35" t="s">
        <v>273</v>
      </c>
      <c r="D5" s="36"/>
      <c r="E5" s="36"/>
      <c r="F5" s="36"/>
      <c r="G5" s="242"/>
      <c r="H5" s="243"/>
      <c r="I5" s="329"/>
      <c r="J5" s="34"/>
    </row>
    <row r="6" spans="1:11" ht="13.5" thickBot="1">
      <c r="A6" s="34"/>
      <c r="B6" s="35"/>
      <c r="C6" s="35"/>
      <c r="D6" s="36"/>
      <c r="E6" s="36"/>
      <c r="F6" s="36"/>
      <c r="G6" s="36"/>
      <c r="H6" s="243"/>
      <c r="I6" s="329"/>
      <c r="J6" s="34"/>
    </row>
    <row r="7" spans="1:11">
      <c r="A7" s="34"/>
      <c r="B7" s="37"/>
      <c r="C7" s="38"/>
      <c r="D7" s="39"/>
      <c r="E7" s="40"/>
      <c r="F7" s="41"/>
      <c r="G7" s="41"/>
      <c r="H7" s="59"/>
      <c r="I7" s="42"/>
      <c r="J7" s="34"/>
    </row>
    <row r="8" spans="1:11">
      <c r="A8" s="34"/>
      <c r="B8" s="43"/>
      <c r="C8" s="44"/>
      <c r="D8" s="45"/>
      <c r="E8" s="46"/>
      <c r="F8" s="41"/>
      <c r="G8" s="41"/>
      <c r="H8" s="81"/>
      <c r="I8" s="59"/>
      <c r="J8" s="34"/>
    </row>
    <row r="9" spans="1:11">
      <c r="A9" s="34"/>
      <c r="B9" s="43"/>
      <c r="C9" s="44"/>
      <c r="D9" s="45" t="s">
        <v>245</v>
      </c>
      <c r="E9" s="46" t="s">
        <v>268</v>
      </c>
      <c r="F9" s="41"/>
      <c r="G9" s="41"/>
      <c r="H9" s="42"/>
      <c r="I9" s="42"/>
      <c r="J9" s="34"/>
    </row>
    <row r="10" spans="1:11" ht="13.5" thickBot="1">
      <c r="A10" s="34"/>
      <c r="B10" s="47"/>
      <c r="C10" s="48"/>
      <c r="D10" s="49"/>
      <c r="E10" s="50"/>
      <c r="F10" s="41"/>
      <c r="G10" s="41"/>
      <c r="H10" s="42"/>
      <c r="I10" s="42"/>
      <c r="J10" s="34"/>
    </row>
    <row r="11" spans="1:11">
      <c r="A11" s="34"/>
      <c r="B11" s="43"/>
      <c r="C11" s="44"/>
      <c r="D11" s="45"/>
      <c r="E11" s="46"/>
      <c r="F11" s="175"/>
      <c r="G11" s="41"/>
      <c r="H11" s="42"/>
      <c r="I11" s="42"/>
      <c r="J11" s="34"/>
    </row>
    <row r="12" spans="1:11">
      <c r="A12" s="34"/>
      <c r="B12" s="43"/>
      <c r="C12" s="44"/>
      <c r="D12" s="51"/>
      <c r="E12" s="52"/>
      <c r="F12" s="175"/>
      <c r="G12" s="271"/>
      <c r="H12" s="272"/>
      <c r="I12" s="81"/>
      <c r="J12" s="34"/>
    </row>
    <row r="13" spans="1:11">
      <c r="A13" s="34"/>
      <c r="B13" s="53" t="s">
        <v>97</v>
      </c>
      <c r="C13" s="54"/>
      <c r="D13" s="55">
        <v>230645729.41</v>
      </c>
      <c r="E13" s="56">
        <v>198408841.22999999</v>
      </c>
      <c r="F13" s="175"/>
      <c r="G13" s="271"/>
      <c r="H13" s="81"/>
      <c r="I13" s="81"/>
      <c r="J13" s="34"/>
      <c r="K13" s="77"/>
    </row>
    <row r="14" spans="1:11">
      <c r="A14" s="34"/>
      <c r="B14" s="53"/>
      <c r="C14" s="54"/>
      <c r="D14" s="57"/>
      <c r="E14" s="58"/>
      <c r="F14" s="175"/>
      <c r="G14" s="78"/>
      <c r="H14" s="176"/>
      <c r="I14" s="59"/>
      <c r="J14" s="34"/>
    </row>
    <row r="15" spans="1:11">
      <c r="A15" s="34"/>
      <c r="B15" s="53"/>
      <c r="C15" s="54"/>
      <c r="D15" s="57"/>
      <c r="E15" s="58"/>
      <c r="F15" s="41"/>
      <c r="G15" s="200"/>
      <c r="H15" s="81"/>
      <c r="I15" s="41"/>
      <c r="J15" s="34"/>
    </row>
    <row r="16" spans="1:11" ht="13.5" thickBot="1">
      <c r="A16" s="34"/>
      <c r="B16" s="53"/>
      <c r="C16" s="54"/>
      <c r="D16" s="57"/>
      <c r="E16" s="58"/>
      <c r="F16" s="41"/>
      <c r="G16" s="200"/>
      <c r="H16" s="77"/>
      <c r="I16" s="59"/>
      <c r="J16" s="34"/>
    </row>
    <row r="17" spans="1:11">
      <c r="A17" s="34"/>
      <c r="B17" s="60"/>
      <c r="C17" s="61"/>
      <c r="D17" s="62"/>
      <c r="E17" s="63"/>
      <c r="F17" s="34"/>
      <c r="G17" s="201"/>
      <c r="H17" s="81"/>
      <c r="I17" s="34"/>
      <c r="J17" s="34"/>
    </row>
    <row r="18" spans="1:11">
      <c r="A18" s="34"/>
      <c r="B18" s="53" t="s">
        <v>98</v>
      </c>
      <c r="C18" s="54"/>
      <c r="D18" s="79">
        <f>SUM('Fundusz Gwarantowany:UniObligacje Aktywny'!D35)</f>
        <v>27934491.430000003</v>
      </c>
      <c r="E18" s="79">
        <f>SUM('Fundusz Gwarantowany:UniObligacje Aktywny'!E35)</f>
        <v>24773025.27999999</v>
      </c>
      <c r="F18" s="34"/>
      <c r="G18" s="201"/>
      <c r="H18" s="75"/>
      <c r="I18" s="76"/>
      <c r="J18" s="75"/>
      <c r="K18" s="71"/>
    </row>
    <row r="19" spans="1:11">
      <c r="A19" s="34"/>
      <c r="B19" s="53"/>
      <c r="C19" s="54"/>
      <c r="D19" s="57"/>
      <c r="E19" s="58"/>
      <c r="F19" s="34"/>
      <c r="G19" s="201"/>
      <c r="H19" s="81"/>
      <c r="I19" s="76"/>
      <c r="J19" s="34"/>
      <c r="K19" s="208"/>
    </row>
    <row r="20" spans="1:11" ht="13.5" thickBot="1">
      <c r="A20" s="34"/>
      <c r="B20" s="64"/>
      <c r="C20" s="65"/>
      <c r="D20" s="66"/>
      <c r="E20" s="67"/>
      <c r="F20" s="34"/>
      <c r="G20" s="34"/>
      <c r="H20" s="34"/>
      <c r="I20" s="34"/>
      <c r="J20" s="76"/>
    </row>
    <row r="21" spans="1:11">
      <c r="A21" s="34"/>
      <c r="B21" s="53"/>
      <c r="C21" s="54"/>
      <c r="D21" s="57"/>
      <c r="E21" s="58"/>
      <c r="F21" s="34"/>
      <c r="G21" s="34"/>
      <c r="H21" s="76"/>
      <c r="I21" s="76"/>
      <c r="J21" s="34"/>
    </row>
    <row r="22" spans="1:11">
      <c r="A22" s="34"/>
      <c r="B22" s="53"/>
      <c r="C22" s="54"/>
      <c r="D22" s="57"/>
      <c r="E22" s="58"/>
      <c r="F22" s="34"/>
      <c r="G22" s="34"/>
      <c r="H22" s="34"/>
      <c r="I22" s="34"/>
      <c r="J22" s="34"/>
    </row>
    <row r="23" spans="1:11">
      <c r="A23" s="34"/>
      <c r="B23" s="53" t="s">
        <v>99</v>
      </c>
      <c r="C23" s="54"/>
      <c r="D23" s="57">
        <f>D13-D18</f>
        <v>202711237.97999999</v>
      </c>
      <c r="E23" s="58">
        <f>E13-E18</f>
        <v>173635815.94999999</v>
      </c>
      <c r="F23" s="34"/>
      <c r="G23" s="78"/>
      <c r="H23" s="76"/>
      <c r="I23" s="76"/>
      <c r="J23" s="76"/>
      <c r="K23" s="71"/>
    </row>
    <row r="24" spans="1:11">
      <c r="A24" s="34"/>
      <c r="B24" s="43"/>
      <c r="C24" s="44"/>
      <c r="D24" s="51"/>
      <c r="E24" s="52"/>
      <c r="F24" s="34"/>
      <c r="G24" s="34"/>
      <c r="H24" s="76"/>
      <c r="I24" s="76"/>
      <c r="J24" s="76"/>
      <c r="K24" s="208"/>
    </row>
    <row r="25" spans="1:11">
      <c r="A25" s="34"/>
      <c r="B25" s="43"/>
      <c r="C25" s="44"/>
      <c r="D25" s="51"/>
      <c r="E25" s="52"/>
      <c r="F25" s="34"/>
      <c r="G25" s="34"/>
      <c r="H25" s="34"/>
      <c r="I25" s="34"/>
      <c r="J25" s="34"/>
    </row>
    <row r="26" spans="1:11" ht="13.5" thickBot="1">
      <c r="A26" s="34"/>
      <c r="B26" s="47"/>
      <c r="C26" s="48"/>
      <c r="D26" s="68"/>
      <c r="E26" s="69"/>
      <c r="F26" s="34"/>
      <c r="G26" s="78"/>
      <c r="H26" s="34"/>
      <c r="I26" s="34"/>
      <c r="J26" s="34"/>
    </row>
    <row r="27" spans="1:11">
      <c r="G27" s="34"/>
    </row>
    <row r="28" spans="1:11">
      <c r="E28" s="71"/>
      <c r="G28" s="34"/>
    </row>
    <row r="30" spans="1:11">
      <c r="G30" s="77"/>
      <c r="H30" s="77"/>
      <c r="I30" s="77"/>
      <c r="J30" s="71"/>
    </row>
    <row r="31" spans="1:11">
      <c r="G31" s="77"/>
      <c r="H31" s="77"/>
      <c r="I31" s="171"/>
      <c r="J31" s="208"/>
    </row>
    <row r="32" spans="1:11">
      <c r="G32" s="77"/>
      <c r="H32" s="77"/>
      <c r="I32" s="77"/>
    </row>
    <row r="33" spans="4:8">
      <c r="G33" s="77"/>
      <c r="H33" s="188"/>
    </row>
    <row r="34" spans="4:8">
      <c r="G34" s="77"/>
      <c r="H34" s="77"/>
    </row>
    <row r="35" spans="4:8">
      <c r="G35" s="77"/>
      <c r="H35" s="77"/>
    </row>
    <row r="36" spans="4:8">
      <c r="G36" s="77"/>
      <c r="H36" s="77"/>
    </row>
    <row r="37" spans="4:8">
      <c r="G37" s="77"/>
    </row>
    <row r="38" spans="4:8">
      <c r="E38" s="77"/>
      <c r="G38" s="77"/>
    </row>
    <row r="39" spans="4:8">
      <c r="E39" s="77"/>
      <c r="G39" s="77"/>
    </row>
    <row r="40" spans="4:8">
      <c r="E40" s="77"/>
      <c r="G40" s="77"/>
    </row>
    <row r="41" spans="4:8">
      <c r="E41" s="77"/>
      <c r="G41" s="77"/>
    </row>
    <row r="42" spans="4:8">
      <c r="E42" s="77"/>
      <c r="G42" s="77"/>
    </row>
    <row r="43" spans="4:8">
      <c r="E43" s="77"/>
      <c r="G43" s="77"/>
    </row>
    <row r="44" spans="4:8">
      <c r="E44" s="77"/>
    </row>
    <row r="45" spans="4:8">
      <c r="D45" s="77"/>
      <c r="E45" s="77"/>
    </row>
    <row r="46" spans="4:8">
      <c r="E46" s="77"/>
    </row>
    <row r="48" spans="4:8">
      <c r="E48" s="77"/>
    </row>
    <row r="49" spans="5:5">
      <c r="E49" s="77"/>
    </row>
  </sheetData>
  <phoneticPr fontId="7" type="noConversion"/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5.8554687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01"/>
      <c r="C4" s="101"/>
      <c r="D4" s="101"/>
      <c r="E4" s="10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103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5373172.7800000003</v>
      </c>
      <c r="E11" s="9">
        <f>E12+E13+E14</f>
        <v>5353523.03</v>
      </c>
    </row>
    <row r="12" spans="2:12">
      <c r="B12" s="123" t="s">
        <v>4</v>
      </c>
      <c r="C12" s="6" t="s">
        <v>5</v>
      </c>
      <c r="D12" s="297">
        <v>5358176.03</v>
      </c>
      <c r="E12" s="95">
        <v>5258414.1100000003</v>
      </c>
    </row>
    <row r="13" spans="2:12">
      <c r="B13" s="123" t="s">
        <v>6</v>
      </c>
      <c r="C13" s="72" t="s">
        <v>7</v>
      </c>
      <c r="D13" s="297">
        <v>41.4</v>
      </c>
      <c r="E13" s="95">
        <v>2.4900000000000002</v>
      </c>
    </row>
    <row r="14" spans="2:12">
      <c r="B14" s="123" t="s">
        <v>8</v>
      </c>
      <c r="C14" s="72" t="s">
        <v>10</v>
      </c>
      <c r="D14" s="297">
        <v>14955.35</v>
      </c>
      <c r="E14" s="95">
        <f>E15</f>
        <v>95106.43</v>
      </c>
    </row>
    <row r="15" spans="2:12">
      <c r="B15" s="123" t="s">
        <v>212</v>
      </c>
      <c r="C15" s="72" t="s">
        <v>11</v>
      </c>
      <c r="D15" s="297">
        <v>14955.35</v>
      </c>
      <c r="E15" s="95">
        <v>95106.43</v>
      </c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>
        <v>16450.84</v>
      </c>
      <c r="E17" s="107">
        <f>E18</f>
        <v>509.53</v>
      </c>
    </row>
    <row r="18" spans="2:11">
      <c r="B18" s="123" t="s">
        <v>4</v>
      </c>
      <c r="C18" s="6" t="s">
        <v>11</v>
      </c>
      <c r="D18" s="297">
        <v>16450.84</v>
      </c>
      <c r="E18" s="96">
        <v>509.53</v>
      </c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5356721.9400000004</v>
      </c>
      <c r="E21" s="165">
        <f>E11-E17</f>
        <v>5353013.5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02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304">
        <v>4842874.79</v>
      </c>
      <c r="E26" s="112">
        <f>D21</f>
        <v>5356721.9400000004</v>
      </c>
      <c r="G26" s="81"/>
    </row>
    <row r="27" spans="2:11">
      <c r="B27" s="10" t="s">
        <v>17</v>
      </c>
      <c r="C27" s="11" t="s">
        <v>217</v>
      </c>
      <c r="D27" s="305">
        <v>190146.24</v>
      </c>
      <c r="E27" s="269">
        <f>E28-E32</f>
        <v>-956381.56999999983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305">
        <v>1776991.42</v>
      </c>
      <c r="E28" s="284">
        <f>SUM(E29:E31)</f>
        <v>2197337.4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57">
        <v>93678.2</v>
      </c>
      <c r="E29" s="286">
        <v>50472.51</v>
      </c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57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57">
        <v>1683313.22</v>
      </c>
      <c r="E31" s="286">
        <v>2146864.89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305">
        <v>1586845.18</v>
      </c>
      <c r="E32" s="284">
        <f>SUM(E33:E39)</f>
        <v>3153718.9699999997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57">
        <v>1057879.46</v>
      </c>
      <c r="E33" s="286">
        <v>1728654.74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57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57">
        <v>15620.01</v>
      </c>
      <c r="E35" s="286">
        <v>3269.21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57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57">
        <v>98133.11</v>
      </c>
      <c r="E37" s="286">
        <v>111114.99</v>
      </c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57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306">
        <v>415212.6</v>
      </c>
      <c r="E39" s="288">
        <v>1310680.03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307">
        <v>323700.90999999997</v>
      </c>
      <c r="E40" s="115">
        <v>952673.13</v>
      </c>
      <c r="G40" s="81"/>
    </row>
    <row r="41" spans="2:10" ht="13.5" thickBot="1">
      <c r="B41" s="116" t="s">
        <v>37</v>
      </c>
      <c r="C41" s="117" t="s">
        <v>38</v>
      </c>
      <c r="D41" s="87">
        <v>5356721.9400000004</v>
      </c>
      <c r="E41" s="165">
        <f>E26+E27+E40</f>
        <v>5353013.5000000009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302">
        <v>47889.539799999999</v>
      </c>
      <c r="E47" s="80">
        <v>49443.5749</v>
      </c>
      <c r="G47" s="77"/>
    </row>
    <row r="48" spans="2:10">
      <c r="B48" s="140" t="s">
        <v>6</v>
      </c>
      <c r="C48" s="23" t="s">
        <v>41</v>
      </c>
      <c r="D48" s="308">
        <v>49443.5749</v>
      </c>
      <c r="E48" s="80">
        <v>41791.439200000001</v>
      </c>
      <c r="G48" s="77"/>
    </row>
    <row r="49" spans="2:7">
      <c r="B49" s="137" t="s">
        <v>23</v>
      </c>
      <c r="C49" s="141" t="s">
        <v>219</v>
      </c>
      <c r="D49" s="309"/>
      <c r="E49" s="142"/>
    </row>
    <row r="50" spans="2:7">
      <c r="B50" s="119" t="s">
        <v>4</v>
      </c>
      <c r="C50" s="16" t="s">
        <v>40</v>
      </c>
      <c r="D50" s="310">
        <v>101.125941285407</v>
      </c>
      <c r="E50" s="80">
        <v>108.340101840006</v>
      </c>
      <c r="G50" s="208"/>
    </row>
    <row r="51" spans="2:7">
      <c r="B51" s="119" t="s">
        <v>6</v>
      </c>
      <c r="C51" s="16" t="s">
        <v>220</v>
      </c>
      <c r="D51" s="311">
        <v>91.505499999999998</v>
      </c>
      <c r="E51" s="207">
        <v>108.34010000000001</v>
      </c>
      <c r="G51" s="208"/>
    </row>
    <row r="52" spans="2:7">
      <c r="B52" s="119" t="s">
        <v>8</v>
      </c>
      <c r="C52" s="16" t="s">
        <v>221</v>
      </c>
      <c r="D52" s="311">
        <v>111.9999</v>
      </c>
      <c r="E52" s="207">
        <v>128.08879999999999</v>
      </c>
    </row>
    <row r="53" spans="2:7" ht="12.75" customHeight="1" thickBot="1">
      <c r="B53" s="120" t="s">
        <v>9</v>
      </c>
      <c r="C53" s="18" t="s">
        <v>41</v>
      </c>
      <c r="D53" s="254">
        <v>108.340101840006</v>
      </c>
      <c r="E53" s="167">
        <v>128.088756991168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SUM(D59:D70)</f>
        <v>5258414.1100000003</v>
      </c>
      <c r="E58" s="33">
        <f>D58/E21</f>
        <v>0.9823278252520754</v>
      </c>
    </row>
    <row r="59" spans="2:7" ht="25.5">
      <c r="B59" s="22" t="s">
        <v>4</v>
      </c>
      <c r="C59" s="23" t="s">
        <v>44</v>
      </c>
      <c r="D59" s="90">
        <v>0</v>
      </c>
      <c r="E59" s="91">
        <v>0</v>
      </c>
    </row>
    <row r="60" spans="2:7" ht="25.5">
      <c r="B60" s="15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5" t="s">
        <v>8</v>
      </c>
      <c r="C61" s="16" t="s">
        <v>46</v>
      </c>
      <c r="D61" s="88">
        <v>0</v>
      </c>
      <c r="E61" s="89">
        <v>0</v>
      </c>
    </row>
    <row r="62" spans="2:7">
      <c r="B62" s="15" t="s">
        <v>9</v>
      </c>
      <c r="C62" s="16" t="s">
        <v>47</v>
      </c>
      <c r="D62" s="88">
        <v>0</v>
      </c>
      <c r="E62" s="89">
        <v>0</v>
      </c>
    </row>
    <row r="63" spans="2:7">
      <c r="B63" s="15" t="s">
        <v>29</v>
      </c>
      <c r="C63" s="16" t="s">
        <v>48</v>
      </c>
      <c r="D63" s="88">
        <v>0</v>
      </c>
      <c r="E63" s="89">
        <v>0</v>
      </c>
    </row>
    <row r="64" spans="2:7">
      <c r="B64" s="22" t="s">
        <v>31</v>
      </c>
      <c r="C64" s="23" t="s">
        <v>49</v>
      </c>
      <c r="D64" s="90">
        <v>5094626.53</v>
      </c>
      <c r="E64" s="91">
        <f>D64/E21</f>
        <v>0.95173055887118541</v>
      </c>
    </row>
    <row r="65" spans="2:5">
      <c r="B65" s="22" t="s">
        <v>33</v>
      </c>
      <c r="C65" s="23" t="s">
        <v>224</v>
      </c>
      <c r="D65" s="90">
        <v>0</v>
      </c>
      <c r="E65" s="91">
        <v>0</v>
      </c>
    </row>
    <row r="66" spans="2:5">
      <c r="B66" s="22" t="s">
        <v>50</v>
      </c>
      <c r="C66" s="23" t="s">
        <v>51</v>
      </c>
      <c r="D66" s="90">
        <v>0</v>
      </c>
      <c r="E66" s="91">
        <v>0</v>
      </c>
    </row>
    <row r="67" spans="2:5">
      <c r="B67" s="15" t="s">
        <v>52</v>
      </c>
      <c r="C67" s="16" t="s">
        <v>53</v>
      </c>
      <c r="D67" s="88">
        <v>0</v>
      </c>
      <c r="E67" s="89">
        <v>0</v>
      </c>
    </row>
    <row r="68" spans="2:5">
      <c r="B68" s="15" t="s">
        <v>54</v>
      </c>
      <c r="C68" s="16" t="s">
        <v>55</v>
      </c>
      <c r="D68" s="88">
        <v>0</v>
      </c>
      <c r="E68" s="89">
        <v>0</v>
      </c>
    </row>
    <row r="69" spans="2:5">
      <c r="B69" s="15" t="s">
        <v>56</v>
      </c>
      <c r="C69" s="16" t="s">
        <v>57</v>
      </c>
      <c r="D69" s="88">
        <v>163787.57999999999</v>
      </c>
      <c r="E69" s="89">
        <f>D69/E21</f>
        <v>3.0597266380889939E-2</v>
      </c>
    </row>
    <row r="70" spans="2:5">
      <c r="B70" s="129" t="s">
        <v>58</v>
      </c>
      <c r="C70" s="130" t="s">
        <v>59</v>
      </c>
      <c r="D70" s="131">
        <v>0</v>
      </c>
      <c r="E70" s="132">
        <v>0</v>
      </c>
    </row>
    <row r="71" spans="2:5">
      <c r="B71" s="137" t="s">
        <v>23</v>
      </c>
      <c r="C71" s="138" t="s">
        <v>61</v>
      </c>
      <c r="D71" s="139">
        <f>E13</f>
        <v>2.4900000000000002</v>
      </c>
      <c r="E71" s="70">
        <f>D71/E21</f>
        <v>4.6515855041277223E-7</v>
      </c>
    </row>
    <row r="72" spans="2:5">
      <c r="B72" s="133" t="s">
        <v>60</v>
      </c>
      <c r="C72" s="134" t="s">
        <v>63</v>
      </c>
      <c r="D72" s="135">
        <f>E14</f>
        <v>95106.43</v>
      </c>
      <c r="E72" s="136">
        <f>D72/E21</f>
        <v>1.7766895226399109E-2</v>
      </c>
    </row>
    <row r="73" spans="2:5">
      <c r="B73" s="24" t="s">
        <v>62</v>
      </c>
      <c r="C73" s="25" t="s">
        <v>65</v>
      </c>
      <c r="D73" s="26">
        <f>E17</f>
        <v>509.53</v>
      </c>
      <c r="E73" s="27">
        <f>D73/E21</f>
        <v>9.518563702482722E-5</v>
      </c>
    </row>
    <row r="74" spans="2:5">
      <c r="B74" s="137" t="s">
        <v>64</v>
      </c>
      <c r="C74" s="138" t="s">
        <v>66</v>
      </c>
      <c r="D74" s="139">
        <f>D58-D73+D71+D72</f>
        <v>5353013.5</v>
      </c>
      <c r="E74" s="70">
        <f>E58+E72-E73</f>
        <v>0.99999953484144966</v>
      </c>
    </row>
    <row r="75" spans="2:5">
      <c r="B75" s="15" t="s">
        <v>4</v>
      </c>
      <c r="C75" s="16" t="s">
        <v>67</v>
      </c>
      <c r="D75" s="88">
        <v>4634808.6399999997</v>
      </c>
      <c r="E75" s="89">
        <f>D75/E21</f>
        <v>0.86583167406545858</v>
      </c>
    </row>
    <row r="76" spans="2:5">
      <c r="B76" s="15" t="s">
        <v>6</v>
      </c>
      <c r="C76" s="16" t="s">
        <v>225</v>
      </c>
      <c r="D76" s="88">
        <v>718204.86</v>
      </c>
      <c r="E76" s="89">
        <f>D76/E21</f>
        <v>0.13416832593454137</v>
      </c>
    </row>
    <row r="77" spans="2:5" ht="13.5" thickBot="1">
      <c r="B77" s="17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20.28515625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01"/>
      <c r="C4" s="101"/>
      <c r="D4" s="101"/>
      <c r="E4" s="101"/>
    </row>
    <row r="5" spans="2:12" ht="21" customHeight="1">
      <c r="B5" s="333" t="s">
        <v>1</v>
      </c>
      <c r="C5" s="333"/>
      <c r="D5" s="333"/>
      <c r="E5" s="333"/>
    </row>
    <row r="6" spans="2:12" ht="14.25" customHeight="1">
      <c r="B6" s="334" t="s">
        <v>104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23252092.039999999</v>
      </c>
      <c r="E11" s="9">
        <f>E12+E13</f>
        <v>20480381.490000002</v>
      </c>
    </row>
    <row r="12" spans="2:12">
      <c r="B12" s="123" t="s">
        <v>4</v>
      </c>
      <c r="C12" s="6" t="s">
        <v>5</v>
      </c>
      <c r="D12" s="297">
        <v>23251624.109999999</v>
      </c>
      <c r="E12" s="95">
        <f>20485531.19-5149.7</f>
        <v>20480381.490000002</v>
      </c>
    </row>
    <row r="13" spans="2:12">
      <c r="B13" s="123" t="s">
        <v>6</v>
      </c>
      <c r="C13" s="72" t="s">
        <v>7</v>
      </c>
      <c r="D13" s="297">
        <v>467.93</v>
      </c>
      <c r="E13" s="95"/>
    </row>
    <row r="14" spans="2:12">
      <c r="B14" s="123" t="s">
        <v>8</v>
      </c>
      <c r="C14" s="72" t="s">
        <v>10</v>
      </c>
      <c r="D14" s="297"/>
      <c r="E14" s="95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>
        <v>1162.07</v>
      </c>
      <c r="E17" s="107">
        <f>E18</f>
        <v>1702.44</v>
      </c>
    </row>
    <row r="18" spans="2:11">
      <c r="B18" s="123" t="s">
        <v>4</v>
      </c>
      <c r="C18" s="6" t="s">
        <v>11</v>
      </c>
      <c r="D18" s="297">
        <v>1162.07</v>
      </c>
      <c r="E18" s="312">
        <v>1702.44</v>
      </c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23250929.969999999</v>
      </c>
      <c r="E21" s="165">
        <f>E11-E17</f>
        <v>20478679.050000001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02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27005240.68</v>
      </c>
      <c r="E26" s="112">
        <f>D21</f>
        <v>23250929.969999999</v>
      </c>
      <c r="G26" s="81"/>
    </row>
    <row r="27" spans="2:11">
      <c r="B27" s="10" t="s">
        <v>17</v>
      </c>
      <c r="C27" s="11" t="s">
        <v>217</v>
      </c>
      <c r="D27" s="245">
        <v>-5215390.78</v>
      </c>
      <c r="E27" s="269">
        <f>E28-E32</f>
        <v>-3678867.6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1803805.58</v>
      </c>
      <c r="E28" s="284">
        <f>SUM(E29:E31)</f>
        <v>2775663.89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89607.24</v>
      </c>
      <c r="E29" s="286">
        <v>0</v>
      </c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>
        <v>1714198.34</v>
      </c>
      <c r="E31" s="286">
        <v>2775663.89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7019196.3600000003</v>
      </c>
      <c r="E32" s="284">
        <f>SUM(E33:E39)</f>
        <v>6454531.4900000002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5005960.74</v>
      </c>
      <c r="E33" s="286">
        <f>4810083.55+5149.7</f>
        <v>4815233.25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53642.77</v>
      </c>
      <c r="E35" s="286">
        <v>18026.54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>
        <v>475923.69</v>
      </c>
      <c r="E37" s="286">
        <v>410019.94</v>
      </c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>
        <v>1483669.16</v>
      </c>
      <c r="E39" s="288">
        <v>1211251.76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1461080.0699999998</v>
      </c>
      <c r="E40" s="115">
        <v>906616.68</v>
      </c>
      <c r="G40" s="81"/>
    </row>
    <row r="41" spans="2:10" ht="13.5" thickBot="1">
      <c r="B41" s="116" t="s">
        <v>37</v>
      </c>
      <c r="C41" s="117" t="s">
        <v>38</v>
      </c>
      <c r="D41" s="249">
        <v>23250929.969999999</v>
      </c>
      <c r="E41" s="165">
        <f>E26+E27+E40</f>
        <v>20478679.049999997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268132.79440000001</v>
      </c>
      <c r="E47" s="80">
        <v>217378.77299999999</v>
      </c>
      <c r="G47" s="77"/>
    </row>
    <row r="48" spans="2:10">
      <c r="B48" s="140" t="s">
        <v>6</v>
      </c>
      <c r="C48" s="23" t="s">
        <v>41</v>
      </c>
      <c r="D48" s="251">
        <v>217378.77299999999</v>
      </c>
      <c r="E48" s="80">
        <v>183746.82709999999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100.715918544874</v>
      </c>
      <c r="E50" s="80">
        <v>106.960443511197</v>
      </c>
      <c r="G50" s="208"/>
    </row>
    <row r="51" spans="2:7">
      <c r="B51" s="119" t="s">
        <v>6</v>
      </c>
      <c r="C51" s="16" t="s">
        <v>220</v>
      </c>
      <c r="D51" s="256">
        <v>96.793500000000009</v>
      </c>
      <c r="E51" s="207">
        <v>106.96040000000001</v>
      </c>
      <c r="G51" s="208"/>
    </row>
    <row r="52" spans="2:7">
      <c r="B52" s="119" t="s">
        <v>8</v>
      </c>
      <c r="C52" s="16" t="s">
        <v>221</v>
      </c>
      <c r="D52" s="256">
        <v>107.58029999999999</v>
      </c>
      <c r="E52" s="207">
        <v>111.54</v>
      </c>
    </row>
    <row r="53" spans="2:7" ht="13.5" customHeight="1" thickBot="1">
      <c r="B53" s="120" t="s">
        <v>9</v>
      </c>
      <c r="C53" s="18" t="s">
        <v>41</v>
      </c>
      <c r="D53" s="254">
        <v>106.960443511197</v>
      </c>
      <c r="E53" s="167">
        <v>111.45051791253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SUM(D59:D70)</f>
        <v>20480381.489999998</v>
      </c>
      <c r="E58" s="33">
        <f>D58/E21</f>
        <v>1.0000831323151187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20028080.99-5149.7</f>
        <v>20022931.289999999</v>
      </c>
      <c r="E64" s="91">
        <f>D64/E21</f>
        <v>0.9777452559861276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457450.2</v>
      </c>
      <c r="E69" s="89">
        <f>D69/E21</f>
        <v>2.2337876328991053E-2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f>E13</f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f>E17</f>
        <v>1702.44</v>
      </c>
      <c r="E73" s="27">
        <f>D73/E21</f>
        <v>8.3132315118733207E-5</v>
      </c>
    </row>
    <row r="74" spans="2:5">
      <c r="B74" s="147" t="s">
        <v>64</v>
      </c>
      <c r="C74" s="138" t="s">
        <v>66</v>
      </c>
      <c r="D74" s="139">
        <f>D58-D73+D71</f>
        <v>20478679.049999997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15561505.42</v>
      </c>
      <c r="E75" s="89">
        <f>D75/E21</f>
        <v>0.75988814425020246</v>
      </c>
    </row>
    <row r="76" spans="2:5">
      <c r="B76" s="119" t="s">
        <v>6</v>
      </c>
      <c r="C76" s="16" t="s">
        <v>225</v>
      </c>
      <c r="D76" s="88">
        <v>4917173.63</v>
      </c>
      <c r="E76" s="89">
        <f>D76/E21</f>
        <v>0.24011185574979749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8" width="17.85546875" customWidth="1"/>
    <col min="9" max="9" width="13.28515625" customWidth="1"/>
    <col min="10" max="10" width="13.5703125" customWidth="1"/>
    <col min="11" max="11" width="14" customWidth="1"/>
    <col min="12" max="12" width="15.28515625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99"/>
      <c r="C4" s="99"/>
      <c r="D4" s="99"/>
      <c r="E4" s="99"/>
    </row>
    <row r="5" spans="2:12" ht="14.25">
      <c r="B5" s="333" t="s">
        <v>1</v>
      </c>
      <c r="C5" s="333"/>
      <c r="D5" s="333"/>
      <c r="E5" s="333"/>
    </row>
    <row r="6" spans="2:12" ht="14.25">
      <c r="B6" s="334" t="s">
        <v>85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  <c r="G9" s="236"/>
    </row>
    <row r="10" spans="2:12" ht="13.5" thickBot="1">
      <c r="B10" s="100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232" t="s">
        <v>215</v>
      </c>
      <c r="D11" s="292">
        <f>D12+D13+D14</f>
        <v>178762833.16</v>
      </c>
      <c r="E11" s="9">
        <f>E12+E13+E14</f>
        <v>185969204.19</v>
      </c>
    </row>
    <row r="12" spans="2:12">
      <c r="B12" s="123" t="s">
        <v>4</v>
      </c>
      <c r="C12" s="233" t="s">
        <v>5</v>
      </c>
      <c r="D12" s="293">
        <f>182333238.87-4116369.09</f>
        <v>178216869.78</v>
      </c>
      <c r="E12" s="95">
        <f>191428394.71-6004259.19</f>
        <v>185424135.52000001</v>
      </c>
    </row>
    <row r="13" spans="2:12">
      <c r="B13" s="123" t="s">
        <v>6</v>
      </c>
      <c r="C13" s="233" t="s">
        <v>7</v>
      </c>
      <c r="D13" s="293">
        <v>6.13</v>
      </c>
      <c r="E13" s="95"/>
    </row>
    <row r="14" spans="2:12">
      <c r="B14" s="123" t="s">
        <v>8</v>
      </c>
      <c r="C14" s="233" t="s">
        <v>10</v>
      </c>
      <c r="D14" s="293">
        <f>D15</f>
        <v>545957.25</v>
      </c>
      <c r="E14" s="95">
        <f>E15</f>
        <v>545068.66999999993</v>
      </c>
    </row>
    <row r="15" spans="2:12">
      <c r="B15" s="123" t="s">
        <v>212</v>
      </c>
      <c r="C15" s="233" t="s">
        <v>11</v>
      </c>
      <c r="D15" s="293">
        <v>545957.25</v>
      </c>
      <c r="E15" s="95">
        <v>545068.66999999993</v>
      </c>
    </row>
    <row r="16" spans="2:12">
      <c r="B16" s="124" t="s">
        <v>213</v>
      </c>
      <c r="C16" s="234" t="s">
        <v>12</v>
      </c>
      <c r="D16" s="294"/>
      <c r="E16" s="96"/>
    </row>
    <row r="17" spans="2:11">
      <c r="B17" s="10" t="s">
        <v>13</v>
      </c>
      <c r="C17" s="235" t="s">
        <v>65</v>
      </c>
      <c r="D17" s="295">
        <f>SUM(D18:D19)</f>
        <v>288575.99</v>
      </c>
      <c r="E17" s="107">
        <f>SUM(E18:E19)</f>
        <v>447947.93</v>
      </c>
    </row>
    <row r="18" spans="2:11">
      <c r="B18" s="123" t="s">
        <v>4</v>
      </c>
      <c r="C18" s="233" t="s">
        <v>11</v>
      </c>
      <c r="D18" s="294">
        <v>288575.99</v>
      </c>
      <c r="E18" s="96">
        <v>447947.93</v>
      </c>
    </row>
    <row r="19" spans="2:11" ht="15" customHeight="1">
      <c r="B19" s="123" t="s">
        <v>6</v>
      </c>
      <c r="C19" s="233" t="s">
        <v>214</v>
      </c>
      <c r="D19" s="293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178474257.16999999</v>
      </c>
      <c r="E21" s="258">
        <f>E11-E17</f>
        <v>185521256.25999999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00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181568115.06</v>
      </c>
      <c r="E26" s="112">
        <f>D21</f>
        <v>178474257.16999999</v>
      </c>
    </row>
    <row r="27" spans="2:11">
      <c r="B27" s="10" t="s">
        <v>17</v>
      </c>
      <c r="C27" s="11" t="s">
        <v>217</v>
      </c>
      <c r="D27" s="245">
        <v>-8149461.3800000399</v>
      </c>
      <c r="E27" s="269">
        <f>E28-E32</f>
        <v>-4927640.629999999</v>
      </c>
      <c r="F27" s="77"/>
      <c r="G27" s="77"/>
      <c r="H27" s="77"/>
      <c r="I27" s="171"/>
      <c r="J27" s="171"/>
    </row>
    <row r="28" spans="2:11">
      <c r="B28" s="10" t="s">
        <v>18</v>
      </c>
      <c r="C28" s="11" t="s">
        <v>19</v>
      </c>
      <c r="D28" s="245">
        <v>26525533.829999998</v>
      </c>
      <c r="E28" s="284">
        <f>SUM(E29:E31)</f>
        <v>25046204.100000001</v>
      </c>
      <c r="F28" s="77"/>
      <c r="G28" s="77"/>
      <c r="H28" s="77"/>
      <c r="I28" s="171"/>
      <c r="J28" s="171"/>
    </row>
    <row r="29" spans="2:11">
      <c r="B29" s="121" t="s">
        <v>4</v>
      </c>
      <c r="C29" s="6" t="s">
        <v>20</v>
      </c>
      <c r="D29" s="246">
        <v>25738777.43</v>
      </c>
      <c r="E29" s="286">
        <v>23824302.510000002</v>
      </c>
      <c r="F29" s="77"/>
      <c r="G29" s="77"/>
      <c r="H29" s="77"/>
      <c r="I29" s="171"/>
      <c r="J29" s="17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171"/>
      <c r="J30" s="171"/>
    </row>
    <row r="31" spans="2:11">
      <c r="B31" s="121" t="s">
        <v>8</v>
      </c>
      <c r="C31" s="6" t="s">
        <v>22</v>
      </c>
      <c r="D31" s="246">
        <v>786756.4</v>
      </c>
      <c r="E31" s="286">
        <v>1221901.5900000001</v>
      </c>
      <c r="F31" s="77"/>
      <c r="G31" s="77"/>
      <c r="H31" s="77"/>
      <c r="I31" s="171"/>
      <c r="J31" s="171"/>
    </row>
    <row r="32" spans="2:11">
      <c r="B32" s="106" t="s">
        <v>23</v>
      </c>
      <c r="C32" s="12" t="s">
        <v>24</v>
      </c>
      <c r="D32" s="245">
        <v>34674995.210000038</v>
      </c>
      <c r="E32" s="284">
        <f>SUM(E33:E39)</f>
        <v>29973844.73</v>
      </c>
      <c r="F32" s="77"/>
      <c r="G32" s="77"/>
      <c r="H32" s="77"/>
      <c r="I32" s="171"/>
      <c r="J32" s="171"/>
    </row>
    <row r="33" spans="2:10">
      <c r="B33" s="121" t="s">
        <v>4</v>
      </c>
      <c r="C33" s="6" t="s">
        <v>25</v>
      </c>
      <c r="D33" s="246">
        <v>28309217.990000002</v>
      </c>
      <c r="E33" s="286">
        <f>22795198.89+1887890.1</f>
        <v>24683088.990000002</v>
      </c>
      <c r="F33" s="77"/>
      <c r="G33" s="77"/>
      <c r="H33" s="77"/>
      <c r="I33" s="171"/>
      <c r="J33" s="17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171"/>
      <c r="J34" s="171"/>
    </row>
    <row r="35" spans="2:10">
      <c r="B35" s="121" t="s">
        <v>8</v>
      </c>
      <c r="C35" s="6" t="s">
        <v>27</v>
      </c>
      <c r="D35" s="246">
        <v>4471289.5</v>
      </c>
      <c r="E35" s="286">
        <v>4018734.27</v>
      </c>
      <c r="F35" s="77"/>
      <c r="G35" s="77"/>
      <c r="H35" s="77"/>
      <c r="I35" s="171"/>
      <c r="J35" s="17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171"/>
      <c r="J36" s="171"/>
    </row>
    <row r="37" spans="2:10" ht="25.5">
      <c r="B37" s="121" t="s">
        <v>29</v>
      </c>
      <c r="C37" s="6" t="s">
        <v>30</v>
      </c>
      <c r="D37" s="246"/>
      <c r="E37" s="286"/>
      <c r="F37" s="77"/>
      <c r="G37" s="77"/>
      <c r="H37" s="77"/>
      <c r="I37" s="171"/>
      <c r="J37" s="17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171"/>
      <c r="J38" s="171"/>
    </row>
    <row r="39" spans="2:10">
      <c r="B39" s="122" t="s">
        <v>33</v>
      </c>
      <c r="C39" s="13" t="s">
        <v>34</v>
      </c>
      <c r="D39" s="247">
        <v>1894487.7200000335</v>
      </c>
      <c r="E39" s="288">
        <v>1272021.47</v>
      </c>
      <c r="F39" s="77"/>
      <c r="G39" s="77"/>
      <c r="H39" s="77"/>
      <c r="I39" s="171"/>
      <c r="J39" s="171"/>
    </row>
    <row r="40" spans="2:10" ht="13.5" thickBot="1">
      <c r="B40" s="113" t="s">
        <v>35</v>
      </c>
      <c r="C40" s="114" t="s">
        <v>36</v>
      </c>
      <c r="D40" s="248">
        <v>5055603.49</v>
      </c>
      <c r="E40" s="115">
        <v>11974639.720000001</v>
      </c>
    </row>
    <row r="41" spans="2:10" ht="13.5" thickBot="1">
      <c r="B41" s="116" t="s">
        <v>37</v>
      </c>
      <c r="C41" s="117" t="s">
        <v>38</v>
      </c>
      <c r="D41" s="249">
        <v>178474257.16999996</v>
      </c>
      <c r="E41" s="165">
        <f>E26+E27+E40</f>
        <v>185521256.25999999</v>
      </c>
      <c r="F41" s="86"/>
      <c r="G41" s="71"/>
    </row>
    <row r="42" spans="2:10">
      <c r="B42" s="108"/>
      <c r="C42" s="108"/>
      <c r="D42" s="109"/>
      <c r="E42" s="109"/>
      <c r="F42" s="86"/>
    </row>
    <row r="43" spans="2:10" ht="13.5">
      <c r="B43" s="337" t="s">
        <v>60</v>
      </c>
      <c r="C43" s="338"/>
      <c r="D43" s="338"/>
      <c r="E43" s="338"/>
    </row>
    <row r="44" spans="2:10" ht="15.75" customHeight="1" thickBot="1">
      <c r="B44" s="335" t="s">
        <v>243</v>
      </c>
      <c r="C44" s="339"/>
      <c r="D44" s="339"/>
      <c r="E44" s="339"/>
    </row>
    <row r="45" spans="2:10" ht="13.5" thickBot="1">
      <c r="B45" s="100"/>
      <c r="C45" s="31" t="s">
        <v>39</v>
      </c>
      <c r="D45" s="74" t="s">
        <v>245</v>
      </c>
      <c r="E45" s="30" t="s">
        <v>268</v>
      </c>
    </row>
    <row r="46" spans="2:10">
      <c r="B46" s="14" t="s">
        <v>18</v>
      </c>
      <c r="C46" s="32" t="s">
        <v>218</v>
      </c>
      <c r="D46" s="118"/>
      <c r="E46" s="29"/>
    </row>
    <row r="47" spans="2:10">
      <c r="B47" s="119" t="s">
        <v>4</v>
      </c>
      <c r="C47" s="16" t="s">
        <v>40</v>
      </c>
      <c r="D47" s="250">
        <v>9943050.125</v>
      </c>
      <c r="E47" s="80">
        <v>9503363.3462617602</v>
      </c>
    </row>
    <row r="48" spans="2:10">
      <c r="B48" s="140" t="s">
        <v>6</v>
      </c>
      <c r="C48" s="23" t="s">
        <v>41</v>
      </c>
      <c r="D48" s="251">
        <v>9503363.3462617602</v>
      </c>
      <c r="E48" s="80">
        <v>9269398.1071000006</v>
      </c>
      <c r="G48" s="170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18.2608065711626</v>
      </c>
      <c r="E50" s="80">
        <v>18.780115067388699</v>
      </c>
      <c r="G50" s="208"/>
    </row>
    <row r="51" spans="2:7">
      <c r="B51" s="119" t="s">
        <v>6</v>
      </c>
      <c r="C51" s="16" t="s">
        <v>220</v>
      </c>
      <c r="D51" s="256">
        <v>17.639199999999999</v>
      </c>
      <c r="E51" s="166">
        <v>18.780100000000001</v>
      </c>
      <c r="G51" s="208"/>
    </row>
    <row r="52" spans="2:7">
      <c r="B52" s="119" t="s">
        <v>8</v>
      </c>
      <c r="C52" s="16" t="s">
        <v>221</v>
      </c>
      <c r="D52" s="256">
        <v>18.808499999999999</v>
      </c>
      <c r="E52" s="166">
        <v>20.061800000000002</v>
      </c>
    </row>
    <row r="53" spans="2:7" ht="13.5" thickBot="1">
      <c r="B53" s="120" t="s">
        <v>9</v>
      </c>
      <c r="C53" s="18" t="s">
        <v>41</v>
      </c>
      <c r="D53" s="254">
        <v>18.780115067388699</v>
      </c>
      <c r="E53" s="167">
        <v>20.014380018663999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D64+D69</f>
        <v>185424135.52000001</v>
      </c>
      <c r="E58" s="33">
        <f>D58/E21</f>
        <v>0.999476498046866</v>
      </c>
    </row>
    <row r="59" spans="2:7" ht="25.5">
      <c r="B59" s="22" t="s">
        <v>4</v>
      </c>
      <c r="C59" s="23" t="s">
        <v>44</v>
      </c>
      <c r="D59" s="90">
        <v>0</v>
      </c>
      <c r="E59" s="91">
        <v>0</v>
      </c>
    </row>
    <row r="60" spans="2:7" ht="25.5">
      <c r="B60" s="15" t="s">
        <v>6</v>
      </c>
      <c r="C60" s="16" t="s">
        <v>45</v>
      </c>
      <c r="D60" s="88">
        <v>0</v>
      </c>
      <c r="E60" s="89">
        <v>0</v>
      </c>
    </row>
    <row r="61" spans="2:7">
      <c r="B61" s="15" t="s">
        <v>8</v>
      </c>
      <c r="C61" s="16" t="s">
        <v>46</v>
      </c>
      <c r="D61" s="88">
        <v>0</v>
      </c>
      <c r="E61" s="89">
        <v>0</v>
      </c>
    </row>
    <row r="62" spans="2:7">
      <c r="B62" s="15" t="s">
        <v>9</v>
      </c>
      <c r="C62" s="16" t="s">
        <v>47</v>
      </c>
      <c r="D62" s="88">
        <v>0</v>
      </c>
      <c r="E62" s="89">
        <v>0</v>
      </c>
    </row>
    <row r="63" spans="2:7">
      <c r="B63" s="15" t="s">
        <v>29</v>
      </c>
      <c r="C63" s="16" t="s">
        <v>48</v>
      </c>
      <c r="D63" s="88">
        <v>0</v>
      </c>
      <c r="E63" s="89">
        <v>0</v>
      </c>
    </row>
    <row r="64" spans="2:7">
      <c r="B64" s="22" t="s">
        <v>31</v>
      </c>
      <c r="C64" s="23" t="s">
        <v>49</v>
      </c>
      <c r="D64" s="90">
        <f>190896929.65-6004259.19</f>
        <v>184892670.46000001</v>
      </c>
      <c r="E64" s="91">
        <f>D64/E21</f>
        <v>0.99661178555669627</v>
      </c>
    </row>
    <row r="65" spans="2:5">
      <c r="B65" s="22" t="s">
        <v>33</v>
      </c>
      <c r="C65" s="23" t="s">
        <v>224</v>
      </c>
      <c r="D65" s="90">
        <v>0</v>
      </c>
      <c r="E65" s="91">
        <v>0</v>
      </c>
    </row>
    <row r="66" spans="2:5">
      <c r="B66" s="22" t="s">
        <v>50</v>
      </c>
      <c r="C66" s="23" t="s">
        <v>51</v>
      </c>
      <c r="D66" s="90">
        <v>0</v>
      </c>
      <c r="E66" s="91">
        <v>0</v>
      </c>
    </row>
    <row r="67" spans="2:5">
      <c r="B67" s="15" t="s">
        <v>52</v>
      </c>
      <c r="C67" s="16" t="s">
        <v>53</v>
      </c>
      <c r="D67" s="88">
        <v>0</v>
      </c>
      <c r="E67" s="89">
        <v>0</v>
      </c>
    </row>
    <row r="68" spans="2:5">
      <c r="B68" s="15" t="s">
        <v>54</v>
      </c>
      <c r="C68" s="16" t="s">
        <v>55</v>
      </c>
      <c r="D68" s="88">
        <v>0</v>
      </c>
      <c r="E68" s="89">
        <v>0</v>
      </c>
    </row>
    <row r="69" spans="2:5">
      <c r="B69" s="15" t="s">
        <v>56</v>
      </c>
      <c r="C69" s="16" t="s">
        <v>57</v>
      </c>
      <c r="D69" s="88">
        <v>531465.06000000006</v>
      </c>
      <c r="E69" s="89">
        <f>D69/E21</f>
        <v>2.864712490169724E-3</v>
      </c>
    </row>
    <row r="70" spans="2:5">
      <c r="B70" s="129" t="s">
        <v>58</v>
      </c>
      <c r="C70" s="130" t="s">
        <v>59</v>
      </c>
      <c r="D70" s="131">
        <v>0</v>
      </c>
      <c r="E70" s="132">
        <v>0</v>
      </c>
    </row>
    <row r="71" spans="2:5">
      <c r="B71" s="137" t="s">
        <v>23</v>
      </c>
      <c r="C71" s="138" t="s">
        <v>61</v>
      </c>
      <c r="D71" s="139">
        <f>E13</f>
        <v>0</v>
      </c>
      <c r="E71" s="70">
        <v>0</v>
      </c>
    </row>
    <row r="72" spans="2:5">
      <c r="B72" s="133" t="s">
        <v>60</v>
      </c>
      <c r="C72" s="134" t="s">
        <v>63</v>
      </c>
      <c r="D72" s="135">
        <f>E14</f>
        <v>545068.66999999993</v>
      </c>
      <c r="E72" s="136">
        <f>D72/E21</f>
        <v>2.9380389125659534E-3</v>
      </c>
    </row>
    <row r="73" spans="2:5">
      <c r="B73" s="24" t="s">
        <v>62</v>
      </c>
      <c r="C73" s="25" t="s">
        <v>65</v>
      </c>
      <c r="D73" s="26">
        <f>E17</f>
        <v>447947.93</v>
      </c>
      <c r="E73" s="27">
        <f>D73/E21</f>
        <v>2.4145369594318639E-3</v>
      </c>
    </row>
    <row r="74" spans="2:5">
      <c r="B74" s="137" t="s">
        <v>64</v>
      </c>
      <c r="C74" s="138" t="s">
        <v>66</v>
      </c>
      <c r="D74" s="139">
        <f>D58+D71+D72-D73</f>
        <v>185521256.25999999</v>
      </c>
      <c r="E74" s="70">
        <f>E58+E72-E73</f>
        <v>1</v>
      </c>
    </row>
    <row r="75" spans="2:5">
      <c r="B75" s="15" t="s">
        <v>4</v>
      </c>
      <c r="C75" s="16" t="s">
        <v>67</v>
      </c>
      <c r="D75" s="88">
        <f>D74</f>
        <v>185521256.25999999</v>
      </c>
      <c r="E75" s="89">
        <f>E74</f>
        <v>1</v>
      </c>
    </row>
    <row r="76" spans="2:5">
      <c r="B76" s="15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7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14.25">
      <c r="B5" s="333" t="s">
        <v>1</v>
      </c>
      <c r="C5" s="333"/>
      <c r="D5" s="333"/>
      <c r="E5" s="333"/>
    </row>
    <row r="6" spans="2:12" ht="14.25">
      <c r="B6" s="334" t="s">
        <v>257</v>
      </c>
      <c r="C6" s="334"/>
      <c r="D6" s="334"/>
      <c r="E6" s="334"/>
    </row>
    <row r="7" spans="2:12" ht="14.25">
      <c r="B7" s="168"/>
      <c r="C7" s="168"/>
      <c r="D7" s="168"/>
      <c r="E7" s="168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69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117389.89</v>
      </c>
      <c r="E11" s="9">
        <f>E12</f>
        <v>203194.14</v>
      </c>
    </row>
    <row r="12" spans="2:12">
      <c r="B12" s="123" t="s">
        <v>4</v>
      </c>
      <c r="C12" s="6" t="s">
        <v>5</v>
      </c>
      <c r="D12" s="297">
        <v>117389.89</v>
      </c>
      <c r="E12" s="95">
        <v>203194.14</v>
      </c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/>
      <c r="E14" s="95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123" t="s">
        <v>4</v>
      </c>
      <c r="C18" s="6" t="s">
        <v>11</v>
      </c>
      <c r="D18" s="297"/>
      <c r="E18" s="96"/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D12</f>
        <v>117389.89</v>
      </c>
      <c r="E21" s="165">
        <f>E11-E17</f>
        <v>203194.14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69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0</v>
      </c>
      <c r="E26" s="112">
        <f>D21</f>
        <v>117389.89</v>
      </c>
      <c r="G26" s="81"/>
    </row>
    <row r="27" spans="2:11">
      <c r="B27" s="10" t="s">
        <v>17</v>
      </c>
      <c r="C27" s="11" t="s">
        <v>217</v>
      </c>
      <c r="D27" s="245">
        <v>113717.42</v>
      </c>
      <c r="E27" s="269">
        <f>E28-E32</f>
        <v>80755.66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116015.23</v>
      </c>
      <c r="E28" s="284">
        <f>SUM(E29:E31)</f>
        <v>84607.31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116015.23</v>
      </c>
      <c r="E29" s="286">
        <v>78400</v>
      </c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/>
      <c r="E31" s="286">
        <v>6207.31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2297.81</v>
      </c>
      <c r="E32" s="284">
        <f>SUM(E33:E39)</f>
        <v>3851.6500000000005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/>
      <c r="E33" s="286"/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852.02</v>
      </c>
      <c r="E35" s="286">
        <v>1243.8900000000001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>
        <v>1445.79</v>
      </c>
      <c r="E37" s="286">
        <v>2607.7600000000002</v>
      </c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3672.47</v>
      </c>
      <c r="E40" s="115">
        <v>5048.59</v>
      </c>
      <c r="G40" s="81"/>
    </row>
    <row r="41" spans="2:10" ht="13.5" thickBot="1">
      <c r="B41" s="116" t="s">
        <v>37</v>
      </c>
      <c r="C41" s="117" t="s">
        <v>38</v>
      </c>
      <c r="D41" s="249">
        <v>117389.89</v>
      </c>
      <c r="E41" s="165">
        <f>E26+E27+E40</f>
        <v>203194.13999999998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69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/>
      <c r="E47" s="80">
        <v>1138.769</v>
      </c>
      <c r="G47" s="77"/>
    </row>
    <row r="48" spans="2:10">
      <c r="B48" s="140" t="s">
        <v>6</v>
      </c>
      <c r="C48" s="23" t="s">
        <v>41</v>
      </c>
      <c r="D48" s="251">
        <v>1138.769</v>
      </c>
      <c r="E48" s="80">
        <v>1922.2987000000001</v>
      </c>
      <c r="G48" s="1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/>
      <c r="E50" s="80">
        <v>103.08492533114701</v>
      </c>
      <c r="G50" s="208"/>
    </row>
    <row r="51" spans="2:7">
      <c r="B51" s="119" t="s">
        <v>6</v>
      </c>
      <c r="C51" s="16" t="s">
        <v>220</v>
      </c>
      <c r="D51" s="256">
        <v>100.21010000000001</v>
      </c>
      <c r="E51" s="207">
        <v>103.0506</v>
      </c>
      <c r="G51" s="208"/>
    </row>
    <row r="52" spans="2:7">
      <c r="B52" s="119" t="s">
        <v>8</v>
      </c>
      <c r="C52" s="16" t="s">
        <v>221</v>
      </c>
      <c r="D52" s="256">
        <v>103.0955</v>
      </c>
      <c r="E52" s="207">
        <v>105.7225</v>
      </c>
    </row>
    <row r="53" spans="2:7" ht="13.5" thickBot="1">
      <c r="B53" s="120" t="s">
        <v>9</v>
      </c>
      <c r="C53" s="18" t="s">
        <v>41</v>
      </c>
      <c r="D53" s="254">
        <v>103.08492533114701</v>
      </c>
      <c r="E53" s="167">
        <v>105.703729745689</v>
      </c>
      <c r="G53" s="170"/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SUM(D59:D70)</f>
        <v>203194.13999999998</v>
      </c>
      <c r="E58" s="33">
        <f>D58/E21</f>
        <v>0.99999999999999989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  <c r="G63" s="71"/>
    </row>
    <row r="64" spans="2:7">
      <c r="B64" s="140" t="s">
        <v>31</v>
      </c>
      <c r="C64" s="23" t="s">
        <v>49</v>
      </c>
      <c r="D64" s="90">
        <v>192649.37</v>
      </c>
      <c r="E64" s="91">
        <f>D64/E21</f>
        <v>0.94810495027071151</v>
      </c>
    </row>
    <row r="65" spans="2:7">
      <c r="B65" s="140" t="s">
        <v>33</v>
      </c>
      <c r="C65" s="23" t="s">
        <v>224</v>
      </c>
      <c r="D65" s="90">
        <v>0</v>
      </c>
      <c r="E65" s="91">
        <v>0</v>
      </c>
    </row>
    <row r="66" spans="2:7">
      <c r="B66" s="140" t="s">
        <v>50</v>
      </c>
      <c r="C66" s="23" t="s">
        <v>51</v>
      </c>
      <c r="D66" s="90">
        <v>0</v>
      </c>
      <c r="E66" s="91">
        <v>0</v>
      </c>
    </row>
    <row r="67" spans="2:7">
      <c r="B67" s="119" t="s">
        <v>52</v>
      </c>
      <c r="C67" s="16" t="s">
        <v>53</v>
      </c>
      <c r="D67" s="88">
        <v>0</v>
      </c>
      <c r="E67" s="89">
        <v>0</v>
      </c>
    </row>
    <row r="68" spans="2:7">
      <c r="B68" s="119" t="s">
        <v>54</v>
      </c>
      <c r="C68" s="16" t="s">
        <v>55</v>
      </c>
      <c r="D68" s="88">
        <v>0</v>
      </c>
      <c r="E68" s="89">
        <v>0</v>
      </c>
    </row>
    <row r="69" spans="2:7">
      <c r="B69" s="119" t="s">
        <v>56</v>
      </c>
      <c r="C69" s="16" t="s">
        <v>57</v>
      </c>
      <c r="D69" s="88">
        <v>10544.77</v>
      </c>
      <c r="E69" s="89">
        <f>D69/E21</f>
        <v>5.1895049729288455E-2</v>
      </c>
      <c r="G69" s="71"/>
    </row>
    <row r="70" spans="2:7">
      <c r="B70" s="146" t="s">
        <v>58</v>
      </c>
      <c r="C70" s="130" t="s">
        <v>59</v>
      </c>
      <c r="D70" s="131">
        <v>0</v>
      </c>
      <c r="E70" s="132">
        <v>0</v>
      </c>
    </row>
    <row r="71" spans="2:7">
      <c r="B71" s="147" t="s">
        <v>23</v>
      </c>
      <c r="C71" s="138" t="s">
        <v>61</v>
      </c>
      <c r="D71" s="139">
        <f>E13</f>
        <v>0</v>
      </c>
      <c r="E71" s="70">
        <v>0</v>
      </c>
    </row>
    <row r="72" spans="2:7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7">
      <c r="B73" s="149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7">
      <c r="B74" s="147" t="s">
        <v>64</v>
      </c>
      <c r="C74" s="138" t="s">
        <v>66</v>
      </c>
      <c r="D74" s="139">
        <f>D58-D73</f>
        <v>203194.13999999998</v>
      </c>
      <c r="E74" s="70">
        <f>E58+E72-E73</f>
        <v>0.99999999999999989</v>
      </c>
    </row>
    <row r="75" spans="2:7">
      <c r="B75" s="119" t="s">
        <v>4</v>
      </c>
      <c r="C75" s="16" t="s">
        <v>67</v>
      </c>
      <c r="D75" s="88">
        <f>D74</f>
        <v>203194.13999999998</v>
      </c>
      <c r="E75" s="89">
        <f>E74</f>
        <v>0.99999999999999989</v>
      </c>
    </row>
    <row r="76" spans="2:7">
      <c r="B76" s="119" t="s">
        <v>6</v>
      </c>
      <c r="C76" s="16" t="s">
        <v>225</v>
      </c>
      <c r="D76" s="88">
        <v>0</v>
      </c>
      <c r="E76" s="89">
        <v>0</v>
      </c>
    </row>
    <row r="77" spans="2:7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7">
      <c r="B78" s="1"/>
      <c r="C78" s="1"/>
      <c r="D78" s="2"/>
      <c r="E78" s="2"/>
    </row>
    <row r="79" spans="2:7">
      <c r="B79" s="1"/>
      <c r="C79" s="1"/>
      <c r="D79" s="2"/>
      <c r="E79" s="2"/>
    </row>
    <row r="80" spans="2:7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1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14.25">
      <c r="B5" s="333" t="s">
        <v>1</v>
      </c>
      <c r="C5" s="333"/>
      <c r="D5" s="333"/>
      <c r="E5" s="333"/>
    </row>
    <row r="6" spans="2:12" ht="14.25">
      <c r="B6" s="334" t="s">
        <v>255</v>
      </c>
      <c r="C6" s="334"/>
      <c r="D6" s="334"/>
      <c r="E6" s="334"/>
    </row>
    <row r="7" spans="2:12" ht="14.25">
      <c r="B7" s="198"/>
      <c r="C7" s="198"/>
      <c r="D7" s="198"/>
      <c r="E7" s="198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99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232" t="s">
        <v>215</v>
      </c>
      <c r="D11" s="292">
        <f>D12</f>
        <v>15929.85</v>
      </c>
      <c r="E11" s="9">
        <f>E12</f>
        <v>17525.13</v>
      </c>
    </row>
    <row r="12" spans="2:12">
      <c r="B12" s="123" t="s">
        <v>4</v>
      </c>
      <c r="C12" s="233" t="s">
        <v>5</v>
      </c>
      <c r="D12" s="293">
        <v>15929.85</v>
      </c>
      <c r="E12" s="95">
        <v>17525.13</v>
      </c>
    </row>
    <row r="13" spans="2:12">
      <c r="B13" s="123" t="s">
        <v>6</v>
      </c>
      <c r="C13" s="233" t="s">
        <v>7</v>
      </c>
      <c r="D13" s="293"/>
      <c r="E13" s="95"/>
    </row>
    <row r="14" spans="2:12">
      <c r="B14" s="123" t="s">
        <v>8</v>
      </c>
      <c r="C14" s="233" t="s">
        <v>10</v>
      </c>
      <c r="D14" s="293"/>
      <c r="E14" s="95"/>
    </row>
    <row r="15" spans="2:12">
      <c r="B15" s="123" t="s">
        <v>212</v>
      </c>
      <c r="C15" s="233" t="s">
        <v>11</v>
      </c>
      <c r="D15" s="293"/>
      <c r="E15" s="95"/>
    </row>
    <row r="16" spans="2:12">
      <c r="B16" s="124" t="s">
        <v>213</v>
      </c>
      <c r="C16" s="234" t="s">
        <v>12</v>
      </c>
      <c r="D16" s="294"/>
      <c r="E16" s="96"/>
    </row>
    <row r="17" spans="2:11">
      <c r="B17" s="10" t="s">
        <v>13</v>
      </c>
      <c r="C17" s="235" t="s">
        <v>65</v>
      </c>
      <c r="D17" s="295"/>
      <c r="E17" s="107"/>
    </row>
    <row r="18" spans="2:11">
      <c r="B18" s="123" t="s">
        <v>4</v>
      </c>
      <c r="C18" s="233" t="s">
        <v>11</v>
      </c>
      <c r="D18" s="294"/>
      <c r="E18" s="96"/>
    </row>
    <row r="19" spans="2:11" ht="15" customHeight="1">
      <c r="B19" s="123" t="s">
        <v>6</v>
      </c>
      <c r="C19" s="233" t="s">
        <v>214</v>
      </c>
      <c r="D19" s="293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D12</f>
        <v>15929.85</v>
      </c>
      <c r="E21" s="165">
        <f>E11-E17</f>
        <v>17525.13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99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0</v>
      </c>
      <c r="E26" s="112">
        <f>D21</f>
        <v>15929.85</v>
      </c>
      <c r="G26" s="81"/>
    </row>
    <row r="27" spans="2:11">
      <c r="B27" s="10" t="s">
        <v>17</v>
      </c>
      <c r="C27" s="11" t="s">
        <v>217</v>
      </c>
      <c r="D27" s="245">
        <v>15929.85</v>
      </c>
      <c r="E27" s="269">
        <f>E28-E32</f>
        <v>1070.1500000000001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16064.83</v>
      </c>
      <c r="E28" s="284">
        <f>SUM(E29:E31)</f>
        <v>1407.74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16064.83</v>
      </c>
      <c r="E29" s="286"/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/>
      <c r="E31" s="286">
        <v>1407.74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134.97999999999999</v>
      </c>
      <c r="E32" s="284">
        <f>SUM(E33:E39)</f>
        <v>337.59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/>
      <c r="E33" s="286"/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32.659999999999997</v>
      </c>
      <c r="E35" s="286">
        <v>61.69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>
        <v>102.32</v>
      </c>
      <c r="E37" s="286">
        <v>275.89999999999998</v>
      </c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/>
      <c r="E40" s="115">
        <v>525.13</v>
      </c>
      <c r="G40" s="81"/>
    </row>
    <row r="41" spans="2:10" ht="13.5" thickBot="1">
      <c r="B41" s="116" t="s">
        <v>37</v>
      </c>
      <c r="C41" s="117" t="s">
        <v>38</v>
      </c>
      <c r="D41" s="249">
        <v>15929.85</v>
      </c>
      <c r="E41" s="165">
        <f>E26+E27+E40</f>
        <v>17525.13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99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/>
      <c r="E47" s="80">
        <v>150.87440000000001</v>
      </c>
      <c r="G47" s="77"/>
    </row>
    <row r="48" spans="2:10">
      <c r="B48" s="222" t="s">
        <v>6</v>
      </c>
      <c r="C48" s="223" t="s">
        <v>41</v>
      </c>
      <c r="D48" s="251">
        <v>150.87440000000001</v>
      </c>
      <c r="E48" s="80">
        <v>156.91540000000001</v>
      </c>
      <c r="G48" s="265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220" t="s">
        <v>4</v>
      </c>
      <c r="C50" s="221" t="s">
        <v>40</v>
      </c>
      <c r="D50" s="250"/>
      <c r="E50" s="313">
        <v>105.583488918906</v>
      </c>
      <c r="G50" s="208"/>
    </row>
    <row r="51" spans="2:7">
      <c r="B51" s="220" t="s">
        <v>6</v>
      </c>
      <c r="C51" s="221" t="s">
        <v>220</v>
      </c>
      <c r="D51" s="256">
        <v>99.234499999999997</v>
      </c>
      <c r="E51" s="314">
        <v>105.5835</v>
      </c>
      <c r="G51" s="262"/>
    </row>
    <row r="52" spans="2:7">
      <c r="B52" s="220" t="s">
        <v>8</v>
      </c>
      <c r="C52" s="221" t="s">
        <v>221</v>
      </c>
      <c r="D52" s="256">
        <v>105.8436</v>
      </c>
      <c r="E52" s="314">
        <v>111.7696</v>
      </c>
    </row>
    <row r="53" spans="2:7" ht="13.5" thickBot="1">
      <c r="B53" s="224" t="s">
        <v>9</v>
      </c>
      <c r="C53" s="225" t="s">
        <v>41</v>
      </c>
      <c r="D53" s="254">
        <v>105.583488918906</v>
      </c>
      <c r="E53" s="315">
        <v>111.685190868543</v>
      </c>
      <c r="G53" s="170"/>
    </row>
    <row r="54" spans="2:7">
      <c r="B54" s="226"/>
      <c r="C54" s="227"/>
      <c r="D54" s="128"/>
      <c r="E54" s="128"/>
    </row>
    <row r="55" spans="2:7" ht="13.5">
      <c r="B55" s="337" t="s">
        <v>62</v>
      </c>
      <c r="C55" s="347"/>
      <c r="D55" s="347"/>
      <c r="E55" s="347"/>
    </row>
    <row r="56" spans="2:7" ht="14.25" thickBot="1">
      <c r="B56" s="335" t="s">
        <v>222</v>
      </c>
      <c r="C56" s="346"/>
      <c r="D56" s="346"/>
      <c r="E56" s="346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SUM(D59:D70)</f>
        <v>17525.13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17525.13</v>
      </c>
      <c r="E64" s="91">
        <f>D64/E21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f>D69/E21</f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f>E13</f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47" t="s">
        <v>64</v>
      </c>
      <c r="C74" s="138" t="s">
        <v>66</v>
      </c>
      <c r="D74" s="139">
        <f>D58-D73</f>
        <v>17525.13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17525.13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2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21.5703125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01"/>
      <c r="C4" s="101"/>
      <c r="D4" s="101"/>
      <c r="E4" s="10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68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2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21985697.84</v>
      </c>
      <c r="E11" s="9">
        <f>E12+E13</f>
        <v>19577244.849999998</v>
      </c>
    </row>
    <row r="12" spans="2:12">
      <c r="B12" s="123" t="s">
        <v>4</v>
      </c>
      <c r="C12" s="6" t="s">
        <v>5</v>
      </c>
      <c r="D12" s="297">
        <v>21985697.84</v>
      </c>
      <c r="E12" s="95">
        <v>19576695.879999999</v>
      </c>
    </row>
    <row r="13" spans="2:12">
      <c r="B13" s="123" t="s">
        <v>6</v>
      </c>
      <c r="C13" s="72" t="s">
        <v>7</v>
      </c>
      <c r="D13" s="297"/>
      <c r="E13" s="95">
        <v>548.97</v>
      </c>
    </row>
    <row r="14" spans="2:12">
      <c r="B14" s="123" t="s">
        <v>8</v>
      </c>
      <c r="C14" s="72" t="s">
        <v>10</v>
      </c>
      <c r="D14" s="297"/>
      <c r="E14" s="95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>
        <v>211581.83</v>
      </c>
      <c r="E17" s="107">
        <f>SUM(E18:E20)</f>
        <v>29728.59</v>
      </c>
      <c r="H17" s="71"/>
    </row>
    <row r="18" spans="2:11">
      <c r="B18" s="123" t="s">
        <v>4</v>
      </c>
      <c r="C18" s="6" t="s">
        <v>11</v>
      </c>
      <c r="D18" s="297">
        <v>211581.83</v>
      </c>
      <c r="E18" s="96">
        <v>29728.59</v>
      </c>
      <c r="H18" s="98"/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21774116.010000002</v>
      </c>
      <c r="E21" s="165">
        <f>E11-E17</f>
        <v>19547516.259999998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02"/>
      <c r="C25" s="5" t="s">
        <v>2</v>
      </c>
      <c r="D25" s="74" t="s">
        <v>245</v>
      </c>
      <c r="E25" s="30" t="s">
        <v>268</v>
      </c>
      <c r="G25" s="77"/>
    </row>
    <row r="26" spans="2:11">
      <c r="B26" s="110" t="s">
        <v>15</v>
      </c>
      <c r="C26" s="111" t="s">
        <v>16</v>
      </c>
      <c r="D26" s="244">
        <v>25203340.860000003</v>
      </c>
      <c r="E26" s="112">
        <f>D21</f>
        <v>21774116.010000002</v>
      </c>
    </row>
    <row r="27" spans="2:11">
      <c r="B27" s="10" t="s">
        <v>17</v>
      </c>
      <c r="C27" s="11" t="s">
        <v>217</v>
      </c>
      <c r="D27" s="245">
        <v>-3216509.66</v>
      </c>
      <c r="E27" s="269">
        <f>E28-E32</f>
        <v>-2711439.3699999996</v>
      </c>
      <c r="F27" s="77"/>
      <c r="G27" s="77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896000.04</v>
      </c>
      <c r="E28" s="284">
        <f>SUM(E29:E31)</f>
        <v>168283.08000000002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14563.44</v>
      </c>
      <c r="E29" s="286">
        <v>50078.64</v>
      </c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>
        <v>881436.6</v>
      </c>
      <c r="E31" s="286">
        <v>118204.44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4112509.7</v>
      </c>
      <c r="E32" s="284">
        <f>SUM(E33:E39)</f>
        <v>2879722.4499999997</v>
      </c>
      <c r="F32" s="77"/>
      <c r="G32" s="77"/>
      <c r="H32" s="77"/>
      <c r="I32" s="77"/>
      <c r="J32" s="81"/>
    </row>
    <row r="33" spans="2:10">
      <c r="B33" s="121" t="s">
        <v>4</v>
      </c>
      <c r="C33" s="6" t="s">
        <v>25</v>
      </c>
      <c r="D33" s="246">
        <v>3839030.41</v>
      </c>
      <c r="E33" s="286">
        <f>3417280.53-750917.64</f>
        <v>2666362.8899999997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36963.43</v>
      </c>
      <c r="E35" s="286">
        <v>35537.339999999997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/>
      <c r="E37" s="286"/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>
        <v>236515.86</v>
      </c>
      <c r="E39" s="288">
        <v>177822.22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-212715.19</v>
      </c>
      <c r="E40" s="115">
        <v>484839.62</v>
      </c>
    </row>
    <row r="41" spans="2:10" ht="13.5" thickBot="1">
      <c r="B41" s="116" t="s">
        <v>37</v>
      </c>
      <c r="C41" s="117" t="s">
        <v>38</v>
      </c>
      <c r="D41" s="249">
        <v>21774116.010000002</v>
      </c>
      <c r="E41" s="165">
        <f>E26+E27+E40</f>
        <v>19547516.260000002</v>
      </c>
      <c r="F41" s="86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1971506.5183999999</v>
      </c>
      <c r="E47" s="80">
        <v>1719564.831</v>
      </c>
      <c r="G47" s="77"/>
    </row>
    <row r="48" spans="2:10">
      <c r="B48" s="140" t="s">
        <v>6</v>
      </c>
      <c r="C48" s="23" t="s">
        <v>41</v>
      </c>
      <c r="D48" s="251">
        <v>1719564.831</v>
      </c>
      <c r="E48" s="80">
        <v>1508214.4464</v>
      </c>
      <c r="G48" s="1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12.783799999999999</v>
      </c>
      <c r="E50" s="80">
        <v>12.662599999999999</v>
      </c>
      <c r="G50" s="208"/>
    </row>
    <row r="51" spans="2:7">
      <c r="B51" s="119" t="s">
        <v>6</v>
      </c>
      <c r="C51" s="16" t="s">
        <v>220</v>
      </c>
      <c r="D51" s="256">
        <v>12.547700000000001</v>
      </c>
      <c r="E51" s="82">
        <v>12.615399999999999</v>
      </c>
      <c r="G51" s="208"/>
    </row>
    <row r="52" spans="2:7">
      <c r="B52" s="119" t="s">
        <v>8</v>
      </c>
      <c r="C52" s="16" t="s">
        <v>221</v>
      </c>
      <c r="D52" s="256">
        <v>12.895300000000001</v>
      </c>
      <c r="E52" s="82">
        <v>12.9793</v>
      </c>
    </row>
    <row r="53" spans="2:7" ht="13.5" customHeight="1" thickBot="1">
      <c r="B53" s="120" t="s">
        <v>9</v>
      </c>
      <c r="C53" s="18" t="s">
        <v>41</v>
      </c>
      <c r="D53" s="254">
        <v>12.662599999999999</v>
      </c>
      <c r="E53" s="167">
        <v>12.960699999999999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19576695.879999999</v>
      </c>
      <c r="E58" s="33">
        <f>D58/E21</f>
        <v>1.001492753330494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E12</f>
        <v>19576695.879999999</v>
      </c>
      <c r="E64" s="91">
        <f>D64/E21</f>
        <v>1.001492753330494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f>E13</f>
        <v>548.97</v>
      </c>
      <c r="E71" s="70">
        <f>D71/E21</f>
        <v>2.8083874835973668E-5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f>E17</f>
        <v>29728.59</v>
      </c>
      <c r="E73" s="27">
        <f>D73/E21</f>
        <v>1.5208372053299422E-3</v>
      </c>
    </row>
    <row r="74" spans="2:5">
      <c r="B74" s="147" t="s">
        <v>64</v>
      </c>
      <c r="C74" s="138" t="s">
        <v>66</v>
      </c>
      <c r="D74" s="139">
        <f>D58+D71-D73</f>
        <v>19547516.259999998</v>
      </c>
      <c r="E74" s="70">
        <f>E58+E71+E72-E73</f>
        <v>1</v>
      </c>
    </row>
    <row r="75" spans="2:5">
      <c r="B75" s="119" t="s">
        <v>4</v>
      </c>
      <c r="C75" s="16" t="s">
        <v>67</v>
      </c>
      <c r="D75" s="88">
        <f>D74</f>
        <v>19547516.259999998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3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8.425781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01"/>
      <c r="C4" s="101"/>
      <c r="D4" s="101"/>
      <c r="E4" s="10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69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2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139577670.53999999</v>
      </c>
      <c r="E11" s="9">
        <f>E12</f>
        <v>141941991.41999999</v>
      </c>
    </row>
    <row r="12" spans="2:12">
      <c r="B12" s="123" t="s">
        <v>4</v>
      </c>
      <c r="C12" s="6" t="s">
        <v>5</v>
      </c>
      <c r="D12" s="297">
        <v>139577670.53999999</v>
      </c>
      <c r="E12" s="95">
        <f>142106325.51-164334.09</f>
        <v>141941991.41999999</v>
      </c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/>
      <c r="E14" s="95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>
        <v>374920.06</v>
      </c>
      <c r="E17" s="107">
        <f>SUM(E18:E19)</f>
        <v>253954.91</v>
      </c>
    </row>
    <row r="18" spans="2:11">
      <c r="B18" s="123" t="s">
        <v>4</v>
      </c>
      <c r="C18" s="6" t="s">
        <v>11</v>
      </c>
      <c r="D18" s="297">
        <v>374920.06</v>
      </c>
      <c r="E18" s="96">
        <v>253954.91</v>
      </c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139202750.47999999</v>
      </c>
      <c r="E21" s="165">
        <f>E11-E17</f>
        <v>141688036.50999999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02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158304001.86000001</v>
      </c>
      <c r="E26" s="112">
        <f>D21</f>
        <v>139202750.47999999</v>
      </c>
      <c r="G26" s="171"/>
    </row>
    <row r="27" spans="2:11">
      <c r="B27" s="10" t="s">
        <v>17</v>
      </c>
      <c r="C27" s="11" t="s">
        <v>217</v>
      </c>
      <c r="D27" s="245">
        <v>-21420921.899999999</v>
      </c>
      <c r="E27" s="269">
        <f>E28-E32</f>
        <v>-12312284.260000002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93753.7</v>
      </c>
      <c r="E28" s="284">
        <f>SUM(E29:E31)</f>
        <v>243524.19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93753.7</v>
      </c>
      <c r="E29" s="286">
        <v>80937.039999999994</v>
      </c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/>
      <c r="E31" s="286">
        <v>162587.15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21514675.600000001</v>
      </c>
      <c r="E32" s="284">
        <f>SUM(E33:E39)</f>
        <v>12555808.450000001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20099259.329999998</v>
      </c>
      <c r="E33" s="286">
        <f>12355267.69-262629.27</f>
        <v>12092638.42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206849.39</v>
      </c>
      <c r="E35" s="286">
        <v>221616.32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/>
      <c r="E37" s="286"/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>
        <v>1208566.8799999999</v>
      </c>
      <c r="E39" s="288">
        <v>241553.71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2319670.52</v>
      </c>
      <c r="E40" s="115">
        <v>14797570.289999999</v>
      </c>
      <c r="G40" s="81"/>
    </row>
    <row r="41" spans="2:10" ht="13.5" thickBot="1">
      <c r="B41" s="116" t="s">
        <v>37</v>
      </c>
      <c r="C41" s="117" t="s">
        <v>38</v>
      </c>
      <c r="D41" s="249">
        <v>139202750.48000002</v>
      </c>
      <c r="E41" s="165">
        <f>E26+E27+E40</f>
        <v>141688036.50999999</v>
      </c>
      <c r="F41" s="86"/>
      <c r="G41" s="81"/>
      <c r="H41" s="7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16641496.1174</v>
      </c>
      <c r="E47" s="80">
        <v>14349569.0702</v>
      </c>
      <c r="G47" s="77"/>
    </row>
    <row r="48" spans="2:10">
      <c r="B48" s="140" t="s">
        <v>6</v>
      </c>
      <c r="C48" s="23" t="s">
        <v>41</v>
      </c>
      <c r="D48" s="251">
        <v>14349569.0702</v>
      </c>
      <c r="E48" s="80">
        <v>13172685.1964</v>
      </c>
      <c r="G48" s="228"/>
    </row>
    <row r="49" spans="2:7">
      <c r="B49" s="137" t="s">
        <v>23</v>
      </c>
      <c r="C49" s="141" t="s">
        <v>219</v>
      </c>
      <c r="D49" s="252"/>
      <c r="E49" s="80"/>
      <c r="G49" s="170"/>
    </row>
    <row r="50" spans="2:7">
      <c r="B50" s="119" t="s">
        <v>4</v>
      </c>
      <c r="C50" s="16" t="s">
        <v>40</v>
      </c>
      <c r="D50" s="250">
        <v>9.5126000000000008</v>
      </c>
      <c r="E50" s="80">
        <v>9.7007999999999992</v>
      </c>
      <c r="G50" s="208"/>
    </row>
    <row r="51" spans="2:7">
      <c r="B51" s="119" t="s">
        <v>6</v>
      </c>
      <c r="C51" s="16" t="s">
        <v>220</v>
      </c>
      <c r="D51" s="256">
        <v>8.9122000000000003</v>
      </c>
      <c r="E51" s="82">
        <v>9.6957000000000004</v>
      </c>
      <c r="G51" s="208"/>
    </row>
    <row r="52" spans="2:7" ht="12.75" customHeight="1">
      <c r="B52" s="119" t="s">
        <v>8</v>
      </c>
      <c r="C52" s="16" t="s">
        <v>221</v>
      </c>
      <c r="D52" s="256">
        <v>9.7007999999999992</v>
      </c>
      <c r="E52" s="82">
        <v>10.926</v>
      </c>
    </row>
    <row r="53" spans="2:7" ht="13.5" thickBot="1">
      <c r="B53" s="120" t="s">
        <v>9</v>
      </c>
      <c r="C53" s="18" t="s">
        <v>41</v>
      </c>
      <c r="D53" s="254">
        <v>9.7007999999999992</v>
      </c>
      <c r="E53" s="167">
        <v>10.7562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8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141941991.41999999</v>
      </c>
      <c r="E58" s="33">
        <f>D58/E21</f>
        <v>1.001792352524993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4" customHeight="1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E12</f>
        <v>141941991.41999999</v>
      </c>
      <c r="E64" s="91">
        <f>D64/E21</f>
        <v>1.001792352524993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f>E17</f>
        <v>253954.91</v>
      </c>
      <c r="E73" s="27">
        <f>D73/E21</f>
        <v>1.7923525249930081E-3</v>
      </c>
    </row>
    <row r="74" spans="2:5">
      <c r="B74" s="147" t="s">
        <v>64</v>
      </c>
      <c r="C74" s="138" t="s">
        <v>66</v>
      </c>
      <c r="D74" s="139">
        <f>D58-D73</f>
        <v>141688036.50999999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141688036.50999999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3" right="0.75" top="0.56000000000000005" bottom="0.47" header="0.5" footer="0.5"/>
  <pageSetup paperSize="9" scale="7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4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01"/>
      <c r="C4" s="101"/>
      <c r="D4" s="101"/>
      <c r="E4" s="10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70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2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132842026.80000001</v>
      </c>
      <c r="E11" s="9">
        <f>E12</f>
        <v>131838772.81</v>
      </c>
    </row>
    <row r="12" spans="2:12">
      <c r="B12" s="123" t="s">
        <v>4</v>
      </c>
      <c r="C12" s="6" t="s">
        <v>5</v>
      </c>
      <c r="D12" s="297">
        <v>132842026.80000001</v>
      </c>
      <c r="E12" s="95">
        <f>131914859.5-76086.69</f>
        <v>131838772.81</v>
      </c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/>
      <c r="E14" s="95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>
        <v>657960.74</v>
      </c>
      <c r="E17" s="107">
        <f>SUM(E18:E20)</f>
        <v>267705.63</v>
      </c>
    </row>
    <row r="18" spans="2:11">
      <c r="B18" s="123" t="s">
        <v>4</v>
      </c>
      <c r="C18" s="6" t="s">
        <v>11</v>
      </c>
      <c r="D18" s="297">
        <v>657960.74</v>
      </c>
      <c r="E18" s="96">
        <v>267705.63</v>
      </c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132184066.06000002</v>
      </c>
      <c r="E21" s="165">
        <f>E11-E17</f>
        <v>131571067.18000001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02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143005390.81</v>
      </c>
      <c r="E26" s="112">
        <f>D21</f>
        <v>132184066.06000002</v>
      </c>
      <c r="G26" s="171"/>
      <c r="I26" s="71"/>
    </row>
    <row r="27" spans="2:11">
      <c r="B27" s="10" t="s">
        <v>17</v>
      </c>
      <c r="C27" s="11" t="s">
        <v>217</v>
      </c>
      <c r="D27" s="245">
        <v>-18141848.43</v>
      </c>
      <c r="E27" s="269">
        <f>E28-E32</f>
        <v>-12453094.949999999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209680.2</v>
      </c>
      <c r="E28" s="284">
        <f>SUM(E29:E31)</f>
        <v>424396.89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68743.38</v>
      </c>
      <c r="E29" s="286">
        <v>62596.3</v>
      </c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>
        <v>140936.82</v>
      </c>
      <c r="E31" s="286">
        <v>361800.59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18351528.629999999</v>
      </c>
      <c r="E32" s="284">
        <f>SUM(E33:E39)</f>
        <v>12877491.84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17596527.780000001</v>
      </c>
      <c r="E33" s="286">
        <f>12487093.47+62233.09</f>
        <v>12549326.560000001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173986.95</v>
      </c>
      <c r="E35" s="286">
        <v>191897.19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/>
      <c r="E37" s="286"/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>
        <v>581013.9</v>
      </c>
      <c r="E39" s="288">
        <v>136268.09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7320523.6799999997</v>
      </c>
      <c r="E40" s="115">
        <v>11840096.07</v>
      </c>
      <c r="G40" s="81"/>
    </row>
    <row r="41" spans="2:10" ht="13.5" thickBot="1">
      <c r="B41" s="116" t="s">
        <v>37</v>
      </c>
      <c r="C41" s="117" t="s">
        <v>38</v>
      </c>
      <c r="D41" s="249">
        <v>132184066.06</v>
      </c>
      <c r="E41" s="165">
        <f>E26+E27+E40</f>
        <v>131571067.18000001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11335306.115900001</v>
      </c>
      <c r="E47" s="80">
        <v>9864593.4831000008</v>
      </c>
      <c r="G47" s="177"/>
    </row>
    <row r="48" spans="2:10">
      <c r="B48" s="140" t="s">
        <v>6</v>
      </c>
      <c r="C48" s="23" t="s">
        <v>41</v>
      </c>
      <c r="D48" s="251">
        <v>9864593.4831000008</v>
      </c>
      <c r="E48" s="80">
        <v>8993667.9935999997</v>
      </c>
      <c r="G48" s="229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12.6159</v>
      </c>
      <c r="E50" s="80">
        <v>13.399800000000001</v>
      </c>
      <c r="G50" s="208"/>
    </row>
    <row r="51" spans="2:7">
      <c r="B51" s="119" t="s">
        <v>6</v>
      </c>
      <c r="C51" s="16" t="s">
        <v>220</v>
      </c>
      <c r="D51" s="256">
        <v>11.299100000000001</v>
      </c>
      <c r="E51" s="82">
        <v>13.3871</v>
      </c>
      <c r="G51" s="208"/>
    </row>
    <row r="52" spans="2:7" ht="12.75" customHeight="1">
      <c r="B52" s="119" t="s">
        <v>8</v>
      </c>
      <c r="C52" s="16" t="s">
        <v>221</v>
      </c>
      <c r="D52" s="256">
        <v>13.433299999999999</v>
      </c>
      <c r="E52" s="82">
        <v>14.969900000000001</v>
      </c>
    </row>
    <row r="53" spans="2:7" ht="13.5" thickBot="1">
      <c r="B53" s="120" t="s">
        <v>9</v>
      </c>
      <c r="C53" s="18" t="s">
        <v>41</v>
      </c>
      <c r="D53" s="254">
        <v>13.399800000000001</v>
      </c>
      <c r="E53" s="167">
        <v>14.629300000000001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131838772.81</v>
      </c>
      <c r="E58" s="33">
        <f>D58/E21</f>
        <v>1.0020346846441075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4" customHeight="1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E11</f>
        <v>131838772.81</v>
      </c>
      <c r="E64" s="91">
        <f>D64/E21</f>
        <v>1.0020346846441075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f>E17</f>
        <v>267705.63</v>
      </c>
      <c r="E73" s="27">
        <f>D73/E21</f>
        <v>2.0346846441076346E-3</v>
      </c>
    </row>
    <row r="74" spans="2:5">
      <c r="B74" s="147" t="s">
        <v>64</v>
      </c>
      <c r="C74" s="138" t="s">
        <v>66</v>
      </c>
      <c r="D74" s="139">
        <f>D58-D73</f>
        <v>131571067.18000001</v>
      </c>
      <c r="E74" s="70">
        <f>E58+E72-E73</f>
        <v>0.99999999999999989</v>
      </c>
    </row>
    <row r="75" spans="2:5">
      <c r="B75" s="119" t="s">
        <v>4</v>
      </c>
      <c r="C75" s="16" t="s">
        <v>67</v>
      </c>
      <c r="D75" s="88">
        <f>D74</f>
        <v>131571067.18000001</v>
      </c>
      <c r="E75" s="89">
        <f>E74</f>
        <v>0.99999999999999989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5" right="0.75" top="0.52" bottom="0.51" header="0.5" footer="0.5"/>
  <pageSetup paperSize="9" scale="7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5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01"/>
      <c r="C4" s="101"/>
      <c r="D4" s="101"/>
      <c r="E4" s="10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71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232" t="s">
        <v>215</v>
      </c>
      <c r="D11" s="292">
        <f>D12+D13+D14</f>
        <v>18252905.800000001</v>
      </c>
      <c r="E11" s="9">
        <f>E12+E13+E14</f>
        <v>14160282.16</v>
      </c>
    </row>
    <row r="12" spans="2:12">
      <c r="B12" s="123" t="s">
        <v>4</v>
      </c>
      <c r="C12" s="233" t="s">
        <v>5</v>
      </c>
      <c r="D12" s="293">
        <v>18252438.170000002</v>
      </c>
      <c r="E12" s="95">
        <v>14160282.16</v>
      </c>
    </row>
    <row r="13" spans="2:12">
      <c r="B13" s="123" t="s">
        <v>6</v>
      </c>
      <c r="C13" s="233" t="s">
        <v>7</v>
      </c>
      <c r="D13" s="293"/>
      <c r="E13" s="95"/>
    </row>
    <row r="14" spans="2:12">
      <c r="B14" s="123" t="s">
        <v>8</v>
      </c>
      <c r="C14" s="233" t="s">
        <v>10</v>
      </c>
      <c r="D14" s="293">
        <f>D15</f>
        <v>467.63</v>
      </c>
      <c r="E14" s="95">
        <f>E15</f>
        <v>0</v>
      </c>
    </row>
    <row r="15" spans="2:12">
      <c r="B15" s="123" t="s">
        <v>212</v>
      </c>
      <c r="C15" s="233" t="s">
        <v>11</v>
      </c>
      <c r="D15" s="293">
        <v>467.63</v>
      </c>
      <c r="E15" s="95"/>
    </row>
    <row r="16" spans="2:12">
      <c r="B16" s="124" t="s">
        <v>213</v>
      </c>
      <c r="C16" s="234" t="s">
        <v>12</v>
      </c>
      <c r="D16" s="294"/>
      <c r="E16" s="96"/>
    </row>
    <row r="17" spans="2:11">
      <c r="B17" s="10" t="s">
        <v>13</v>
      </c>
      <c r="C17" s="235" t="s">
        <v>65</v>
      </c>
      <c r="D17" s="295">
        <f>D18</f>
        <v>177637.76000000001</v>
      </c>
      <c r="E17" s="107">
        <f>E18</f>
        <v>22105.88</v>
      </c>
    </row>
    <row r="18" spans="2:11">
      <c r="B18" s="123" t="s">
        <v>4</v>
      </c>
      <c r="C18" s="233" t="s">
        <v>11</v>
      </c>
      <c r="D18" s="294">
        <v>177637.76000000001</v>
      </c>
      <c r="E18" s="96">
        <v>22105.88</v>
      </c>
    </row>
    <row r="19" spans="2:11" ht="15" customHeight="1">
      <c r="B19" s="123" t="s">
        <v>6</v>
      </c>
      <c r="C19" s="233" t="s">
        <v>214</v>
      </c>
      <c r="D19" s="293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18075268.039999999</v>
      </c>
      <c r="E21" s="165">
        <f>E11-E17</f>
        <v>14138176.279999999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02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18265807.039999999</v>
      </c>
      <c r="E26" s="112">
        <f>D21</f>
        <v>18075268.039999999</v>
      </c>
      <c r="G26" s="81"/>
    </row>
    <row r="27" spans="2:11">
      <c r="B27" s="10" t="s">
        <v>17</v>
      </c>
      <c r="C27" s="11" t="s">
        <v>217</v>
      </c>
      <c r="D27" s="245">
        <v>-1641417.08</v>
      </c>
      <c r="E27" s="269">
        <f>E28-E32</f>
        <v>-2652418.44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1361503.31</v>
      </c>
      <c r="E28" s="284">
        <f>SUM(E29:E31)</f>
        <v>255576.25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11620.35</v>
      </c>
      <c r="E29" s="286">
        <v>11663.39</v>
      </c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>
        <v>1349882.96</v>
      </c>
      <c r="E31" s="286">
        <v>243912.86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3002920.39</v>
      </c>
      <c r="E32" s="284">
        <f>SUM(E33:E39)</f>
        <v>2907994.69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2715078.37</v>
      </c>
      <c r="E33" s="286">
        <v>2410709.92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21863.39</v>
      </c>
      <c r="E35" s="286">
        <v>21517.68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/>
      <c r="E37" s="286"/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>
        <v>265978.63</v>
      </c>
      <c r="E39" s="288">
        <v>475767.09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1450878.08</v>
      </c>
      <c r="E40" s="115">
        <v>-1284673.32</v>
      </c>
      <c r="G40" s="81"/>
    </row>
    <row r="41" spans="2:10" ht="13.5" thickBot="1">
      <c r="B41" s="116" t="s">
        <v>37</v>
      </c>
      <c r="C41" s="117" t="s">
        <v>38</v>
      </c>
      <c r="D41" s="249">
        <v>18075268.039999999</v>
      </c>
      <c r="E41" s="165">
        <f>E26+E27+E40</f>
        <v>14138176.279999999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1203283.9421000001</v>
      </c>
      <c r="E47" s="80">
        <v>1094211.2933</v>
      </c>
      <c r="G47" s="77"/>
    </row>
    <row r="48" spans="2:10">
      <c r="B48" s="140" t="s">
        <v>6</v>
      </c>
      <c r="C48" s="23" t="s">
        <v>41</v>
      </c>
      <c r="D48" s="251">
        <v>1094211.2933</v>
      </c>
      <c r="E48" s="80">
        <v>926962.28419999999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15.18</v>
      </c>
      <c r="E50" s="80">
        <v>16.518999999999998</v>
      </c>
      <c r="G50" s="208"/>
    </row>
    <row r="51" spans="2:7">
      <c r="B51" s="119" t="s">
        <v>6</v>
      </c>
      <c r="C51" s="16" t="s">
        <v>220</v>
      </c>
      <c r="D51" s="256">
        <v>13.9825</v>
      </c>
      <c r="E51" s="82">
        <v>14.867699999999999</v>
      </c>
      <c r="G51" s="208"/>
    </row>
    <row r="52" spans="2:7" ht="12.75" customHeight="1">
      <c r="B52" s="119" t="s">
        <v>8</v>
      </c>
      <c r="C52" s="16" t="s">
        <v>221</v>
      </c>
      <c r="D52" s="256">
        <v>16.6402</v>
      </c>
      <c r="E52" s="82">
        <v>16.619</v>
      </c>
    </row>
    <row r="53" spans="2:7" ht="13.5" thickBot="1">
      <c r="B53" s="120" t="s">
        <v>9</v>
      </c>
      <c r="C53" s="18" t="s">
        <v>41</v>
      </c>
      <c r="D53" s="254">
        <v>16.518999999999998</v>
      </c>
      <c r="E53" s="167">
        <v>15.2522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14160282.16</v>
      </c>
      <c r="E58" s="33">
        <f>D58/E21</f>
        <v>1.0015635595116517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4" customHeight="1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E12</f>
        <v>14160282.16</v>
      </c>
      <c r="E64" s="91">
        <f>D64/E21</f>
        <v>1.0015635595116517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f>E13</f>
        <v>0</v>
      </c>
      <c r="E71" s="70">
        <f>D71/E21</f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f>E17</f>
        <v>22105.88</v>
      </c>
      <c r="E73" s="27">
        <f>D73/E21</f>
        <v>1.5635595116515269E-3</v>
      </c>
    </row>
    <row r="74" spans="2:5">
      <c r="B74" s="147" t="s">
        <v>64</v>
      </c>
      <c r="C74" s="138" t="s">
        <v>66</v>
      </c>
      <c r="D74" s="139">
        <f>D58+D71-D73</f>
        <v>14138176.279999999</v>
      </c>
      <c r="E74" s="70">
        <f>E58+E71+E72-E73</f>
        <v>1.0000000000000002</v>
      </c>
    </row>
    <row r="75" spans="2:5">
      <c r="B75" s="119" t="s">
        <v>4</v>
      </c>
      <c r="C75" s="16" t="s">
        <v>67</v>
      </c>
      <c r="D75" s="88">
        <f>D74</f>
        <v>14138176.279999999</v>
      </c>
      <c r="E75" s="89">
        <f>E74</f>
        <v>1.0000000000000002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999999999999995" right="0.75" top="0.56999999999999995" bottom="0.43" header="0.5" footer="0.5"/>
  <pageSetup paperSize="9" scale="7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6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01"/>
      <c r="C4" s="101"/>
      <c r="D4" s="101"/>
      <c r="E4" s="10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72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14848598.800000001</v>
      </c>
      <c r="E11" s="9">
        <f>E12</f>
        <v>15634572.51</v>
      </c>
    </row>
    <row r="12" spans="2:12">
      <c r="B12" s="123" t="s">
        <v>4</v>
      </c>
      <c r="C12" s="6" t="s">
        <v>5</v>
      </c>
      <c r="D12" s="297">
        <v>14848598.800000001</v>
      </c>
      <c r="E12" s="95">
        <v>15634572.51</v>
      </c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/>
      <c r="E14" s="95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>
        <v>34854.769999999997</v>
      </c>
      <c r="E17" s="107">
        <f>E18</f>
        <v>23866.46</v>
      </c>
    </row>
    <row r="18" spans="2:11">
      <c r="B18" s="123" t="s">
        <v>4</v>
      </c>
      <c r="C18" s="6" t="s">
        <v>11</v>
      </c>
      <c r="D18" s="297">
        <v>34854.769999999997</v>
      </c>
      <c r="E18" s="96">
        <v>23866.46</v>
      </c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14813744.030000001</v>
      </c>
      <c r="E21" s="165">
        <f>E11-E17</f>
        <v>15610706.049999999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02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16910195.550000001</v>
      </c>
      <c r="E26" s="112">
        <f>D21</f>
        <v>14813744.030000001</v>
      </c>
      <c r="G26" s="81"/>
    </row>
    <row r="27" spans="2:11">
      <c r="B27" s="10" t="s">
        <v>17</v>
      </c>
      <c r="C27" s="11" t="s">
        <v>217</v>
      </c>
      <c r="D27" s="245">
        <v>-1933903.32</v>
      </c>
      <c r="E27" s="269">
        <f>E28-E32</f>
        <v>-1598083.27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97516.79</v>
      </c>
      <c r="E28" s="284">
        <f>SUM(E29:E31)</f>
        <v>270822.7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>
        <v>97516.79</v>
      </c>
      <c r="E31" s="286">
        <v>270822.7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2031420.11</v>
      </c>
      <c r="E32" s="284">
        <f>SUM(E33:E39)</f>
        <v>1868905.97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1850085.57</v>
      </c>
      <c r="E33" s="286">
        <v>1737635.16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20998.27</v>
      </c>
      <c r="E35" s="286">
        <v>21949.98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/>
      <c r="E37" s="286"/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>
        <v>160336.26999999999</v>
      </c>
      <c r="E39" s="288">
        <v>109320.83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-162548.20000000001</v>
      </c>
      <c r="E40" s="115">
        <v>2395045.29</v>
      </c>
      <c r="G40" s="81"/>
    </row>
    <row r="41" spans="2:10" ht="13.5" thickBot="1">
      <c r="B41" s="116" t="s">
        <v>37</v>
      </c>
      <c r="C41" s="117" t="s">
        <v>38</v>
      </c>
      <c r="D41" s="249">
        <v>14813744.030000001</v>
      </c>
      <c r="E41" s="165">
        <f>E26+E27+E40</f>
        <v>15610706.050000001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1532252.4598000001</v>
      </c>
      <c r="E47" s="80">
        <v>1353664.848</v>
      </c>
      <c r="G47" s="77"/>
    </row>
    <row r="48" spans="2:10">
      <c r="B48" s="140" t="s">
        <v>6</v>
      </c>
      <c r="C48" s="23" t="s">
        <v>41</v>
      </c>
      <c r="D48" s="251">
        <v>1353664.848</v>
      </c>
      <c r="E48" s="80">
        <v>1219204.2578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11.036199999999999</v>
      </c>
      <c r="E50" s="80">
        <v>10.9434</v>
      </c>
      <c r="G50" s="208"/>
    </row>
    <row r="51" spans="2:7">
      <c r="B51" s="119" t="s">
        <v>6</v>
      </c>
      <c r="C51" s="16" t="s">
        <v>220</v>
      </c>
      <c r="D51" s="256">
        <v>9.9476000000000013</v>
      </c>
      <c r="E51" s="82">
        <v>10.9434</v>
      </c>
      <c r="G51" s="208"/>
    </row>
    <row r="52" spans="2:7" ht="12.75" customHeight="1">
      <c r="B52" s="119" t="s">
        <v>8</v>
      </c>
      <c r="C52" s="16" t="s">
        <v>221</v>
      </c>
      <c r="D52" s="256">
        <v>11.601100000000001</v>
      </c>
      <c r="E52" s="82">
        <v>12.9625</v>
      </c>
    </row>
    <row r="53" spans="2:7" ht="13.5" thickBot="1">
      <c r="B53" s="120" t="s">
        <v>9</v>
      </c>
      <c r="C53" s="18" t="s">
        <v>41</v>
      </c>
      <c r="D53" s="254">
        <v>10.9434</v>
      </c>
      <c r="E53" s="167">
        <v>12.804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8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15634572.51</v>
      </c>
      <c r="E58" s="33">
        <f>D58/E21</f>
        <v>1.0015288520534278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4" customHeight="1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E12</f>
        <v>15634572.51</v>
      </c>
      <c r="E64" s="91">
        <f>D64/E21</f>
        <v>1.0015288520534278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f>E17</f>
        <v>23866.46</v>
      </c>
      <c r="E73" s="27">
        <f>D73/E21</f>
        <v>1.528852053427782E-3</v>
      </c>
    </row>
    <row r="74" spans="2:5">
      <c r="B74" s="147" t="s">
        <v>64</v>
      </c>
      <c r="C74" s="138" t="s">
        <v>66</v>
      </c>
      <c r="D74" s="139">
        <f>D58-D73</f>
        <v>15610706.049999999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15610706.049999999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62" bottom="0.47" header="0.5" footer="0.5"/>
  <pageSetup paperSize="9" scale="7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7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01"/>
      <c r="C4" s="101"/>
      <c r="D4" s="101"/>
      <c r="E4" s="10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73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3465640.2600000002</v>
      </c>
      <c r="E11" s="9">
        <f>E12+E14</f>
        <v>3386471.1</v>
      </c>
    </row>
    <row r="12" spans="2:12">
      <c r="B12" s="123" t="s">
        <v>4</v>
      </c>
      <c r="C12" s="6" t="s">
        <v>5</v>
      </c>
      <c r="D12" s="297">
        <v>3460752.68</v>
      </c>
      <c r="E12" s="95">
        <v>3386413.43</v>
      </c>
      <c r="G12" s="71"/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>
        <v>4887.58</v>
      </c>
      <c r="E14" s="95">
        <f>E15</f>
        <v>57.67</v>
      </c>
    </row>
    <row r="15" spans="2:12">
      <c r="B15" s="123" t="s">
        <v>212</v>
      </c>
      <c r="C15" s="72" t="s">
        <v>11</v>
      </c>
      <c r="D15" s="297">
        <v>4887.58</v>
      </c>
      <c r="E15" s="95">
        <v>57.67</v>
      </c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>
        <v>5748.95</v>
      </c>
      <c r="E17" s="107">
        <f>E18</f>
        <v>5769.75</v>
      </c>
    </row>
    <row r="18" spans="2:11">
      <c r="B18" s="123" t="s">
        <v>4</v>
      </c>
      <c r="C18" s="6" t="s">
        <v>11</v>
      </c>
      <c r="D18" s="297">
        <v>5748.95</v>
      </c>
      <c r="E18" s="96">
        <v>5769.75</v>
      </c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3459891.31</v>
      </c>
      <c r="E21" s="165">
        <f>E11-E17</f>
        <v>3380701.35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02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3577723.27</v>
      </c>
      <c r="E26" s="112">
        <f>D21</f>
        <v>3459891.31</v>
      </c>
      <c r="G26" s="81"/>
    </row>
    <row r="27" spans="2:11">
      <c r="B27" s="10" t="s">
        <v>17</v>
      </c>
      <c r="C27" s="11" t="s">
        <v>217</v>
      </c>
      <c r="D27" s="245">
        <v>-415895.11</v>
      </c>
      <c r="E27" s="269">
        <f>E28-E32</f>
        <v>-302282.95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65215.61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121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121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210" t="s">
        <v>22</v>
      </c>
      <c r="D31" s="246">
        <v>65215.61</v>
      </c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481110.72</v>
      </c>
      <c r="E32" s="284">
        <f>SUM(E33:E39)</f>
        <v>302282.95</v>
      </c>
      <c r="F32" s="77"/>
      <c r="G32" s="81"/>
      <c r="H32" s="77"/>
      <c r="I32" s="77"/>
      <c r="J32" s="81"/>
    </row>
    <row r="33" spans="2:10">
      <c r="B33" s="121" t="s">
        <v>4</v>
      </c>
      <c r="C33" s="210" t="s">
        <v>25</v>
      </c>
      <c r="D33" s="246">
        <v>439805.43</v>
      </c>
      <c r="E33" s="286">
        <v>262393.96999999997</v>
      </c>
      <c r="F33" s="77"/>
      <c r="G33" s="77"/>
      <c r="H33" s="77"/>
      <c r="I33" s="77"/>
      <c r="J33" s="81"/>
    </row>
    <row r="34" spans="2:10">
      <c r="B34" s="121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210" t="s">
        <v>27</v>
      </c>
      <c r="D35" s="246">
        <v>41305.29</v>
      </c>
      <c r="E35" s="286">
        <v>34040.71</v>
      </c>
      <c r="F35" s="77"/>
      <c r="G35" s="77"/>
      <c r="H35" s="77"/>
      <c r="I35" s="77"/>
      <c r="J35" s="81"/>
    </row>
    <row r="36" spans="2:10">
      <c r="B36" s="121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210" t="s">
        <v>30</v>
      </c>
      <c r="D37" s="246"/>
      <c r="E37" s="286"/>
      <c r="F37" s="77"/>
      <c r="G37" s="77"/>
      <c r="H37" s="77"/>
      <c r="I37" s="77"/>
      <c r="J37" s="81"/>
    </row>
    <row r="38" spans="2:10">
      <c r="B38" s="121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219" t="s">
        <v>34</v>
      </c>
      <c r="D39" s="247"/>
      <c r="E39" s="288">
        <v>5848.27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298063.15000000002</v>
      </c>
      <c r="E40" s="115">
        <v>223092.99</v>
      </c>
      <c r="G40" s="81"/>
    </row>
    <row r="41" spans="2:10" ht="13.5" thickBot="1">
      <c r="B41" s="116" t="s">
        <v>37</v>
      </c>
      <c r="C41" s="117" t="s">
        <v>38</v>
      </c>
      <c r="D41" s="249">
        <v>3459891.31</v>
      </c>
      <c r="E41" s="165">
        <f>E26+E27+E40</f>
        <v>3380701.3499999996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221" t="s">
        <v>40</v>
      </c>
      <c r="D47" s="250">
        <v>550562.75299800001</v>
      </c>
      <c r="E47" s="80">
        <v>489600.11291999999</v>
      </c>
      <c r="G47" s="77"/>
    </row>
    <row r="48" spans="2:10">
      <c r="B48" s="140" t="s">
        <v>6</v>
      </c>
      <c r="C48" s="223" t="s">
        <v>41</v>
      </c>
      <c r="D48" s="251">
        <v>489600.11291999999</v>
      </c>
      <c r="E48" s="80">
        <v>448474.96818800003</v>
      </c>
      <c r="G48" s="77"/>
    </row>
    <row r="49" spans="2:7">
      <c r="B49" s="137" t="s">
        <v>23</v>
      </c>
      <c r="C49" s="141" t="s">
        <v>219</v>
      </c>
      <c r="D49" s="252"/>
      <c r="E49" s="80"/>
    </row>
    <row r="50" spans="2:7">
      <c r="B50" s="119" t="s">
        <v>4</v>
      </c>
      <c r="C50" s="221" t="s">
        <v>40</v>
      </c>
      <c r="D50" s="250">
        <v>6.4983019999999998</v>
      </c>
      <c r="E50" s="80">
        <v>7.06677</v>
      </c>
      <c r="G50" s="208"/>
    </row>
    <row r="51" spans="2:7">
      <c r="B51" s="119" t="s">
        <v>6</v>
      </c>
      <c r="C51" s="221" t="s">
        <v>220</v>
      </c>
      <c r="D51" s="253">
        <v>5.8044599999999997</v>
      </c>
      <c r="E51" s="80">
        <v>7.0545429999999998</v>
      </c>
      <c r="G51" s="208"/>
    </row>
    <row r="52" spans="2:7" ht="12.75" customHeight="1">
      <c r="B52" s="119" t="s">
        <v>8</v>
      </c>
      <c r="C52" s="221" t="s">
        <v>221</v>
      </c>
      <c r="D52" s="253">
        <v>7.1170970000000002</v>
      </c>
      <c r="E52" s="80">
        <v>7.6439409999999999</v>
      </c>
    </row>
    <row r="53" spans="2:7" ht="13.5" thickBot="1">
      <c r="B53" s="120" t="s">
        <v>9</v>
      </c>
      <c r="C53" s="225" t="s">
        <v>41</v>
      </c>
      <c r="D53" s="254">
        <v>7.06677</v>
      </c>
      <c r="E53" s="167">
        <v>7.5382160000000002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D64+D69</f>
        <v>3386413.43</v>
      </c>
      <c r="E58" s="33">
        <f>D58/E21</f>
        <v>1.0016896139021567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4" customHeight="1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v>3380329.29</v>
      </c>
      <c r="E64" s="91">
        <f>D64/E21</f>
        <v>0.99988994591314606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6084.14</v>
      </c>
      <c r="E69" s="89">
        <f>D69/E21</f>
        <v>1.7996679890106236E-3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57.67</v>
      </c>
      <c r="E72" s="136">
        <f>D72/E21</f>
        <v>1.7058590519981897E-5</v>
      </c>
    </row>
    <row r="73" spans="2:5">
      <c r="B73" s="149" t="s">
        <v>62</v>
      </c>
      <c r="C73" s="25" t="s">
        <v>65</v>
      </c>
      <c r="D73" s="26">
        <f>E17</f>
        <v>5769.75</v>
      </c>
      <c r="E73" s="27">
        <f>D73/E21</f>
        <v>1.7066724926767043E-3</v>
      </c>
    </row>
    <row r="74" spans="2:5">
      <c r="B74" s="147" t="s">
        <v>64</v>
      </c>
      <c r="C74" s="138" t="s">
        <v>66</v>
      </c>
      <c r="D74" s="139">
        <f>D58+D72-D73</f>
        <v>3380701.35</v>
      </c>
      <c r="E74" s="70">
        <f>E58+E72-E73</f>
        <v>0.99999999999999989</v>
      </c>
    </row>
    <row r="75" spans="2:5">
      <c r="B75" s="119" t="s">
        <v>4</v>
      </c>
      <c r="C75" s="16" t="s">
        <v>67</v>
      </c>
      <c r="D75" s="88">
        <f>D74</f>
        <v>3380701.35</v>
      </c>
      <c r="E75" s="89">
        <f>E74</f>
        <v>0.99999999999999989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48" right="0.75" top="0.56999999999999995" bottom="0.4" header="0.5" footer="0.5"/>
  <pageSetup paperSize="9" scale="7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8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01"/>
      <c r="C4" s="101"/>
      <c r="D4" s="101"/>
      <c r="E4" s="10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76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4928278.4399999995</v>
      </c>
      <c r="E11" s="9">
        <f>E12+E14</f>
        <v>4291005.78</v>
      </c>
    </row>
    <row r="12" spans="2:12">
      <c r="B12" s="123" t="s">
        <v>4</v>
      </c>
      <c r="C12" s="6" t="s">
        <v>5</v>
      </c>
      <c r="D12" s="297">
        <v>4919783.1899999995</v>
      </c>
      <c r="E12" s="95">
        <v>4290929.38</v>
      </c>
      <c r="G12" s="71"/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>
        <v>8495.25</v>
      </c>
      <c r="E14" s="95">
        <f>E15</f>
        <v>76.400000000000006</v>
      </c>
    </row>
    <row r="15" spans="2:12">
      <c r="B15" s="123" t="s">
        <v>212</v>
      </c>
      <c r="C15" s="72" t="s">
        <v>11</v>
      </c>
      <c r="D15" s="297">
        <v>8495.25</v>
      </c>
      <c r="E15" s="95">
        <v>76.400000000000006</v>
      </c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>
        <v>8177.08</v>
      </c>
      <c r="E17" s="107">
        <f>E18</f>
        <v>7369.32</v>
      </c>
    </row>
    <row r="18" spans="2:11">
      <c r="B18" s="123" t="s">
        <v>4</v>
      </c>
      <c r="C18" s="6" t="s">
        <v>11</v>
      </c>
      <c r="D18" s="297">
        <v>8177.08</v>
      </c>
      <c r="E18" s="96">
        <v>7369.32</v>
      </c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4920101.3599999994</v>
      </c>
      <c r="E21" s="165">
        <f>E11-E17</f>
        <v>4283636.46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02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5924006.5099999998</v>
      </c>
      <c r="E26" s="112">
        <f>D21</f>
        <v>4920101.3599999994</v>
      </c>
      <c r="G26" s="81"/>
    </row>
    <row r="27" spans="2:11">
      <c r="B27" s="10" t="s">
        <v>17</v>
      </c>
      <c r="C27" s="11" t="s">
        <v>217</v>
      </c>
      <c r="D27" s="245">
        <v>-917954.46</v>
      </c>
      <c r="E27" s="269">
        <f>E28-E32</f>
        <v>-1008062.12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420.35</v>
      </c>
      <c r="E28" s="284">
        <f>SUM(E29:E31)</f>
        <v>51306.1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/>
      <c r="E29" s="286">
        <v>49175</v>
      </c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>
        <v>420.35</v>
      </c>
      <c r="E31" s="286">
        <v>2131.1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918374.80999999994</v>
      </c>
      <c r="E32" s="284">
        <f>SUM(E33:E39)</f>
        <v>1059368.22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879236.2</v>
      </c>
      <c r="E33" s="286">
        <v>925856.46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38044.519999999997</v>
      </c>
      <c r="E35" s="286">
        <v>29960.19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/>
      <c r="E37" s="286"/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>
        <v>1094.0899999999999</v>
      </c>
      <c r="E39" s="288">
        <v>103551.57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-85950.69</v>
      </c>
      <c r="E40" s="115">
        <v>371597.22</v>
      </c>
      <c r="G40" s="81"/>
    </row>
    <row r="41" spans="2:10" ht="13.5" thickBot="1">
      <c r="B41" s="116" t="s">
        <v>37</v>
      </c>
      <c r="C41" s="117" t="s">
        <v>38</v>
      </c>
      <c r="D41" s="249">
        <v>4920101.3599999994</v>
      </c>
      <c r="E41" s="165">
        <f>E26+E27+E40</f>
        <v>4283636.459999999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569250.53702799999</v>
      </c>
      <c r="E47" s="80">
        <v>480327.90454700001</v>
      </c>
      <c r="G47" s="77"/>
    </row>
    <row r="48" spans="2:10">
      <c r="B48" s="140" t="s">
        <v>6</v>
      </c>
      <c r="C48" s="23" t="s">
        <v>41</v>
      </c>
      <c r="D48" s="251">
        <v>480327.90454700001</v>
      </c>
      <c r="E48" s="80">
        <v>385900.97203200002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10.406677</v>
      </c>
      <c r="E50" s="80">
        <v>10.243213000000001</v>
      </c>
      <c r="G50" s="208"/>
    </row>
    <row r="51" spans="2:7">
      <c r="B51" s="119" t="s">
        <v>6</v>
      </c>
      <c r="C51" s="16" t="s">
        <v>220</v>
      </c>
      <c r="D51" s="253">
        <v>10.185589999999999</v>
      </c>
      <c r="E51" s="82">
        <v>10.242150000000001</v>
      </c>
      <c r="G51" s="208"/>
    </row>
    <row r="52" spans="2:7" ht="12" customHeight="1">
      <c r="B52" s="119" t="s">
        <v>8</v>
      </c>
      <c r="C52" s="16" t="s">
        <v>221</v>
      </c>
      <c r="D52" s="253">
        <v>10.54285</v>
      </c>
      <c r="E52" s="82">
        <v>11.18149</v>
      </c>
    </row>
    <row r="53" spans="2:7" ht="13.5" thickBot="1">
      <c r="B53" s="120" t="s">
        <v>9</v>
      </c>
      <c r="C53" s="18" t="s">
        <v>41</v>
      </c>
      <c r="D53" s="254">
        <v>10.243213000000001</v>
      </c>
      <c r="E53" s="167">
        <v>11.100350000000001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D64+D69</f>
        <v>4290929.38</v>
      </c>
      <c r="E58" s="33">
        <f>D58/E21</f>
        <v>1.0017025067528722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4" customHeight="1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v>4283379.57</v>
      </c>
      <c r="E64" s="91">
        <f>D64/E21</f>
        <v>0.99994002992494846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7549.81</v>
      </c>
      <c r="E69" s="89">
        <f>D69/E21</f>
        <v>1.7624768279239085E-3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76.400000000000006</v>
      </c>
      <c r="E72" s="136">
        <f>D72/E21</f>
        <v>1.783531369046196E-5</v>
      </c>
    </row>
    <row r="73" spans="2:5">
      <c r="B73" s="149" t="s">
        <v>62</v>
      </c>
      <c r="C73" s="25" t="s">
        <v>65</v>
      </c>
      <c r="D73" s="26">
        <f>E17</f>
        <v>7369.32</v>
      </c>
      <c r="E73" s="27">
        <f>D73/E21</f>
        <v>1.7203420665627633E-3</v>
      </c>
    </row>
    <row r="74" spans="2:5">
      <c r="B74" s="147" t="s">
        <v>64</v>
      </c>
      <c r="C74" s="138" t="s">
        <v>66</v>
      </c>
      <c r="D74" s="139">
        <f>D58+D72-D73</f>
        <v>4283636.46</v>
      </c>
      <c r="E74" s="70">
        <f>E58+E72-E73</f>
        <v>0.99999999999999978</v>
      </c>
    </row>
    <row r="75" spans="2:5">
      <c r="B75" s="119" t="s">
        <v>4</v>
      </c>
      <c r="C75" s="16" t="s">
        <v>67</v>
      </c>
      <c r="D75" s="88">
        <f>D74</f>
        <v>4283636.46</v>
      </c>
      <c r="E75" s="89">
        <f>E74</f>
        <v>0.99999999999999978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055118110236227" right="0.74803149606299213" top="0.59055118110236227" bottom="0.55118110236220474" header="0.51181102362204722" footer="0.51181102362204722"/>
  <pageSetup paperSize="9" scale="7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9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01"/>
      <c r="C4" s="101"/>
      <c r="D4" s="101"/>
      <c r="E4" s="10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75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5852579.8300000001</v>
      </c>
      <c r="E11" s="9">
        <f>E12+E14</f>
        <v>5418842.6999999993</v>
      </c>
    </row>
    <row r="12" spans="2:12">
      <c r="B12" s="123" t="s">
        <v>4</v>
      </c>
      <c r="C12" s="6" t="s">
        <v>5</v>
      </c>
      <c r="D12" s="297">
        <v>5838438.8200000003</v>
      </c>
      <c r="E12" s="95">
        <v>5418761.3099999996</v>
      </c>
      <c r="G12" s="71"/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>
        <v>14141.01</v>
      </c>
      <c r="E14" s="95">
        <f>E15</f>
        <v>81.39</v>
      </c>
      <c r="G14" s="71"/>
    </row>
    <row r="15" spans="2:12">
      <c r="B15" s="123" t="s">
        <v>212</v>
      </c>
      <c r="C15" s="72" t="s">
        <v>11</v>
      </c>
      <c r="D15" s="297">
        <v>14141.01</v>
      </c>
      <c r="E15" s="95">
        <v>81.39</v>
      </c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>
        <v>9617.39</v>
      </c>
      <c r="E17" s="107">
        <f>E18</f>
        <v>9229.5</v>
      </c>
    </row>
    <row r="18" spans="2:11">
      <c r="B18" s="123" t="s">
        <v>4</v>
      </c>
      <c r="C18" s="6" t="s">
        <v>11</v>
      </c>
      <c r="D18" s="297">
        <v>9617.39</v>
      </c>
      <c r="E18" s="96">
        <v>9229.5</v>
      </c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5842962.4400000004</v>
      </c>
      <c r="E21" s="165">
        <f>E11-E17</f>
        <v>5409613.1999999993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02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6579796.7599999998</v>
      </c>
      <c r="E26" s="112">
        <f>D21</f>
        <v>5842962.4400000004</v>
      </c>
      <c r="G26" s="81"/>
    </row>
    <row r="27" spans="2:11">
      <c r="B27" s="10" t="s">
        <v>17</v>
      </c>
      <c r="C27" s="11" t="s">
        <v>217</v>
      </c>
      <c r="D27" s="245">
        <v>-1057830.71</v>
      </c>
      <c r="E27" s="269">
        <f>E28-E32</f>
        <v>-808932.1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309.72000000000003</v>
      </c>
      <c r="E28" s="284">
        <f>SUM(E29:E31)</f>
        <v>8134.43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49</v>
      </c>
      <c r="E29" s="286"/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>
        <v>260.72000000000003</v>
      </c>
      <c r="E31" s="286">
        <v>8134.43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1058140.43</v>
      </c>
      <c r="E32" s="284">
        <f>SUM(E33:E39)</f>
        <v>817066.53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986311.83</v>
      </c>
      <c r="E33" s="286">
        <v>671996.23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54231.09</v>
      </c>
      <c r="E35" s="286">
        <v>42020.28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/>
      <c r="E37" s="286"/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>
        <v>17597.509999999998</v>
      </c>
      <c r="E39" s="288">
        <v>103050.02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320996.39</v>
      </c>
      <c r="E40" s="115">
        <v>375582.86</v>
      </c>
      <c r="G40" s="81"/>
    </row>
    <row r="41" spans="2:10" ht="13.5" thickBot="1">
      <c r="B41" s="116" t="s">
        <v>37</v>
      </c>
      <c r="C41" s="117" t="s">
        <v>38</v>
      </c>
      <c r="D41" s="249">
        <v>5842962.4399999995</v>
      </c>
      <c r="E41" s="165">
        <f>E26+E27+E40</f>
        <v>5409613.2000000011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729154.697637</v>
      </c>
      <c r="E47" s="80">
        <v>612924.46478000004</v>
      </c>
      <c r="G47" s="77"/>
    </row>
    <row r="48" spans="2:10">
      <c r="B48" s="140" t="s">
        <v>6</v>
      </c>
      <c r="C48" s="23" t="s">
        <v>41</v>
      </c>
      <c r="D48" s="251">
        <v>612924.46478000004</v>
      </c>
      <c r="E48" s="80">
        <v>531672.55431000004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9.0238689999999995</v>
      </c>
      <c r="E50" s="80">
        <v>9.5329239999999995</v>
      </c>
      <c r="G50" s="208"/>
    </row>
    <row r="51" spans="2:7">
      <c r="B51" s="119" t="s">
        <v>6</v>
      </c>
      <c r="C51" s="16" t="s">
        <v>220</v>
      </c>
      <c r="D51" s="256">
        <v>8.8582999999999998</v>
      </c>
      <c r="E51" s="80">
        <v>9.5329239999999995</v>
      </c>
      <c r="G51" s="208"/>
    </row>
    <row r="52" spans="2:7" ht="12.75" customHeight="1">
      <c r="B52" s="119" t="s">
        <v>8</v>
      </c>
      <c r="C52" s="16" t="s">
        <v>221</v>
      </c>
      <c r="D52" s="253">
        <v>9.5353220000000007</v>
      </c>
      <c r="E52" s="82">
        <v>10.22269</v>
      </c>
    </row>
    <row r="53" spans="2:7" ht="13.5" thickBot="1">
      <c r="B53" s="120" t="s">
        <v>9</v>
      </c>
      <c r="C53" s="18" t="s">
        <v>41</v>
      </c>
      <c r="D53" s="254">
        <v>9.5329239999999995</v>
      </c>
      <c r="E53" s="167">
        <v>10.174707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D64+D69</f>
        <v>5418761.3100000005</v>
      </c>
      <c r="E58" s="33">
        <f>D58/E21</f>
        <v>1.0016910839392363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4" customHeight="1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v>5408469.9400000004</v>
      </c>
      <c r="E64" s="91">
        <f>D64/E21</f>
        <v>0.99978866141483114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10291.370000000001</v>
      </c>
      <c r="E69" s="89">
        <f>D69/E21</f>
        <v>1.9024225244052572E-3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81.39</v>
      </c>
      <c r="E72" s="136">
        <f>D72/E21</f>
        <v>1.5045437999153066E-5</v>
      </c>
    </row>
    <row r="73" spans="2:5">
      <c r="B73" s="149" t="s">
        <v>62</v>
      </c>
      <c r="C73" s="25" t="s">
        <v>65</v>
      </c>
      <c r="D73" s="26">
        <f>E17</f>
        <v>9229.5</v>
      </c>
      <c r="E73" s="27">
        <f>D73/E21</f>
        <v>1.7061293772353263E-3</v>
      </c>
    </row>
    <row r="74" spans="2:5">
      <c r="B74" s="147" t="s">
        <v>64</v>
      </c>
      <c r="C74" s="138" t="s">
        <v>66</v>
      </c>
      <c r="D74" s="139">
        <f>D58+D72-D73</f>
        <v>5409613.2000000002</v>
      </c>
      <c r="E74" s="70">
        <f>E58+E72-E73</f>
        <v>1.0000000000000002</v>
      </c>
    </row>
    <row r="75" spans="2:5">
      <c r="B75" s="119" t="s">
        <v>4</v>
      </c>
      <c r="C75" s="16" t="s">
        <v>67</v>
      </c>
      <c r="D75" s="88">
        <f>D74</f>
        <v>5409613.2000000002</v>
      </c>
      <c r="E75" s="89">
        <f>E74</f>
        <v>1.0000000000000002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118110236220474" right="0.74803149606299213" top="0.51181102362204722" bottom="0.47244094488188981" header="0.51181102362204722" footer="0.51181102362204722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9.140625" customWidth="1"/>
    <col min="8" max="8" width="19" customWidth="1"/>
    <col min="9" max="9" width="13.28515625" customWidth="1"/>
    <col min="10" max="10" width="16.5703125" customWidth="1"/>
    <col min="12" max="12" width="14.5703125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99"/>
      <c r="C4" s="99"/>
      <c r="D4" s="99"/>
      <c r="E4" s="99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86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  <c r="G9" s="237"/>
    </row>
    <row r="10" spans="2:12" ht="13.5" thickBot="1">
      <c r="B10" s="100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223333526.69</v>
      </c>
      <c r="E11" s="9">
        <f>E12+E13+E14</f>
        <v>245537197.39000002</v>
      </c>
    </row>
    <row r="12" spans="2:12">
      <c r="B12" s="123" t="s">
        <v>4</v>
      </c>
      <c r="C12" s="6" t="s">
        <v>5</v>
      </c>
      <c r="D12" s="297">
        <v>222599976.51999998</v>
      </c>
      <c r="E12" s="95">
        <f>250488287.38-5692464.32</f>
        <v>244795823.06</v>
      </c>
    </row>
    <row r="13" spans="2:12">
      <c r="B13" s="123" t="s">
        <v>6</v>
      </c>
      <c r="C13" s="72" t="s">
        <v>7</v>
      </c>
      <c r="D13" s="297">
        <v>1.61</v>
      </c>
      <c r="E13" s="95"/>
    </row>
    <row r="14" spans="2:12">
      <c r="B14" s="123" t="s">
        <v>8</v>
      </c>
      <c r="C14" s="72" t="s">
        <v>10</v>
      </c>
      <c r="D14" s="297">
        <v>733548.56</v>
      </c>
      <c r="E14" s="95">
        <f>E15</f>
        <v>741374.33</v>
      </c>
    </row>
    <row r="15" spans="2:12">
      <c r="B15" s="123" t="s">
        <v>212</v>
      </c>
      <c r="C15" s="72" t="s">
        <v>11</v>
      </c>
      <c r="D15" s="297">
        <v>733548.56</v>
      </c>
      <c r="E15" s="95">
        <v>741374.33</v>
      </c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>
        <v>377423.34</v>
      </c>
      <c r="E17" s="107">
        <f>SUM(E18:E19)</f>
        <v>384780.52</v>
      </c>
    </row>
    <row r="18" spans="2:11">
      <c r="B18" s="123" t="s">
        <v>4</v>
      </c>
      <c r="C18" s="6" t="s">
        <v>11</v>
      </c>
      <c r="D18" s="297">
        <v>377423.34</v>
      </c>
      <c r="E18" s="96">
        <v>384780.52</v>
      </c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customHeight="1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222956103.34999999</v>
      </c>
      <c r="E21" s="165">
        <f>E11-E17</f>
        <v>245152416.87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6.5" customHeight="1" thickBot="1">
      <c r="B24" s="335" t="s">
        <v>211</v>
      </c>
      <c r="C24" s="345"/>
      <c r="D24" s="345"/>
      <c r="E24" s="345"/>
    </row>
    <row r="25" spans="2:11" ht="13.5" thickBot="1">
      <c r="B25" s="100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214871214.26999995</v>
      </c>
      <c r="E26" s="112">
        <f>D21</f>
        <v>222956103.34999999</v>
      </c>
    </row>
    <row r="27" spans="2:11">
      <c r="B27" s="10" t="s">
        <v>17</v>
      </c>
      <c r="C27" s="11" t="s">
        <v>217</v>
      </c>
      <c r="D27" s="245">
        <v>-8527812.8999999464</v>
      </c>
      <c r="E27" s="269">
        <f>E28-E32</f>
        <v>-7797613.5099999942</v>
      </c>
      <c r="F27" s="77"/>
      <c r="G27" s="77"/>
      <c r="H27" s="77"/>
      <c r="I27" s="81"/>
      <c r="J27" s="171"/>
    </row>
    <row r="28" spans="2:11">
      <c r="B28" s="10" t="s">
        <v>18</v>
      </c>
      <c r="C28" s="11" t="s">
        <v>19</v>
      </c>
      <c r="D28" s="245">
        <v>36301882.170000002</v>
      </c>
      <c r="E28" s="284">
        <f>SUM(E29:E31)</f>
        <v>32574350.34</v>
      </c>
      <c r="F28" s="77"/>
      <c r="G28" s="77"/>
      <c r="H28" s="77"/>
      <c r="I28" s="81"/>
      <c r="J28" s="171"/>
    </row>
    <row r="29" spans="2:11">
      <c r="B29" s="121" t="s">
        <v>4</v>
      </c>
      <c r="C29" s="6" t="s">
        <v>20</v>
      </c>
      <c r="D29" s="246">
        <v>35679050.969999999</v>
      </c>
      <c r="E29" s="286">
        <v>31362486.809999999</v>
      </c>
      <c r="F29" s="77"/>
      <c r="G29" s="77"/>
      <c r="H29" s="77"/>
      <c r="I29" s="81"/>
      <c r="J29" s="17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81"/>
      <c r="J30" s="171"/>
    </row>
    <row r="31" spans="2:11">
      <c r="B31" s="121" t="s">
        <v>8</v>
      </c>
      <c r="C31" s="6" t="s">
        <v>22</v>
      </c>
      <c r="D31" s="246">
        <v>622831.19999999995</v>
      </c>
      <c r="E31" s="286">
        <v>1211863.53</v>
      </c>
      <c r="F31" s="77"/>
      <c r="G31" s="77"/>
      <c r="H31" s="77"/>
      <c r="I31" s="81"/>
      <c r="J31" s="171"/>
    </row>
    <row r="32" spans="2:11">
      <c r="B32" s="106" t="s">
        <v>23</v>
      </c>
      <c r="C32" s="12" t="s">
        <v>24</v>
      </c>
      <c r="D32" s="245">
        <v>44829695.069999948</v>
      </c>
      <c r="E32" s="284">
        <f>SUM(E33:E39)</f>
        <v>40371963.849999994</v>
      </c>
      <c r="F32" s="77"/>
      <c r="G32" s="77"/>
      <c r="H32" s="77"/>
      <c r="I32" s="81"/>
      <c r="J32" s="171"/>
    </row>
    <row r="33" spans="2:10">
      <c r="B33" s="121" t="s">
        <v>4</v>
      </c>
      <c r="C33" s="6" t="s">
        <v>25</v>
      </c>
      <c r="D33" s="246">
        <v>33281137.799999997</v>
      </c>
      <c r="E33" s="286">
        <f>27815572.13+1585329.99</f>
        <v>29400902.119999997</v>
      </c>
      <c r="F33" s="77"/>
      <c r="G33" s="77"/>
      <c r="H33" s="77"/>
      <c r="I33" s="81"/>
      <c r="J33" s="17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81"/>
      <c r="J34" s="171"/>
    </row>
    <row r="35" spans="2:10">
      <c r="B35" s="121" t="s">
        <v>8</v>
      </c>
      <c r="C35" s="6" t="s">
        <v>27</v>
      </c>
      <c r="D35" s="246">
        <v>6940803.4399999995</v>
      </c>
      <c r="E35" s="286">
        <v>6321517.7199999997</v>
      </c>
      <c r="F35" s="77"/>
      <c r="G35" s="77"/>
      <c r="H35" s="77"/>
      <c r="I35" s="81"/>
      <c r="J35" s="17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81"/>
      <c r="J36" s="171"/>
    </row>
    <row r="37" spans="2:10" ht="25.5">
      <c r="B37" s="121" t="s">
        <v>29</v>
      </c>
      <c r="C37" s="6" t="s">
        <v>30</v>
      </c>
      <c r="D37" s="246"/>
      <c r="E37" s="286"/>
      <c r="F37" s="77"/>
      <c r="G37" s="77"/>
      <c r="H37" s="77"/>
      <c r="I37" s="81"/>
      <c r="J37" s="17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81"/>
      <c r="J38" s="171"/>
    </row>
    <row r="39" spans="2:10">
      <c r="B39" s="122" t="s">
        <v>33</v>
      </c>
      <c r="C39" s="13" t="s">
        <v>34</v>
      </c>
      <c r="D39" s="247">
        <v>4607753.8299999554</v>
      </c>
      <c r="E39" s="288">
        <v>4649544.01</v>
      </c>
      <c r="F39" s="77"/>
      <c r="G39" s="77"/>
      <c r="H39" s="77"/>
      <c r="I39" s="81"/>
      <c r="J39" s="171"/>
    </row>
    <row r="40" spans="2:10" ht="13.5" thickBot="1">
      <c r="B40" s="113" t="s">
        <v>35</v>
      </c>
      <c r="C40" s="114" t="s">
        <v>36</v>
      </c>
      <c r="D40" s="248">
        <v>16612701.98</v>
      </c>
      <c r="E40" s="115">
        <v>29993927.030000001</v>
      </c>
    </row>
    <row r="41" spans="2:10" ht="13.5" thickBot="1">
      <c r="B41" s="116" t="s">
        <v>37</v>
      </c>
      <c r="C41" s="117" t="s">
        <v>38</v>
      </c>
      <c r="D41" s="249">
        <v>222956103.34999999</v>
      </c>
      <c r="E41" s="165">
        <f>E26+E27+E40</f>
        <v>245152416.87</v>
      </c>
      <c r="F41" s="86"/>
      <c r="G41" s="71"/>
    </row>
    <row r="42" spans="2:10">
      <c r="B42" s="108"/>
      <c r="C42" s="108"/>
      <c r="D42" s="109"/>
      <c r="E42" s="109"/>
      <c r="F42" s="86"/>
    </row>
    <row r="43" spans="2:10" ht="13.5">
      <c r="B43" s="337" t="s">
        <v>60</v>
      </c>
      <c r="C43" s="338"/>
      <c r="D43" s="338"/>
      <c r="E43" s="338"/>
    </row>
    <row r="44" spans="2:10" ht="15.75" customHeight="1" thickBot="1">
      <c r="B44" s="335" t="s">
        <v>243</v>
      </c>
      <c r="C44" s="339"/>
      <c r="D44" s="339"/>
      <c r="E44" s="339"/>
    </row>
    <row r="45" spans="2:10" ht="13.5" thickBot="1">
      <c r="B45" s="100"/>
      <c r="C45" s="31" t="s">
        <v>39</v>
      </c>
      <c r="D45" s="74" t="s">
        <v>245</v>
      </c>
      <c r="E45" s="30" t="s">
        <v>268</v>
      </c>
    </row>
    <row r="46" spans="2:10">
      <c r="B46" s="14" t="s">
        <v>18</v>
      </c>
      <c r="C46" s="32" t="s">
        <v>218</v>
      </c>
      <c r="D46" s="118"/>
      <c r="E46" s="29"/>
    </row>
    <row r="47" spans="2:10">
      <c r="B47" s="119" t="s">
        <v>4</v>
      </c>
      <c r="C47" s="16" t="s">
        <v>40</v>
      </c>
      <c r="D47" s="250">
        <v>13063637.1686</v>
      </c>
      <c r="E47" s="80">
        <v>12561147.05692446</v>
      </c>
    </row>
    <row r="48" spans="2:10">
      <c r="B48" s="140" t="s">
        <v>6</v>
      </c>
      <c r="C48" s="23" t="s">
        <v>41</v>
      </c>
      <c r="D48" s="251">
        <v>12561147.05692446</v>
      </c>
      <c r="E48" s="80">
        <v>12195842.338</v>
      </c>
      <c r="G48" s="170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16.4480390489157</v>
      </c>
      <c r="E50" s="80">
        <v>17.749661104962001</v>
      </c>
      <c r="G50" s="208"/>
    </row>
    <row r="51" spans="2:7">
      <c r="B51" s="119" t="s">
        <v>6</v>
      </c>
      <c r="C51" s="16" t="s">
        <v>220</v>
      </c>
      <c r="D51" s="256">
        <v>15.0059</v>
      </c>
      <c r="E51" s="82">
        <v>17.749700000000001</v>
      </c>
      <c r="G51" s="208"/>
    </row>
    <row r="52" spans="2:7">
      <c r="B52" s="119" t="s">
        <v>8</v>
      </c>
      <c r="C52" s="16" t="s">
        <v>221</v>
      </c>
      <c r="D52" s="256">
        <v>17.749700000000001</v>
      </c>
      <c r="E52" s="82">
        <v>20.687200000000001</v>
      </c>
    </row>
    <row r="53" spans="2:7" ht="12.75" customHeight="1" thickBot="1">
      <c r="B53" s="120" t="s">
        <v>9</v>
      </c>
      <c r="C53" s="18" t="s">
        <v>41</v>
      </c>
      <c r="D53" s="254">
        <v>17.749661104962001</v>
      </c>
      <c r="E53" s="167">
        <v>20.101310764341601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D64+D69</f>
        <v>244795823.06</v>
      </c>
      <c r="E58" s="33">
        <f>D58/E21</f>
        <v>0.99854541996953228</v>
      </c>
    </row>
    <row r="59" spans="2:7" ht="25.5">
      <c r="B59" s="22" t="s">
        <v>4</v>
      </c>
      <c r="C59" s="23" t="s">
        <v>44</v>
      </c>
      <c r="D59" s="90">
        <v>0</v>
      </c>
      <c r="E59" s="91">
        <v>0</v>
      </c>
    </row>
    <row r="60" spans="2:7" ht="25.5">
      <c r="B60" s="15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5" t="s">
        <v>8</v>
      </c>
      <c r="C61" s="16" t="s">
        <v>46</v>
      </c>
      <c r="D61" s="88">
        <v>0</v>
      </c>
      <c r="E61" s="89">
        <v>0</v>
      </c>
    </row>
    <row r="62" spans="2:7">
      <c r="B62" s="15" t="s">
        <v>9</v>
      </c>
      <c r="C62" s="16" t="s">
        <v>47</v>
      </c>
      <c r="D62" s="88">
        <v>0</v>
      </c>
      <c r="E62" s="89">
        <v>0</v>
      </c>
    </row>
    <row r="63" spans="2:7">
      <c r="B63" s="15" t="s">
        <v>29</v>
      </c>
      <c r="C63" s="16" t="s">
        <v>48</v>
      </c>
      <c r="D63" s="88">
        <v>0</v>
      </c>
      <c r="E63" s="89">
        <v>0</v>
      </c>
    </row>
    <row r="64" spans="2:7">
      <c r="B64" s="22" t="s">
        <v>31</v>
      </c>
      <c r="C64" s="23" t="s">
        <v>49</v>
      </c>
      <c r="D64" s="90">
        <f>250026994.1-5692464.32</f>
        <v>244334529.78</v>
      </c>
      <c r="E64" s="91">
        <f>D64/E21</f>
        <v>0.99666376085358477</v>
      </c>
    </row>
    <row r="65" spans="2:5">
      <c r="B65" s="22" t="s">
        <v>33</v>
      </c>
      <c r="C65" s="23" t="s">
        <v>224</v>
      </c>
      <c r="D65" s="90">
        <v>0</v>
      </c>
      <c r="E65" s="91">
        <v>0</v>
      </c>
    </row>
    <row r="66" spans="2:5">
      <c r="B66" s="22" t="s">
        <v>50</v>
      </c>
      <c r="C66" s="23" t="s">
        <v>51</v>
      </c>
      <c r="D66" s="90">
        <v>0</v>
      </c>
      <c r="E66" s="91">
        <v>0</v>
      </c>
    </row>
    <row r="67" spans="2:5">
      <c r="B67" s="15" t="s">
        <v>52</v>
      </c>
      <c r="C67" s="16" t="s">
        <v>53</v>
      </c>
      <c r="D67" s="88">
        <v>0</v>
      </c>
      <c r="E67" s="89">
        <v>0</v>
      </c>
    </row>
    <row r="68" spans="2:5">
      <c r="B68" s="15" t="s">
        <v>54</v>
      </c>
      <c r="C68" s="16" t="s">
        <v>55</v>
      </c>
      <c r="D68" s="88">
        <v>0</v>
      </c>
      <c r="E68" s="89">
        <v>0</v>
      </c>
    </row>
    <row r="69" spans="2:5">
      <c r="B69" s="15" t="s">
        <v>56</v>
      </c>
      <c r="C69" s="16" t="s">
        <v>57</v>
      </c>
      <c r="D69" s="88">
        <v>461293.28</v>
      </c>
      <c r="E69" s="89">
        <f>D69/E21</f>
        <v>1.8816591159475115E-3</v>
      </c>
    </row>
    <row r="70" spans="2:5">
      <c r="B70" s="129" t="s">
        <v>58</v>
      </c>
      <c r="C70" s="130" t="s">
        <v>59</v>
      </c>
      <c r="D70" s="131">
        <v>0</v>
      </c>
      <c r="E70" s="132">
        <v>0</v>
      </c>
    </row>
    <row r="71" spans="2:5">
      <c r="B71" s="137" t="s">
        <v>23</v>
      </c>
      <c r="C71" s="138" t="s">
        <v>61</v>
      </c>
      <c r="D71" s="139">
        <f>E13</f>
        <v>0</v>
      </c>
      <c r="E71" s="70">
        <v>0</v>
      </c>
    </row>
    <row r="72" spans="2:5">
      <c r="B72" s="133" t="s">
        <v>60</v>
      </c>
      <c r="C72" s="134" t="s">
        <v>63</v>
      </c>
      <c r="D72" s="135">
        <f>E14</f>
        <v>741374.33</v>
      </c>
      <c r="E72" s="136">
        <f>D72/E21</f>
        <v>3.024136329005223E-3</v>
      </c>
    </row>
    <row r="73" spans="2:5">
      <c r="B73" s="24" t="s">
        <v>62</v>
      </c>
      <c r="C73" s="25" t="s">
        <v>65</v>
      </c>
      <c r="D73" s="26">
        <f>E17</f>
        <v>384780.52</v>
      </c>
      <c r="E73" s="27">
        <f>D73/E21</f>
        <v>1.5695562985375026E-3</v>
      </c>
    </row>
    <row r="74" spans="2:5">
      <c r="B74" s="137" t="s">
        <v>64</v>
      </c>
      <c r="C74" s="138" t="s">
        <v>66</v>
      </c>
      <c r="D74" s="139">
        <f>D58+D71+D72-D73</f>
        <v>245152416.87</v>
      </c>
      <c r="E74" s="70">
        <f>E58+E72-E73</f>
        <v>1</v>
      </c>
    </row>
    <row r="75" spans="2:5">
      <c r="B75" s="15" t="s">
        <v>4</v>
      </c>
      <c r="C75" s="16" t="s">
        <v>67</v>
      </c>
      <c r="D75" s="88">
        <f>D74</f>
        <v>245152416.87</v>
      </c>
      <c r="E75" s="89">
        <f>E74</f>
        <v>1</v>
      </c>
    </row>
    <row r="76" spans="2:5">
      <c r="B76" s="15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7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56999999999999995" bottom="0.51" header="0.5" footer="0.5"/>
  <pageSetup paperSize="9" scale="7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0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01"/>
      <c r="C4" s="101"/>
      <c r="D4" s="101"/>
      <c r="E4" s="10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101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12914954.289999999</v>
      </c>
      <c r="E11" s="9">
        <f>E12+E14</f>
        <v>11358190.370000001</v>
      </c>
    </row>
    <row r="12" spans="2:12">
      <c r="B12" s="123" t="s">
        <v>4</v>
      </c>
      <c r="C12" s="6" t="s">
        <v>5</v>
      </c>
      <c r="D12" s="297">
        <v>12894989.439999999</v>
      </c>
      <c r="E12" s="95">
        <v>11253811.300000001</v>
      </c>
      <c r="G12" s="71"/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>
        <v>19964.849999999999</v>
      </c>
      <c r="E14" s="95">
        <f>E15</f>
        <v>104379.07</v>
      </c>
      <c r="G14" s="71"/>
    </row>
    <row r="15" spans="2:12">
      <c r="B15" s="123" t="s">
        <v>212</v>
      </c>
      <c r="C15" s="72" t="s">
        <v>11</v>
      </c>
      <c r="D15" s="297">
        <v>19964.849999999999</v>
      </c>
      <c r="E15" s="95">
        <v>104379.07</v>
      </c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>
        <v>21224.67</v>
      </c>
      <c r="E17" s="107">
        <f>E18</f>
        <v>123098.81</v>
      </c>
    </row>
    <row r="18" spans="2:11">
      <c r="B18" s="123" t="s">
        <v>4</v>
      </c>
      <c r="C18" s="6" t="s">
        <v>11</v>
      </c>
      <c r="D18" s="297">
        <v>21224.67</v>
      </c>
      <c r="E18" s="96">
        <v>123098.81</v>
      </c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12893729.619999999</v>
      </c>
      <c r="E21" s="165">
        <f>E11-E17</f>
        <v>11235091.560000001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02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15259374.27</v>
      </c>
      <c r="E26" s="112">
        <f>D21</f>
        <v>12893729.619999999</v>
      </c>
      <c r="G26" s="81"/>
    </row>
    <row r="27" spans="2:11">
      <c r="B27" s="10" t="s">
        <v>17</v>
      </c>
      <c r="C27" s="11" t="s">
        <v>217</v>
      </c>
      <c r="D27" s="245">
        <v>-2339081.7999999998</v>
      </c>
      <c r="E27" s="269">
        <f>E28-E32</f>
        <v>-1865504.24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13370.39</v>
      </c>
      <c r="E28" s="284">
        <f>SUM(E29:E31)</f>
        <v>218264.94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980</v>
      </c>
      <c r="E29" s="286">
        <v>2450</v>
      </c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>
        <v>12390.39</v>
      </c>
      <c r="E31" s="286">
        <v>215814.94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2352452.19</v>
      </c>
      <c r="E32" s="284">
        <f>SUM(E33:E39)</f>
        <v>2083769.18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2318199.21</v>
      </c>
      <c r="E33" s="286">
        <v>2023819.15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29344.22</v>
      </c>
      <c r="E35" s="286">
        <v>25675.81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/>
      <c r="E37" s="286"/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>
        <v>4908.76</v>
      </c>
      <c r="E39" s="288">
        <v>34274.22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-26562.85</v>
      </c>
      <c r="E40" s="115">
        <v>206866.18</v>
      </c>
      <c r="G40" s="81"/>
    </row>
    <row r="41" spans="2:10" ht="13.5" thickBot="1">
      <c r="B41" s="116" t="s">
        <v>37</v>
      </c>
      <c r="C41" s="117" t="s">
        <v>38</v>
      </c>
      <c r="D41" s="249">
        <v>12893729.619999999</v>
      </c>
      <c r="E41" s="165">
        <f>E26+E27+E40</f>
        <v>11235091.559999999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1456356.8501579999</v>
      </c>
      <c r="E47" s="80">
        <v>1233669.0815399999</v>
      </c>
      <c r="G47" s="77"/>
    </row>
    <row r="48" spans="2:10">
      <c r="B48" s="140" t="s">
        <v>6</v>
      </c>
      <c r="C48" s="23" t="s">
        <v>41</v>
      </c>
      <c r="D48" s="251">
        <v>1233669.0815399999</v>
      </c>
      <c r="E48" s="80">
        <v>1057685.5909559999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10.477771000000001</v>
      </c>
      <c r="E50" s="80">
        <v>10.45153</v>
      </c>
      <c r="G50" s="208"/>
    </row>
    <row r="51" spans="2:7">
      <c r="B51" s="119" t="s">
        <v>6</v>
      </c>
      <c r="C51" s="16" t="s">
        <v>220</v>
      </c>
      <c r="D51" s="250">
        <v>10.40508</v>
      </c>
      <c r="E51" s="82">
        <v>10.43587</v>
      </c>
      <c r="G51" s="208"/>
    </row>
    <row r="52" spans="2:7" ht="12.75" customHeight="1">
      <c r="B52" s="119" t="s">
        <v>8</v>
      </c>
      <c r="C52" s="16" t="s">
        <v>221</v>
      </c>
      <c r="D52" s="250">
        <v>10.673690000000001</v>
      </c>
      <c r="E52" s="82">
        <v>10.646229999999999</v>
      </c>
    </row>
    <row r="53" spans="2:7" ht="13.5" thickBot="1">
      <c r="B53" s="120" t="s">
        <v>9</v>
      </c>
      <c r="C53" s="18" t="s">
        <v>41</v>
      </c>
      <c r="D53" s="254">
        <v>10.45153</v>
      </c>
      <c r="E53" s="315">
        <v>10.622334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D64+D69</f>
        <v>11253811.300000001</v>
      </c>
      <c r="E58" s="33">
        <f>D58/E21</f>
        <v>1.0016661849082429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4" customHeight="1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v>11227615.710000001</v>
      </c>
      <c r="E64" s="91">
        <f>D64/E21</f>
        <v>0.99933459821310089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26195.59</v>
      </c>
      <c r="E69" s="89">
        <f>D69/E21</f>
        <v>2.3315866951421622E-3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104379.07</v>
      </c>
      <c r="E72" s="136">
        <f>D72/E21</f>
        <v>9.2904512119525613E-3</v>
      </c>
    </row>
    <row r="73" spans="2:5">
      <c r="B73" s="149" t="s">
        <v>62</v>
      </c>
      <c r="C73" s="25" t="s">
        <v>65</v>
      </c>
      <c r="D73" s="26">
        <f>E17</f>
        <v>123098.81</v>
      </c>
      <c r="E73" s="27">
        <f>D73/E21</f>
        <v>1.0956636120195535E-2</v>
      </c>
    </row>
    <row r="74" spans="2:5">
      <c r="B74" s="147" t="s">
        <v>64</v>
      </c>
      <c r="C74" s="138" t="s">
        <v>66</v>
      </c>
      <c r="D74" s="139">
        <f>D58+D72-D73</f>
        <v>11235091.560000001</v>
      </c>
      <c r="E74" s="70">
        <f>E58+E72-E73</f>
        <v>0.99999999999999989</v>
      </c>
    </row>
    <row r="75" spans="2:5">
      <c r="B75" s="119" t="s">
        <v>4</v>
      </c>
      <c r="C75" s="16" t="s">
        <v>67</v>
      </c>
      <c r="D75" s="88">
        <f>D74</f>
        <v>11235091.560000001</v>
      </c>
      <c r="E75" s="89">
        <f>E74</f>
        <v>0.99999999999999989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118110236220474" right="0.74803149606299213" top="0.51181102362204722" bottom="0.62992125984251968" header="0.51181102362204722" footer="0.51181102362204722"/>
  <pageSetup paperSize="9" scale="70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1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01"/>
      <c r="C4" s="101"/>
      <c r="D4" s="101"/>
      <c r="E4" s="10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74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12121338.550000001</v>
      </c>
      <c r="E11" s="9">
        <f>E12+E14+E13</f>
        <v>10999855.26</v>
      </c>
    </row>
    <row r="12" spans="2:12">
      <c r="B12" s="123" t="s">
        <v>4</v>
      </c>
      <c r="C12" s="6" t="s">
        <v>5</v>
      </c>
      <c r="D12" s="297">
        <v>12086027.360000001</v>
      </c>
      <c r="E12" s="95">
        <v>10999635.289999999</v>
      </c>
      <c r="G12" s="71"/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>
        <v>35311.19</v>
      </c>
      <c r="E14" s="95">
        <f>E15</f>
        <v>219.97</v>
      </c>
      <c r="G14" s="71"/>
    </row>
    <row r="15" spans="2:12">
      <c r="B15" s="123" t="s">
        <v>212</v>
      </c>
      <c r="C15" s="72" t="s">
        <v>11</v>
      </c>
      <c r="D15" s="297">
        <v>35311.19</v>
      </c>
      <c r="E15" s="95">
        <v>219.97</v>
      </c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>
        <v>20208.32</v>
      </c>
      <c r="E17" s="107">
        <f>E18</f>
        <v>18978.87</v>
      </c>
    </row>
    <row r="18" spans="2:11">
      <c r="B18" s="123" t="s">
        <v>4</v>
      </c>
      <c r="C18" s="6" t="s">
        <v>11</v>
      </c>
      <c r="D18" s="297">
        <v>20208.32</v>
      </c>
      <c r="E18" s="96">
        <v>18978.87</v>
      </c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12101130.23</v>
      </c>
      <c r="E21" s="165">
        <f>E11-E17</f>
        <v>10980876.390000001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02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15524632.48</v>
      </c>
      <c r="E26" s="112">
        <f>D21</f>
        <v>12101130.23</v>
      </c>
      <c r="G26" s="81"/>
    </row>
    <row r="27" spans="2:11">
      <c r="B27" s="10" t="s">
        <v>17</v>
      </c>
      <c r="C27" s="11" t="s">
        <v>217</v>
      </c>
      <c r="D27" s="245">
        <v>-3547022.39</v>
      </c>
      <c r="E27" s="269">
        <f>E28-E32</f>
        <v>-1697161.8199999998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141.91999999999999</v>
      </c>
      <c r="E28" s="284">
        <f>SUM(E29:E31)</f>
        <v>26126.080000000002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141.91999999999999</v>
      </c>
      <c r="E29" s="286"/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/>
      <c r="E31" s="286">
        <v>26126.080000000002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3547164.31</v>
      </c>
      <c r="E32" s="284">
        <f>SUM(E33:E39)</f>
        <v>1723287.9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3427175.05</v>
      </c>
      <c r="E33" s="286">
        <v>1623454.01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119442.11</v>
      </c>
      <c r="E35" s="286">
        <v>93629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/>
      <c r="E37" s="286"/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>
        <v>547.15</v>
      </c>
      <c r="E39" s="288">
        <v>6204.89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123520.14</v>
      </c>
      <c r="E40" s="115">
        <v>576907.98</v>
      </c>
      <c r="G40" s="81"/>
    </row>
    <row r="41" spans="2:10" ht="13.5" thickBot="1">
      <c r="B41" s="116" t="s">
        <v>37</v>
      </c>
      <c r="C41" s="117" t="s">
        <v>38</v>
      </c>
      <c r="D41" s="249">
        <v>12101130.23</v>
      </c>
      <c r="E41" s="165">
        <f>E26+E27+E40</f>
        <v>10980876.390000001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1690287.5121830001</v>
      </c>
      <c r="E47" s="80">
        <v>1301651.2243349999</v>
      </c>
      <c r="G47" s="77"/>
    </row>
    <row r="48" spans="2:10">
      <c r="B48" s="140" t="s">
        <v>6</v>
      </c>
      <c r="C48" s="23" t="s">
        <v>41</v>
      </c>
      <c r="D48" s="251">
        <v>1301651.2243349999</v>
      </c>
      <c r="E48" s="80">
        <v>1126274.9694330001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9.1846099999999993</v>
      </c>
      <c r="E50" s="80">
        <v>9.2967530000000007</v>
      </c>
      <c r="G50" s="208"/>
    </row>
    <row r="51" spans="2:7">
      <c r="B51" s="119" t="s">
        <v>6</v>
      </c>
      <c r="C51" s="16" t="s">
        <v>220</v>
      </c>
      <c r="D51" s="253">
        <v>9.0545899999999993</v>
      </c>
      <c r="E51" s="82">
        <v>9.1789830000000006</v>
      </c>
      <c r="G51" s="208"/>
    </row>
    <row r="52" spans="2:7" ht="12.75" customHeight="1">
      <c r="B52" s="119" t="s">
        <v>8</v>
      </c>
      <c r="C52" s="16" t="s">
        <v>221</v>
      </c>
      <c r="D52" s="253">
        <v>9.2977220000000003</v>
      </c>
      <c r="E52" s="82">
        <v>9.849926</v>
      </c>
    </row>
    <row r="53" spans="2:7" ht="13.5" thickBot="1">
      <c r="B53" s="120" t="s">
        <v>9</v>
      </c>
      <c r="C53" s="18" t="s">
        <v>41</v>
      </c>
      <c r="D53" s="254">
        <v>9.2967530000000007</v>
      </c>
      <c r="E53" s="167">
        <v>9.7497290000000003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D64+D69</f>
        <v>10999635.289999999</v>
      </c>
      <c r="E58" s="33">
        <f>D58/E21</f>
        <v>1.0017083244846543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4" customHeight="1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v>10979549.689999999</v>
      </c>
      <c r="E64" s="91">
        <f>D64/E21</f>
        <v>0.99987918086381433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20085.599999999999</v>
      </c>
      <c r="E69" s="89">
        <f>D69/E21</f>
        <v>1.8291436208399026E-3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f>E13</f>
        <v>0</v>
      </c>
      <c r="E71" s="70">
        <f>D71/E21</f>
        <v>0</v>
      </c>
    </row>
    <row r="72" spans="2:5">
      <c r="B72" s="148" t="s">
        <v>60</v>
      </c>
      <c r="C72" s="134" t="s">
        <v>63</v>
      </c>
      <c r="D72" s="135">
        <f>E14</f>
        <v>219.97</v>
      </c>
      <c r="E72" s="136">
        <f>D72/E21</f>
        <v>2.0032098731237972E-5</v>
      </c>
    </row>
    <row r="73" spans="2:5">
      <c r="B73" s="149" t="s">
        <v>62</v>
      </c>
      <c r="C73" s="25" t="s">
        <v>65</v>
      </c>
      <c r="D73" s="26">
        <f>E17</f>
        <v>18978.87</v>
      </c>
      <c r="E73" s="27">
        <f>D73/E21</f>
        <v>1.7283565833855997E-3</v>
      </c>
    </row>
    <row r="74" spans="2:5">
      <c r="B74" s="147" t="s">
        <v>64</v>
      </c>
      <c r="C74" s="138" t="s">
        <v>66</v>
      </c>
      <c r="D74" s="139">
        <f>D58+D72-D73+D71</f>
        <v>10980876.390000001</v>
      </c>
      <c r="E74" s="70">
        <f>E58+E71+E72-E73</f>
        <v>0.99999999999999989</v>
      </c>
    </row>
    <row r="75" spans="2:5">
      <c r="B75" s="119" t="s">
        <v>4</v>
      </c>
      <c r="C75" s="16" t="s">
        <v>67</v>
      </c>
      <c r="D75" s="88">
        <f>D74</f>
        <v>10980876.390000001</v>
      </c>
      <c r="E75" s="89">
        <f>E74</f>
        <v>0.99999999999999989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  <rowBreaks count="1" manualBreakCount="1">
    <brk id="74" max="16383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2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01"/>
      <c r="C4" s="101"/>
      <c r="D4" s="101"/>
      <c r="E4" s="10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171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6831000.0899999999</v>
      </c>
      <c r="E11" s="9">
        <f>E12</f>
        <v>0</v>
      </c>
    </row>
    <row r="12" spans="2:12">
      <c r="B12" s="123" t="s">
        <v>4</v>
      </c>
      <c r="C12" s="6" t="s">
        <v>5</v>
      </c>
      <c r="D12" s="297">
        <v>6831000.0899999999</v>
      </c>
      <c r="E12" s="95">
        <v>0</v>
      </c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/>
      <c r="E14" s="95"/>
      <c r="G14" s="71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123" t="s">
        <v>4</v>
      </c>
      <c r="C18" s="6" t="s">
        <v>11</v>
      </c>
      <c r="D18" s="297"/>
      <c r="E18" s="96"/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v>6831000.0899999999</v>
      </c>
      <c r="E21" s="165">
        <f>E11</f>
        <v>0</v>
      </c>
      <c r="F21" s="86"/>
      <c r="G21" s="86"/>
      <c r="H21" s="188"/>
      <c r="I21" s="71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02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6612171.4900000002</v>
      </c>
      <c r="E26" s="112">
        <f>D21</f>
        <v>6831000.0899999999</v>
      </c>
      <c r="G26" s="81"/>
    </row>
    <row r="27" spans="2:11">
      <c r="B27" s="10" t="s">
        <v>17</v>
      </c>
      <c r="C27" s="11" t="s">
        <v>217</v>
      </c>
      <c r="D27" s="245">
        <v>-52545.4</v>
      </c>
      <c r="E27" s="269">
        <f>E28-E32</f>
        <v>-6487992.5599999996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/>
      <c r="E28" s="284">
        <f>SUM(E29:E31)</f>
        <v>0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52545.4</v>
      </c>
      <c r="E32" s="284">
        <f>SUM(E33:E39)</f>
        <v>6487992.5599999996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52545.4</v>
      </c>
      <c r="E33" s="286">
        <v>6487992.5599999996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/>
      <c r="E35" s="286"/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/>
      <c r="E37" s="286"/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271374</v>
      </c>
      <c r="E40" s="115">
        <v>-343007.53</v>
      </c>
      <c r="G40" s="81"/>
    </row>
    <row r="41" spans="2:10" ht="13.5" thickBot="1">
      <c r="B41" s="116" t="s">
        <v>37</v>
      </c>
      <c r="C41" s="117" t="s">
        <v>38</v>
      </c>
      <c r="D41" s="249">
        <v>6831000.0899999999</v>
      </c>
      <c r="E41" s="165">
        <f>E26+E27+E40</f>
        <v>0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191"/>
      <c r="E47" s="193"/>
      <c r="G47" s="77"/>
    </row>
    <row r="48" spans="2:10">
      <c r="B48" s="140" t="s">
        <v>6</v>
      </c>
      <c r="C48" s="23" t="s">
        <v>41</v>
      </c>
      <c r="D48" s="192"/>
      <c r="E48" s="84"/>
      <c r="G48" s="77"/>
    </row>
    <row r="49" spans="2:7">
      <c r="B49" s="137" t="s">
        <v>23</v>
      </c>
      <c r="C49" s="141" t="s">
        <v>219</v>
      </c>
      <c r="D49" s="194"/>
      <c r="E49" s="142"/>
    </row>
    <row r="50" spans="2:7">
      <c r="B50" s="119" t="s">
        <v>4</v>
      </c>
      <c r="C50" s="16" t="s">
        <v>40</v>
      </c>
      <c r="D50" s="191"/>
      <c r="E50" s="238"/>
      <c r="G50" s="208"/>
    </row>
    <row r="51" spans="2:7">
      <c r="B51" s="119" t="s">
        <v>6</v>
      </c>
      <c r="C51" s="16" t="s">
        <v>220</v>
      </c>
      <c r="D51" s="191"/>
      <c r="E51" s="82"/>
      <c r="G51" s="208"/>
    </row>
    <row r="52" spans="2:7">
      <c r="B52" s="119" t="s">
        <v>8</v>
      </c>
      <c r="C52" s="16" t="s">
        <v>221</v>
      </c>
      <c r="D52" s="191"/>
      <c r="E52" s="82"/>
    </row>
    <row r="53" spans="2:7" ht="14.25" customHeight="1" thickBot="1">
      <c r="B53" s="120" t="s">
        <v>9</v>
      </c>
      <c r="C53" s="18" t="s">
        <v>41</v>
      </c>
      <c r="D53" s="195"/>
      <c r="E53" s="83"/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0</v>
      </c>
      <c r="E58" s="33">
        <v>0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0</v>
      </c>
      <c r="E64" s="91">
        <v>0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0</v>
      </c>
      <c r="E74" s="70">
        <f>E58+E72-E73</f>
        <v>0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0</v>
      </c>
      <c r="E76" s="89">
        <f>E74</f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4" right="0.75" top="0.61" bottom="0.37" header="0.5" footer="0.5"/>
  <pageSetup paperSize="9" scale="70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3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01"/>
      <c r="C4" s="101"/>
      <c r="D4" s="101"/>
      <c r="E4" s="10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107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15531.71</v>
      </c>
      <c r="E11" s="316">
        <f>E12</f>
        <v>19683.14</v>
      </c>
    </row>
    <row r="12" spans="2:12">
      <c r="B12" s="123" t="s">
        <v>4</v>
      </c>
      <c r="C12" s="6" t="s">
        <v>5</v>
      </c>
      <c r="D12" s="297">
        <v>15531.71</v>
      </c>
      <c r="E12" s="270">
        <v>19683.14</v>
      </c>
    </row>
    <row r="13" spans="2:12">
      <c r="B13" s="123" t="s">
        <v>6</v>
      </c>
      <c r="C13" s="72" t="s">
        <v>7</v>
      </c>
      <c r="D13" s="297"/>
      <c r="E13" s="270"/>
    </row>
    <row r="14" spans="2:12">
      <c r="B14" s="123" t="s">
        <v>8</v>
      </c>
      <c r="C14" s="72" t="s">
        <v>10</v>
      </c>
      <c r="D14" s="297"/>
      <c r="E14" s="270"/>
      <c r="G14" s="71"/>
    </row>
    <row r="15" spans="2:12">
      <c r="B15" s="123" t="s">
        <v>212</v>
      </c>
      <c r="C15" s="72" t="s">
        <v>11</v>
      </c>
      <c r="D15" s="297"/>
      <c r="E15" s="270"/>
    </row>
    <row r="16" spans="2:12">
      <c r="B16" s="124" t="s">
        <v>213</v>
      </c>
      <c r="C16" s="105" t="s">
        <v>12</v>
      </c>
      <c r="D16" s="298"/>
      <c r="E16" s="288"/>
    </row>
    <row r="17" spans="2:11">
      <c r="B17" s="10" t="s">
        <v>13</v>
      </c>
      <c r="C17" s="12" t="s">
        <v>65</v>
      </c>
      <c r="D17" s="299"/>
      <c r="E17" s="269"/>
    </row>
    <row r="18" spans="2:11">
      <c r="B18" s="123" t="s">
        <v>4</v>
      </c>
      <c r="C18" s="6" t="s">
        <v>11</v>
      </c>
      <c r="D18" s="297"/>
      <c r="E18" s="288"/>
    </row>
    <row r="19" spans="2:11" ht="15" customHeight="1">
      <c r="B19" s="123" t="s">
        <v>6</v>
      </c>
      <c r="C19" s="72" t="s">
        <v>214</v>
      </c>
      <c r="D19" s="297"/>
      <c r="E19" s="270"/>
    </row>
    <row r="20" spans="2:11" ht="13.5" thickBot="1">
      <c r="B20" s="125" t="s">
        <v>8</v>
      </c>
      <c r="C20" s="73" t="s">
        <v>14</v>
      </c>
      <c r="D20" s="296"/>
      <c r="E20" s="317"/>
    </row>
    <row r="21" spans="2:11" ht="13.5" thickBot="1">
      <c r="B21" s="342" t="s">
        <v>216</v>
      </c>
      <c r="C21" s="343"/>
      <c r="D21" s="87">
        <f>D11-D17</f>
        <v>15531.71</v>
      </c>
      <c r="E21" s="258">
        <f>E11</f>
        <v>19683.14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02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4825.6400000000003</v>
      </c>
      <c r="E26" s="112">
        <f>D21</f>
        <v>15531.71</v>
      </c>
      <c r="G26" s="81"/>
      <c r="H26" s="98"/>
    </row>
    <row r="27" spans="2:11">
      <c r="B27" s="10" t="s">
        <v>17</v>
      </c>
      <c r="C27" s="11" t="s">
        <v>217</v>
      </c>
      <c r="D27" s="245">
        <v>12056.670000000006</v>
      </c>
      <c r="E27" s="269">
        <f>E28-E32</f>
        <v>2376.8399999999992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64355.200000000004</v>
      </c>
      <c r="E28" s="284">
        <f>SUM(E29:E31)</f>
        <v>6548.49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240.01</v>
      </c>
      <c r="E29" s="286">
        <v>199.99</v>
      </c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>
        <v>64115.19</v>
      </c>
      <c r="E31" s="286">
        <v>6348.5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52298.53</v>
      </c>
      <c r="E32" s="284">
        <f>SUM(E33:E39)</f>
        <v>4171.6500000000005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/>
      <c r="E33" s="286"/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34.119999999999997</v>
      </c>
      <c r="E35" s="286">
        <v>23.99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>
        <v>298.74</v>
      </c>
      <c r="E37" s="286">
        <v>287.05</v>
      </c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>
        <v>51965.67</v>
      </c>
      <c r="E39" s="288">
        <v>3860.61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-1350.6</v>
      </c>
      <c r="E40" s="115">
        <v>1774.59</v>
      </c>
      <c r="G40" s="81"/>
    </row>
    <row r="41" spans="2:10" ht="13.5" thickBot="1">
      <c r="B41" s="116" t="s">
        <v>37</v>
      </c>
      <c r="C41" s="117" t="s">
        <v>38</v>
      </c>
      <c r="D41" s="249">
        <v>15531.710000000005</v>
      </c>
      <c r="E41" s="165">
        <f>E26+E27+E40</f>
        <v>19683.14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36.862299999999998</v>
      </c>
      <c r="E47" s="82">
        <v>112.1585</v>
      </c>
      <c r="G47" s="77"/>
    </row>
    <row r="48" spans="2:10">
      <c r="B48" s="140" t="s">
        <v>6</v>
      </c>
      <c r="C48" s="23" t="s">
        <v>41</v>
      </c>
      <c r="D48" s="251">
        <v>112.1585</v>
      </c>
      <c r="E48" s="207">
        <v>127.97880000000001</v>
      </c>
      <c r="G48" s="77"/>
    </row>
    <row r="49" spans="2:7">
      <c r="B49" s="137" t="s">
        <v>23</v>
      </c>
      <c r="C49" s="141" t="s">
        <v>219</v>
      </c>
      <c r="D49" s="252"/>
      <c r="E49" s="82"/>
    </row>
    <row r="50" spans="2:7">
      <c r="B50" s="119" t="s">
        <v>4</v>
      </c>
      <c r="C50" s="16" t="s">
        <v>40</v>
      </c>
      <c r="D50" s="250">
        <v>130.91</v>
      </c>
      <c r="E50" s="82">
        <v>138.47999999999999</v>
      </c>
      <c r="G50" s="208"/>
    </row>
    <row r="51" spans="2:7">
      <c r="B51" s="119" t="s">
        <v>6</v>
      </c>
      <c r="C51" s="16" t="s">
        <v>220</v>
      </c>
      <c r="D51" s="253">
        <v>119.24</v>
      </c>
      <c r="E51" s="82">
        <v>138.47999999999999</v>
      </c>
      <c r="G51" s="208"/>
    </row>
    <row r="52" spans="2:7">
      <c r="B52" s="119" t="s">
        <v>8</v>
      </c>
      <c r="C52" s="16" t="s">
        <v>221</v>
      </c>
      <c r="D52" s="253">
        <v>138.47999999999999</v>
      </c>
      <c r="E52" s="82">
        <v>159.38999999999999</v>
      </c>
    </row>
    <row r="53" spans="2:7" ht="12.75" customHeight="1" thickBot="1">
      <c r="B53" s="120" t="s">
        <v>9</v>
      </c>
      <c r="C53" s="18" t="s">
        <v>41</v>
      </c>
      <c r="D53" s="254">
        <v>138.47999999999999</v>
      </c>
      <c r="E53" s="280">
        <v>153.80000000000001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8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19683.14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19683.14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19683.14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19683.14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000000000000005" right="0.75" top="0.56999999999999995" bottom="0.45" header="0.5" footer="0.5"/>
  <pageSetup paperSize="9" scale="70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4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01"/>
      <c r="C4" s="101"/>
      <c r="D4" s="101"/>
      <c r="E4" s="10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112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453568.3</v>
      </c>
      <c r="E11" s="9">
        <f>E12</f>
        <v>413343.65</v>
      </c>
    </row>
    <row r="12" spans="2:12">
      <c r="B12" s="209" t="s">
        <v>4</v>
      </c>
      <c r="C12" s="210" t="s">
        <v>5</v>
      </c>
      <c r="D12" s="297">
        <v>453568.3</v>
      </c>
      <c r="E12" s="95">
        <v>413343.65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453568.3</v>
      </c>
      <c r="E21" s="165">
        <f>E11</f>
        <v>413343.65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55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501347.69</v>
      </c>
      <c r="E26" s="112">
        <f>D21</f>
        <v>453568.3</v>
      </c>
      <c r="G26" s="81"/>
    </row>
    <row r="27" spans="2:11">
      <c r="B27" s="10" t="s">
        <v>17</v>
      </c>
      <c r="C27" s="11" t="s">
        <v>217</v>
      </c>
      <c r="D27" s="245">
        <v>-53364.19</v>
      </c>
      <c r="E27" s="269">
        <f>E28-E32</f>
        <v>-63047.06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7658.53</v>
      </c>
      <c r="E28" s="284">
        <f>SUM(E29:E31)</f>
        <v>8209.83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7658.53</v>
      </c>
      <c r="E29" s="286">
        <v>8209.83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61022.720000000001</v>
      </c>
      <c r="E32" s="284">
        <f>SUM(E33:E39)</f>
        <v>71256.89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28128.83</v>
      </c>
      <c r="E33" s="286">
        <v>62475.69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569.16999999999996</v>
      </c>
      <c r="E35" s="286">
        <v>425.15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8832.15</v>
      </c>
      <c r="E37" s="286">
        <v>8356.0499999999993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23492.57</v>
      </c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5584.8</v>
      </c>
      <c r="E40" s="115">
        <v>22822.41</v>
      </c>
      <c r="G40" s="81"/>
    </row>
    <row r="41" spans="2:10" ht="13.5" thickBot="1">
      <c r="B41" s="116" t="s">
        <v>37</v>
      </c>
      <c r="C41" s="117" t="s">
        <v>38</v>
      </c>
      <c r="D41" s="249">
        <v>453568.3</v>
      </c>
      <c r="E41" s="165">
        <f>E26+E27+E40</f>
        <v>413343.64999999997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4064.4319999999998</v>
      </c>
      <c r="E47" s="82">
        <v>3629.4175</v>
      </c>
      <c r="G47" s="77"/>
    </row>
    <row r="48" spans="2:10">
      <c r="B48" s="140" t="s">
        <v>6</v>
      </c>
      <c r="C48" s="23" t="s">
        <v>41</v>
      </c>
      <c r="D48" s="251">
        <v>3629.4175</v>
      </c>
      <c r="E48" s="82">
        <v>3149.7649000000001</v>
      </c>
      <c r="G48" s="77"/>
    </row>
    <row r="49" spans="2:7">
      <c r="B49" s="137" t="s">
        <v>23</v>
      </c>
      <c r="C49" s="141" t="s">
        <v>219</v>
      </c>
      <c r="D49" s="252"/>
      <c r="E49" s="82"/>
    </row>
    <row r="50" spans="2:7">
      <c r="B50" s="119" t="s">
        <v>4</v>
      </c>
      <c r="C50" s="16" t="s">
        <v>40</v>
      </c>
      <c r="D50" s="250">
        <v>123.35</v>
      </c>
      <c r="E50" s="82">
        <v>124.97</v>
      </c>
      <c r="G50" s="208"/>
    </row>
    <row r="51" spans="2:7">
      <c r="B51" s="119" t="s">
        <v>6</v>
      </c>
      <c r="C51" s="16" t="s">
        <v>220</v>
      </c>
      <c r="D51" s="253">
        <v>119.04</v>
      </c>
      <c r="E51" s="82">
        <v>124.97</v>
      </c>
      <c r="G51" s="208"/>
    </row>
    <row r="52" spans="2:7">
      <c r="B52" s="119" t="s">
        <v>8</v>
      </c>
      <c r="C52" s="16" t="s">
        <v>221</v>
      </c>
      <c r="D52" s="253">
        <v>125.46000000000001</v>
      </c>
      <c r="E52" s="82">
        <v>132.41</v>
      </c>
    </row>
    <row r="53" spans="2:7" ht="13.5" customHeight="1" thickBot="1">
      <c r="B53" s="120" t="s">
        <v>9</v>
      </c>
      <c r="C53" s="18" t="s">
        <v>41</v>
      </c>
      <c r="D53" s="254">
        <v>124.97</v>
      </c>
      <c r="E53" s="280">
        <v>131.22999999999999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413343.65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413343.65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413343.65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413343.65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692913385826772" right="0.74803149606299213" top="0.55118110236220474" bottom="0.39370078740157483" header="0.51181102362204722" footer="0.51181102362204722"/>
  <pageSetup paperSize="9" scale="70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5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01"/>
      <c r="C4" s="101"/>
      <c r="D4" s="101"/>
      <c r="E4" s="10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110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6583875.2999999998</v>
      </c>
      <c r="E11" s="9">
        <f>E12</f>
        <v>5593319.8600000003</v>
      </c>
    </row>
    <row r="12" spans="2:12">
      <c r="B12" s="123" t="s">
        <v>4</v>
      </c>
      <c r="C12" s="6" t="s">
        <v>5</v>
      </c>
      <c r="D12" s="297">
        <v>6583875.2999999998</v>
      </c>
      <c r="E12" s="95">
        <v>5593319.8600000003</v>
      </c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/>
      <c r="E14" s="95"/>
      <c r="G14" s="71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123" t="s">
        <v>4</v>
      </c>
      <c r="C18" s="6" t="s">
        <v>11</v>
      </c>
      <c r="D18" s="297"/>
      <c r="E18" s="96"/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6583875.2999999998</v>
      </c>
      <c r="E21" s="165">
        <f>E11</f>
        <v>5593319.8600000003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02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9871118.3200000003</v>
      </c>
      <c r="E26" s="112">
        <f>D21</f>
        <v>6583875.2999999998</v>
      </c>
      <c r="G26" s="81"/>
    </row>
    <row r="27" spans="2:11">
      <c r="B27" s="10" t="s">
        <v>17</v>
      </c>
      <c r="C27" s="11" t="s">
        <v>217</v>
      </c>
      <c r="D27" s="245">
        <v>-3490726.14</v>
      </c>
      <c r="E27" s="269">
        <f>E28-E32</f>
        <v>-1159039.6499999999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1935159.69</v>
      </c>
      <c r="E28" s="284">
        <f>SUM(E29:E31)</f>
        <v>1762574.52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204982.21</v>
      </c>
      <c r="E29" s="286">
        <v>24569.69</v>
      </c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>
        <v>1730177.48</v>
      </c>
      <c r="E31" s="286">
        <v>1738004.83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5425885.8300000001</v>
      </c>
      <c r="E32" s="284">
        <f>SUM(E33:E39)</f>
        <v>2921614.17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625738.37</v>
      </c>
      <c r="E33" s="286">
        <v>1742763.46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8039.35</v>
      </c>
      <c r="E35" s="286">
        <v>6130.3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>
        <v>115366.63</v>
      </c>
      <c r="E37" s="286">
        <v>106581.83</v>
      </c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>
        <v>4676741.4800000004</v>
      </c>
      <c r="E39" s="288">
        <v>1066138.58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203483.12</v>
      </c>
      <c r="E40" s="115">
        <v>168484.21</v>
      </c>
      <c r="G40" s="81"/>
    </row>
    <row r="41" spans="2:10" ht="13.5" thickBot="1">
      <c r="B41" s="116" t="s">
        <v>37</v>
      </c>
      <c r="C41" s="117" t="s">
        <v>38</v>
      </c>
      <c r="D41" s="249">
        <v>6583875.2999999998</v>
      </c>
      <c r="E41" s="165">
        <f>E26+E27+E40</f>
        <v>5593319.8600000003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62203.783000000003</v>
      </c>
      <c r="E47" s="166">
        <v>39962.8243</v>
      </c>
      <c r="G47" s="77"/>
    </row>
    <row r="48" spans="2:10">
      <c r="B48" s="140" t="s">
        <v>6</v>
      </c>
      <c r="C48" s="23" t="s">
        <v>41</v>
      </c>
      <c r="D48" s="251">
        <v>39962.8243</v>
      </c>
      <c r="E48" s="166">
        <v>33071.127899999999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119" t="s">
        <v>4</v>
      </c>
      <c r="C50" s="16" t="s">
        <v>40</v>
      </c>
      <c r="D50" s="250">
        <v>158.69</v>
      </c>
      <c r="E50" s="166">
        <v>164.75</v>
      </c>
      <c r="G50" s="208"/>
    </row>
    <row r="51" spans="2:7">
      <c r="B51" s="119" t="s">
        <v>6</v>
      </c>
      <c r="C51" s="16" t="s">
        <v>220</v>
      </c>
      <c r="D51" s="253">
        <v>157.13</v>
      </c>
      <c r="E51" s="82">
        <v>164.75</v>
      </c>
      <c r="G51" s="208"/>
    </row>
    <row r="52" spans="2:7">
      <c r="B52" s="119" t="s">
        <v>8</v>
      </c>
      <c r="C52" s="16" t="s">
        <v>221</v>
      </c>
      <c r="D52" s="253">
        <v>164.75</v>
      </c>
      <c r="E52" s="82">
        <v>169.17</v>
      </c>
    </row>
    <row r="53" spans="2:7" ht="13.5" customHeight="1" thickBot="1">
      <c r="B53" s="120" t="s">
        <v>9</v>
      </c>
      <c r="C53" s="18" t="s">
        <v>41</v>
      </c>
      <c r="D53" s="254">
        <v>164.75</v>
      </c>
      <c r="E53" s="280">
        <v>169.13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5593319.8600000003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5593319.8600000003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5593319.8600000003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5593319.8600000003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2" right="0.75" top="0.6" bottom="0.56000000000000005" header="0.5" footer="0.5"/>
  <pageSetup paperSize="9" scale="70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6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01"/>
      <c r="C4" s="101"/>
      <c r="D4" s="101"/>
      <c r="E4" s="101"/>
    </row>
    <row r="5" spans="2:12" ht="21" customHeight="1">
      <c r="B5" s="333" t="s">
        <v>1</v>
      </c>
      <c r="C5" s="333"/>
      <c r="D5" s="333"/>
      <c r="E5" s="333"/>
    </row>
    <row r="6" spans="2:12" ht="14.25" customHeight="1">
      <c r="B6" s="334" t="s">
        <v>108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 customHeight="1">
      <c r="B8" s="336" t="s">
        <v>18</v>
      </c>
      <c r="C8" s="336"/>
      <c r="D8" s="336"/>
      <c r="E8" s="336"/>
    </row>
    <row r="9" spans="2:12" ht="16.5" customHeight="1" thickBot="1">
      <c r="B9" s="335" t="s">
        <v>209</v>
      </c>
      <c r="C9" s="335"/>
      <c r="D9" s="335"/>
      <c r="E9" s="335"/>
    </row>
    <row r="10" spans="2:12" ht="13.5" thickBot="1">
      <c r="B10" s="10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365306.71</v>
      </c>
      <c r="E11" s="9">
        <f>E12</f>
        <v>326574.09000000003</v>
      </c>
    </row>
    <row r="12" spans="2:12">
      <c r="B12" s="209" t="s">
        <v>4</v>
      </c>
      <c r="C12" s="210" t="s">
        <v>5</v>
      </c>
      <c r="D12" s="297">
        <v>365306.71</v>
      </c>
      <c r="E12" s="95">
        <v>326574.09000000003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customHeight="1" thickBot="1">
      <c r="B21" s="340" t="s">
        <v>216</v>
      </c>
      <c r="C21" s="341"/>
      <c r="D21" s="87">
        <f>D11-D17</f>
        <v>365306.71</v>
      </c>
      <c r="E21" s="165">
        <f>E11</f>
        <v>326574.09000000003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 customHeight="1">
      <c r="B23" s="336" t="s">
        <v>210</v>
      </c>
      <c r="C23" s="336"/>
      <c r="D23" s="336"/>
      <c r="E23" s="336"/>
      <c r="G23" s="77"/>
    </row>
    <row r="24" spans="2:11" ht="15.75" customHeight="1" thickBot="1">
      <c r="B24" s="335" t="s">
        <v>211</v>
      </c>
      <c r="C24" s="335"/>
      <c r="D24" s="335"/>
      <c r="E24" s="335"/>
    </row>
    <row r="25" spans="2:11" ht="13.5" thickBot="1">
      <c r="B25" s="255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563116.12</v>
      </c>
      <c r="E26" s="112">
        <f>D21</f>
        <v>365306.71</v>
      </c>
      <c r="G26" s="81"/>
    </row>
    <row r="27" spans="2:11">
      <c r="B27" s="10" t="s">
        <v>17</v>
      </c>
      <c r="C27" s="11" t="s">
        <v>217</v>
      </c>
      <c r="D27" s="245">
        <v>-194125.61000000004</v>
      </c>
      <c r="E27" s="269">
        <f>E28-E32</f>
        <v>-42612.679999999993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2857.21</v>
      </c>
      <c r="E28" s="284">
        <f>SUM(E29:E31)</f>
        <v>3017.39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2857.21</v>
      </c>
      <c r="E29" s="286">
        <v>3017.39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196982.82000000004</v>
      </c>
      <c r="E32" s="284">
        <f>SUM(E33:E39)</f>
        <v>45630.069999999992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164982.51</v>
      </c>
      <c r="E33" s="286">
        <v>38536.879999999997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689.66</v>
      </c>
      <c r="E35" s="286">
        <v>547.84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7599.17</v>
      </c>
      <c r="E37" s="286">
        <v>6545.35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23711.48</v>
      </c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-3683.8</v>
      </c>
      <c r="E40" s="115">
        <v>3880.06</v>
      </c>
      <c r="G40" s="81"/>
    </row>
    <row r="41" spans="2:10" ht="13.5" thickBot="1">
      <c r="B41" s="116" t="s">
        <v>37</v>
      </c>
      <c r="C41" s="117" t="s">
        <v>38</v>
      </c>
      <c r="D41" s="249">
        <v>365306.70999999996</v>
      </c>
      <c r="E41" s="165">
        <f>E26+E27+E40</f>
        <v>326574.09000000003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 customHeight="1">
      <c r="B43" s="337" t="s">
        <v>60</v>
      </c>
      <c r="C43" s="337"/>
      <c r="D43" s="337"/>
      <c r="E43" s="337"/>
      <c r="G43" s="77"/>
    </row>
    <row r="44" spans="2:10" ht="18" customHeight="1" thickBot="1">
      <c r="B44" s="335" t="s">
        <v>243</v>
      </c>
      <c r="C44" s="335"/>
      <c r="D44" s="335"/>
      <c r="E44" s="335"/>
      <c r="G44" s="77"/>
    </row>
    <row r="45" spans="2:10" ht="13.5" thickBot="1">
      <c r="B45" s="10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5409.3768</v>
      </c>
      <c r="E47" s="82">
        <v>3518.6545000000001</v>
      </c>
      <c r="G47" s="77"/>
    </row>
    <row r="48" spans="2:10">
      <c r="B48" s="140" t="s">
        <v>6</v>
      </c>
      <c r="C48" s="23" t="s">
        <v>41</v>
      </c>
      <c r="D48" s="251">
        <v>3518.6545000000001</v>
      </c>
      <c r="E48" s="82">
        <v>3113.1943999999999</v>
      </c>
      <c r="G48" s="77"/>
    </row>
    <row r="49" spans="2:7">
      <c r="B49" s="137" t="s">
        <v>23</v>
      </c>
      <c r="C49" s="141" t="s">
        <v>219</v>
      </c>
      <c r="D49" s="252"/>
      <c r="E49" s="82"/>
    </row>
    <row r="50" spans="2:7">
      <c r="B50" s="119" t="s">
        <v>4</v>
      </c>
      <c r="C50" s="16" t="s">
        <v>40</v>
      </c>
      <c r="D50" s="250">
        <v>104.1</v>
      </c>
      <c r="E50" s="82">
        <v>103.82</v>
      </c>
      <c r="G50" s="208"/>
    </row>
    <row r="51" spans="2:7">
      <c r="B51" s="119" t="s">
        <v>6</v>
      </c>
      <c r="C51" s="16" t="s">
        <v>220</v>
      </c>
      <c r="D51" s="253">
        <v>98.84</v>
      </c>
      <c r="E51" s="82">
        <v>102.44</v>
      </c>
      <c r="G51" s="208"/>
    </row>
    <row r="52" spans="2:7">
      <c r="B52" s="119" t="s">
        <v>8</v>
      </c>
      <c r="C52" s="16" t="s">
        <v>221</v>
      </c>
      <c r="D52" s="253">
        <v>104.63</v>
      </c>
      <c r="E52" s="82">
        <v>107.56</v>
      </c>
    </row>
    <row r="53" spans="2:7" ht="12.75" customHeight="1" thickBot="1">
      <c r="B53" s="120" t="s">
        <v>9</v>
      </c>
      <c r="C53" s="18" t="s">
        <v>41</v>
      </c>
      <c r="D53" s="254">
        <v>103.82</v>
      </c>
      <c r="E53" s="280">
        <v>104.9</v>
      </c>
    </row>
    <row r="54" spans="2:7">
      <c r="B54" s="126"/>
      <c r="C54" s="127"/>
      <c r="D54" s="128"/>
      <c r="E54" s="128"/>
    </row>
    <row r="55" spans="2:7" ht="13.5" customHeight="1">
      <c r="B55" s="337" t="s">
        <v>62</v>
      </c>
      <c r="C55" s="337"/>
      <c r="D55" s="337"/>
      <c r="E55" s="337"/>
    </row>
    <row r="56" spans="2:7" ht="14.25" customHeight="1" thickBot="1">
      <c r="B56" s="335" t="s">
        <v>222</v>
      </c>
      <c r="C56" s="335"/>
      <c r="D56" s="335"/>
      <c r="E56" s="335"/>
    </row>
    <row r="57" spans="2:7" ht="23.25" customHeight="1" thickBot="1">
      <c r="B57" s="350" t="s">
        <v>42</v>
      </c>
      <c r="C57" s="35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326574.09000000003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326574.09000000003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326574.09000000003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326574.09000000003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999999999999995" right="0.75" top="0.62" bottom="0.5" header="0.5" footer="0.5"/>
  <pageSetup paperSize="9" scale="70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7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21.140625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01"/>
      <c r="C4" s="101"/>
      <c r="D4" s="101"/>
      <c r="E4" s="10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109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2177830.7000000002</v>
      </c>
      <c r="E11" s="9">
        <f>E12</f>
        <v>784800.99</v>
      </c>
    </row>
    <row r="12" spans="2:12">
      <c r="B12" s="123" t="s">
        <v>4</v>
      </c>
      <c r="C12" s="6" t="s">
        <v>5</v>
      </c>
      <c r="D12" s="297">
        <v>2177830.7000000002</v>
      </c>
      <c r="E12" s="95">
        <v>784800.99</v>
      </c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/>
      <c r="E14" s="95"/>
      <c r="G14" s="71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123" t="s">
        <v>4</v>
      </c>
      <c r="C18" s="6" t="s">
        <v>11</v>
      </c>
      <c r="D18" s="297"/>
      <c r="E18" s="96"/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2177830.7000000002</v>
      </c>
      <c r="E21" s="165">
        <f>E11</f>
        <v>784800.99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02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2786389.56</v>
      </c>
      <c r="E26" s="112">
        <f>D21</f>
        <v>2177830.7000000002</v>
      </c>
      <c r="G26" s="81"/>
    </row>
    <row r="27" spans="2:11">
      <c r="B27" s="10" t="s">
        <v>17</v>
      </c>
      <c r="C27" s="11" t="s">
        <v>217</v>
      </c>
      <c r="D27" s="245">
        <v>-756951.69000000018</v>
      </c>
      <c r="E27" s="269">
        <f>E28-E32</f>
        <v>-1572689.77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317821.43</v>
      </c>
      <c r="E28" s="284">
        <f>SUM(E29:E31)</f>
        <v>696672.27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10583.24</v>
      </c>
      <c r="E29" s="286">
        <v>11678.25</v>
      </c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>
        <v>307238.19</v>
      </c>
      <c r="E31" s="286">
        <v>684994.02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1074773.1200000001</v>
      </c>
      <c r="E32" s="284">
        <f>SUM(E33:E39)</f>
        <v>2269362.04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117789.51</v>
      </c>
      <c r="E33" s="286">
        <v>458460.02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1852.35</v>
      </c>
      <c r="E35" s="286">
        <v>428.03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>
        <v>36869.96</v>
      </c>
      <c r="E37" s="286">
        <v>23149.49</v>
      </c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>
        <v>918261.3</v>
      </c>
      <c r="E39" s="288">
        <v>1787324.5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148392.82999999999</v>
      </c>
      <c r="E40" s="115">
        <v>179660.06</v>
      </c>
      <c r="G40" s="81"/>
    </row>
    <row r="41" spans="2:10" ht="13.5" thickBot="1">
      <c r="B41" s="116" t="s">
        <v>37</v>
      </c>
      <c r="C41" s="117" t="s">
        <v>38</v>
      </c>
      <c r="D41" s="249">
        <v>2177830.6999999997</v>
      </c>
      <c r="E41" s="165">
        <f>E26+E27+E40</f>
        <v>784800.99000000022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23330.734</v>
      </c>
      <c r="E47" s="166">
        <v>16681.9663</v>
      </c>
      <c r="G47" s="77"/>
    </row>
    <row r="48" spans="2:10">
      <c r="B48" s="140" t="s">
        <v>6</v>
      </c>
      <c r="C48" s="23" t="s">
        <v>41</v>
      </c>
      <c r="D48" s="251">
        <v>16681.9663</v>
      </c>
      <c r="E48" s="166">
        <v>5562.4139999999998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119" t="s">
        <v>4</v>
      </c>
      <c r="C50" s="16" t="s">
        <v>40</v>
      </c>
      <c r="D50" s="250">
        <v>119.43</v>
      </c>
      <c r="E50" s="166">
        <v>130.55000000000001</v>
      </c>
      <c r="G50" s="208"/>
    </row>
    <row r="51" spans="2:7">
      <c r="B51" s="119" t="s">
        <v>6</v>
      </c>
      <c r="C51" s="16" t="s">
        <v>220</v>
      </c>
      <c r="D51" s="253">
        <v>107.83</v>
      </c>
      <c r="E51" s="82">
        <v>130.25</v>
      </c>
      <c r="G51" s="208"/>
    </row>
    <row r="52" spans="2:7">
      <c r="B52" s="119" t="s">
        <v>8</v>
      </c>
      <c r="C52" s="16" t="s">
        <v>221</v>
      </c>
      <c r="D52" s="253">
        <v>130.62</v>
      </c>
      <c r="E52" s="82">
        <v>151.9</v>
      </c>
    </row>
    <row r="53" spans="2:7" ht="13.5" customHeight="1" thickBot="1">
      <c r="B53" s="120" t="s">
        <v>9</v>
      </c>
      <c r="C53" s="18" t="s">
        <v>41</v>
      </c>
      <c r="D53" s="254">
        <v>130.55000000000001</v>
      </c>
      <c r="E53" s="167">
        <v>141.09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784800.99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784800.99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784800.99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784800.99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000000000000004" right="0.75" top="0.59" bottom="0.4" header="0.5" footer="0.5"/>
  <pageSetup paperSize="9" scale="70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8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01"/>
      <c r="C4" s="101"/>
      <c r="D4" s="101"/>
      <c r="E4" s="10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229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31800525.960000001</v>
      </c>
      <c r="E11" s="9">
        <f>E12</f>
        <v>16650722.060000001</v>
      </c>
    </row>
    <row r="12" spans="2:12">
      <c r="B12" s="209" t="s">
        <v>4</v>
      </c>
      <c r="C12" s="210" t="s">
        <v>5</v>
      </c>
      <c r="D12" s="297">
        <v>31800525.960000001</v>
      </c>
      <c r="E12" s="95">
        <v>16650722.060000001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31800525.960000001</v>
      </c>
      <c r="E21" s="165">
        <f>E12</f>
        <v>16650722.060000001</v>
      </c>
      <c r="F21" s="86"/>
      <c r="G21" s="86"/>
      <c r="H21" s="86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55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38997310.090000004</v>
      </c>
      <c r="E26" s="112">
        <f>D21</f>
        <v>31800525.960000001</v>
      </c>
      <c r="G26" s="81"/>
    </row>
    <row r="27" spans="2:11">
      <c r="B27" s="10" t="s">
        <v>17</v>
      </c>
      <c r="C27" s="11" t="s">
        <v>217</v>
      </c>
      <c r="D27" s="245">
        <v>-7776387.4000000022</v>
      </c>
      <c r="E27" s="269">
        <f>E28-E32</f>
        <v>-15764906.400000002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16280513.41</v>
      </c>
      <c r="E28" s="284">
        <f>SUM(E29:E31)</f>
        <v>4827888.0199999996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3986727.82</v>
      </c>
      <c r="E29" s="286">
        <v>831002.81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12293785.59</v>
      </c>
      <c r="E31" s="286">
        <v>3996885.21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24056900.810000002</v>
      </c>
      <c r="E32" s="284">
        <f>SUM(E33:E39)</f>
        <v>20592794.420000002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10440969.130000001</v>
      </c>
      <c r="E33" s="286">
        <v>10838368.710000001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46583.08</v>
      </c>
      <c r="E35" s="286">
        <v>25575.03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496624.12</v>
      </c>
      <c r="E37" s="286">
        <v>391299.64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13072724.48</v>
      </c>
      <c r="E39" s="288">
        <v>9337551.0399999991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579603.27</v>
      </c>
      <c r="E40" s="115">
        <v>615102.5</v>
      </c>
      <c r="G40" s="81"/>
    </row>
    <row r="41" spans="2:10" ht="13.5" thickBot="1">
      <c r="B41" s="116" t="s">
        <v>37</v>
      </c>
      <c r="C41" s="117" t="s">
        <v>38</v>
      </c>
      <c r="D41" s="249">
        <v>31800525.960000001</v>
      </c>
      <c r="E41" s="165">
        <f>E26+E27+E40</f>
        <v>16650722.059999999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263744.82679999998</v>
      </c>
      <c r="E47" s="166">
        <v>210962.7568</v>
      </c>
      <c r="G47" s="77"/>
    </row>
    <row r="48" spans="2:10">
      <c r="B48" s="140" t="s">
        <v>6</v>
      </c>
      <c r="C48" s="23" t="s">
        <v>41</v>
      </c>
      <c r="D48" s="251">
        <v>210962.7568</v>
      </c>
      <c r="E48" s="166">
        <v>107625.3769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119" t="s">
        <v>4</v>
      </c>
      <c r="C50" s="16" t="s">
        <v>40</v>
      </c>
      <c r="D50" s="250">
        <v>147.86000000000001</v>
      </c>
      <c r="E50" s="166">
        <v>150.74</v>
      </c>
      <c r="G50" s="208"/>
    </row>
    <row r="51" spans="2:7">
      <c r="B51" s="119" t="s">
        <v>6</v>
      </c>
      <c r="C51" s="16" t="s">
        <v>220</v>
      </c>
      <c r="D51" s="253">
        <v>147.81</v>
      </c>
      <c r="E51" s="82">
        <v>150.61000000000001</v>
      </c>
      <c r="G51" s="208"/>
    </row>
    <row r="52" spans="2:7">
      <c r="B52" s="119" t="s">
        <v>8</v>
      </c>
      <c r="C52" s="16" t="s">
        <v>221</v>
      </c>
      <c r="D52" s="253">
        <v>150.94</v>
      </c>
      <c r="E52" s="82">
        <v>154.72</v>
      </c>
    </row>
    <row r="53" spans="2:7" ht="12.75" customHeight="1" thickBot="1">
      <c r="B53" s="120" t="s">
        <v>9</v>
      </c>
      <c r="C53" s="18" t="s">
        <v>41</v>
      </c>
      <c r="D53" s="254">
        <v>150.74</v>
      </c>
      <c r="E53" s="300">
        <v>154.71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16650722.060000001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16650722.060000001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16650722.060000001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16650722.060000001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56000000000000005" bottom="0.56000000000000005" header="0.5" footer="0.5"/>
  <pageSetup paperSize="9" scale="70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9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21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01"/>
      <c r="C4" s="101"/>
      <c r="D4" s="101"/>
      <c r="E4" s="10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113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2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48829406.219999999</v>
      </c>
      <c r="E11" s="9">
        <f>E12</f>
        <v>36238211.900000006</v>
      </c>
    </row>
    <row r="12" spans="2:12">
      <c r="B12" s="123" t="s">
        <v>4</v>
      </c>
      <c r="C12" s="6" t="s">
        <v>5</v>
      </c>
      <c r="D12" s="297">
        <v>48829406.219999999</v>
      </c>
      <c r="E12" s="95">
        <f>36370747.06-132535.16</f>
        <v>36238211.900000006</v>
      </c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/>
      <c r="E14" s="95"/>
      <c r="G14" s="71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123" t="s">
        <v>4</v>
      </c>
      <c r="C18" s="6" t="s">
        <v>11</v>
      </c>
      <c r="D18" s="297"/>
      <c r="E18" s="96"/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48829406.219999999</v>
      </c>
      <c r="E21" s="165">
        <f>E11-E17</f>
        <v>36238211.900000006</v>
      </c>
      <c r="F21" s="86"/>
      <c r="G21" s="86"/>
      <c r="H21" s="189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02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60221766.57</v>
      </c>
      <c r="E26" s="112">
        <f>D21</f>
        <v>48829406.219999999</v>
      </c>
      <c r="G26" s="81"/>
    </row>
    <row r="27" spans="2:11">
      <c r="B27" s="10" t="s">
        <v>17</v>
      </c>
      <c r="C27" s="11" t="s">
        <v>217</v>
      </c>
      <c r="D27" s="245">
        <v>-12086551.630000001</v>
      </c>
      <c r="E27" s="269">
        <f>E28-E32</f>
        <v>-13995884.240000002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4951096.4399999995</v>
      </c>
      <c r="E28" s="284">
        <f>SUM(E29:E31)</f>
        <v>1474010.03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89436.6</v>
      </c>
      <c r="E29" s="286"/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>
        <v>4861659.84</v>
      </c>
      <c r="E31" s="286">
        <v>1474010.03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17037648.07</v>
      </c>
      <c r="E32" s="284">
        <f>SUM(E33:E39)</f>
        <v>15469894.270000001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13614825.43</v>
      </c>
      <c r="E33" s="286">
        <f>11367663.08+45586.47</f>
        <v>11413249.550000001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73860.56</v>
      </c>
      <c r="E35" s="286">
        <v>45750.11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>
        <v>1096155.57</v>
      </c>
      <c r="E37" s="286">
        <v>813667.72</v>
      </c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>
        <v>2252806.5099999998</v>
      </c>
      <c r="E39" s="288">
        <v>3197226.89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694191.28</v>
      </c>
      <c r="E40" s="115">
        <v>1404689.92</v>
      </c>
      <c r="G40" s="81"/>
    </row>
    <row r="41" spans="2:10" ht="13.5" thickBot="1">
      <c r="B41" s="116" t="s">
        <v>37</v>
      </c>
      <c r="C41" s="117" t="s">
        <v>38</v>
      </c>
      <c r="D41" s="249">
        <v>48829406.219999999</v>
      </c>
      <c r="E41" s="165">
        <f>E26+E27+E40</f>
        <v>36238211.899999999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442027.05940000003</v>
      </c>
      <c r="E47" s="166">
        <v>354632.91609999997</v>
      </c>
      <c r="G47" s="77"/>
    </row>
    <row r="48" spans="2:10">
      <c r="B48" s="140" t="s">
        <v>6</v>
      </c>
      <c r="C48" s="23" t="s">
        <v>41</v>
      </c>
      <c r="D48" s="251">
        <v>354632.91609999997</v>
      </c>
      <c r="E48" s="166">
        <v>254750.1715</v>
      </c>
      <c r="G48" s="228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119" t="s">
        <v>4</v>
      </c>
      <c r="C50" s="16" t="s">
        <v>40</v>
      </c>
      <c r="D50" s="250">
        <v>136.24</v>
      </c>
      <c r="E50" s="166">
        <v>137.69</v>
      </c>
      <c r="G50" s="208"/>
    </row>
    <row r="51" spans="2:7">
      <c r="B51" s="119" t="s">
        <v>6</v>
      </c>
      <c r="C51" s="16" t="s">
        <v>220</v>
      </c>
      <c r="D51" s="253">
        <v>135.21</v>
      </c>
      <c r="E51" s="82">
        <v>137.32</v>
      </c>
      <c r="G51" s="208"/>
    </row>
    <row r="52" spans="2:7">
      <c r="B52" s="119" t="s">
        <v>8</v>
      </c>
      <c r="C52" s="16" t="s">
        <v>221</v>
      </c>
      <c r="D52" s="253">
        <v>139.61000000000001</v>
      </c>
      <c r="E52" s="82">
        <v>142.34</v>
      </c>
    </row>
    <row r="53" spans="2:7" ht="12.75" customHeight="1" thickBot="1">
      <c r="B53" s="120" t="s">
        <v>9</v>
      </c>
      <c r="C53" s="18" t="s">
        <v>41</v>
      </c>
      <c r="D53" s="254">
        <v>137.69</v>
      </c>
      <c r="E53" s="167">
        <v>142.25</v>
      </c>
      <c r="G53" s="170"/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36238211.900000006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E12</f>
        <v>36238211.900000006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47" t="s">
        <v>64</v>
      </c>
      <c r="C74" s="138" t="s">
        <v>66</v>
      </c>
      <c r="D74" s="139">
        <f>D58-D73</f>
        <v>36238211.900000006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36238211.900000006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000000000000004" right="0.75" top="0.6" bottom="0.33" header="0.5" footer="0.5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99"/>
      <c r="C4" s="99"/>
      <c r="D4" s="99"/>
      <c r="E4" s="99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174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0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64042528.780000001</v>
      </c>
      <c r="E11" s="9">
        <f>E12+E13+E14</f>
        <v>69417283.620000005</v>
      </c>
    </row>
    <row r="12" spans="2:12">
      <c r="B12" s="123" t="s">
        <v>4</v>
      </c>
      <c r="C12" s="6" t="s">
        <v>5</v>
      </c>
      <c r="D12" s="297">
        <v>63855278.690000005</v>
      </c>
      <c r="E12" s="95">
        <f>70671772.65-1411647.25</f>
        <v>69260125.400000006</v>
      </c>
    </row>
    <row r="13" spans="2:12">
      <c r="B13" s="123" t="s">
        <v>6</v>
      </c>
      <c r="C13" s="72" t="s">
        <v>7</v>
      </c>
      <c r="D13" s="297">
        <v>53.79</v>
      </c>
      <c r="E13" s="95"/>
    </row>
    <row r="14" spans="2:12">
      <c r="B14" s="123" t="s">
        <v>8</v>
      </c>
      <c r="C14" s="72" t="s">
        <v>10</v>
      </c>
      <c r="D14" s="297">
        <v>187196.3</v>
      </c>
      <c r="E14" s="95">
        <f>E15</f>
        <v>157158.22</v>
      </c>
    </row>
    <row r="15" spans="2:12">
      <c r="B15" s="123" t="s">
        <v>212</v>
      </c>
      <c r="C15" s="72" t="s">
        <v>11</v>
      </c>
      <c r="D15" s="297">
        <v>187196.3</v>
      </c>
      <c r="E15" s="95">
        <v>157158.22</v>
      </c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>
        <v>82418.929999999993</v>
      </c>
      <c r="E17" s="107">
        <f>SUM(E18:E19)</f>
        <v>94145.25</v>
      </c>
    </row>
    <row r="18" spans="2:11">
      <c r="B18" s="123" t="s">
        <v>4</v>
      </c>
      <c r="C18" s="6" t="s">
        <v>11</v>
      </c>
      <c r="D18" s="297">
        <v>82418.929999999993</v>
      </c>
      <c r="E18" s="96">
        <v>94145.25</v>
      </c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customHeight="1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63960109.850000001</v>
      </c>
      <c r="E21" s="165">
        <f>E11-E17</f>
        <v>69323138.370000005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00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59477466.18999999</v>
      </c>
      <c r="E26" s="112">
        <f>D21</f>
        <v>63960109.850000001</v>
      </c>
      <c r="G26" s="81"/>
    </row>
    <row r="27" spans="2:11">
      <c r="B27" s="10" t="s">
        <v>17</v>
      </c>
      <c r="C27" s="11" t="s">
        <v>217</v>
      </c>
      <c r="D27" s="245">
        <v>2499632.4000000134</v>
      </c>
      <c r="E27" s="269">
        <f>E28-E32</f>
        <v>3919437.7199999969</v>
      </c>
      <c r="F27" s="77"/>
      <c r="G27" s="171"/>
      <c r="H27" s="77"/>
      <c r="I27" s="81"/>
      <c r="J27" s="81"/>
    </row>
    <row r="28" spans="2:11">
      <c r="B28" s="10" t="s">
        <v>18</v>
      </c>
      <c r="C28" s="11" t="s">
        <v>19</v>
      </c>
      <c r="D28" s="245">
        <v>14188651.49</v>
      </c>
      <c r="E28" s="284">
        <f>SUM(E29:E31)</f>
        <v>15673701.239999998</v>
      </c>
      <c r="F28" s="77"/>
      <c r="G28" s="77"/>
      <c r="H28" s="77"/>
      <c r="I28" s="81"/>
      <c r="J28" s="81"/>
    </row>
    <row r="29" spans="2:11">
      <c r="B29" s="121" t="s">
        <v>4</v>
      </c>
      <c r="C29" s="6" t="s">
        <v>20</v>
      </c>
      <c r="D29" s="246">
        <v>11071631.16</v>
      </c>
      <c r="E29" s="286">
        <v>11359806.529999999</v>
      </c>
      <c r="F29" s="77"/>
      <c r="G29" s="77"/>
      <c r="H29" s="77"/>
      <c r="I29" s="81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81"/>
      <c r="J30" s="81"/>
    </row>
    <row r="31" spans="2:11">
      <c r="B31" s="121" t="s">
        <v>8</v>
      </c>
      <c r="C31" s="6" t="s">
        <v>22</v>
      </c>
      <c r="D31" s="246">
        <v>3117020.33</v>
      </c>
      <c r="E31" s="286">
        <v>4313894.71</v>
      </c>
      <c r="F31" s="77"/>
      <c r="G31" s="77"/>
      <c r="H31" s="77"/>
      <c r="I31" s="81"/>
      <c r="J31" s="81"/>
    </row>
    <row r="32" spans="2:11">
      <c r="B32" s="106" t="s">
        <v>23</v>
      </c>
      <c r="C32" s="12" t="s">
        <v>24</v>
      </c>
      <c r="D32" s="245">
        <v>11689019.089999987</v>
      </c>
      <c r="E32" s="284">
        <f>SUM(E33:E39)</f>
        <v>11754263.520000001</v>
      </c>
      <c r="F32" s="77"/>
      <c r="G32" s="171"/>
      <c r="H32" s="77"/>
      <c r="I32" s="81"/>
      <c r="J32" s="81"/>
    </row>
    <row r="33" spans="2:10">
      <c r="B33" s="121" t="s">
        <v>4</v>
      </c>
      <c r="C33" s="6" t="s">
        <v>25</v>
      </c>
      <c r="D33" s="246">
        <v>9496624.4400000013</v>
      </c>
      <c r="E33" s="286">
        <f>8946096.73+222328.49</f>
        <v>9168425.2200000007</v>
      </c>
      <c r="F33" s="77"/>
      <c r="G33" s="77"/>
      <c r="H33" s="77"/>
      <c r="I33" s="81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81"/>
      <c r="J34" s="81"/>
    </row>
    <row r="35" spans="2:10">
      <c r="B35" s="121" t="s">
        <v>8</v>
      </c>
      <c r="C35" s="6" t="s">
        <v>27</v>
      </c>
      <c r="D35" s="246">
        <v>1373929.71</v>
      </c>
      <c r="E35" s="286">
        <v>1316152.56</v>
      </c>
      <c r="F35" s="77"/>
      <c r="G35" s="77"/>
      <c r="H35" s="77"/>
      <c r="I35" s="81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81"/>
      <c r="J36" s="81"/>
    </row>
    <row r="37" spans="2:10" ht="25.5">
      <c r="B37" s="121" t="s">
        <v>29</v>
      </c>
      <c r="C37" s="6" t="s">
        <v>30</v>
      </c>
      <c r="D37" s="246"/>
      <c r="E37" s="286"/>
      <c r="F37" s="77"/>
      <c r="G37" s="77"/>
      <c r="H37" s="77"/>
      <c r="I37" s="81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81"/>
      <c r="J38" s="81"/>
    </row>
    <row r="39" spans="2:10">
      <c r="B39" s="122" t="s">
        <v>33</v>
      </c>
      <c r="C39" s="13" t="s">
        <v>34</v>
      </c>
      <c r="D39" s="247">
        <v>818464.93999998539</v>
      </c>
      <c r="E39" s="288">
        <v>1269685.74</v>
      </c>
      <c r="F39" s="77"/>
      <c r="G39" s="77"/>
      <c r="H39" s="77"/>
      <c r="I39" s="81"/>
      <c r="J39" s="81"/>
    </row>
    <row r="40" spans="2:10" ht="13.5" thickBot="1">
      <c r="B40" s="113" t="s">
        <v>35</v>
      </c>
      <c r="C40" s="114" t="s">
        <v>36</v>
      </c>
      <c r="D40" s="248">
        <v>1983011.26</v>
      </c>
      <c r="E40" s="115">
        <v>1443590.8</v>
      </c>
      <c r="G40" s="81"/>
    </row>
    <row r="41" spans="2:10" ht="13.5" thickBot="1">
      <c r="B41" s="116" t="s">
        <v>37</v>
      </c>
      <c r="C41" s="117" t="s">
        <v>38</v>
      </c>
      <c r="D41" s="249">
        <v>63960109.850000001</v>
      </c>
      <c r="E41" s="165">
        <f>E26+E27+E40</f>
        <v>69323138.36999999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.75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0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1365136.2043000001</v>
      </c>
      <c r="E47" s="80">
        <v>1421442.5252239953</v>
      </c>
      <c r="G47" s="229"/>
    </row>
    <row r="48" spans="2:10">
      <c r="B48" s="140" t="s">
        <v>6</v>
      </c>
      <c r="C48" s="23" t="s">
        <v>41</v>
      </c>
      <c r="D48" s="251">
        <v>1421442.5252239953</v>
      </c>
      <c r="E48" s="80">
        <v>1508445.1646</v>
      </c>
      <c r="G48" s="231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43.568887853573699</v>
      </c>
      <c r="E50" s="80">
        <v>44.996620485883497</v>
      </c>
      <c r="G50" s="261"/>
    </row>
    <row r="51" spans="2:7">
      <c r="B51" s="119" t="s">
        <v>6</v>
      </c>
      <c r="C51" s="16" t="s">
        <v>220</v>
      </c>
      <c r="D51" s="250">
        <v>43.117800000000003</v>
      </c>
      <c r="E51" s="80">
        <v>44.996600000000001</v>
      </c>
      <c r="G51" s="208"/>
    </row>
    <row r="52" spans="2:7">
      <c r="B52" s="119" t="s">
        <v>8</v>
      </c>
      <c r="C52" s="16" t="s">
        <v>221</v>
      </c>
      <c r="D52" s="256">
        <v>44.997199999999999</v>
      </c>
      <c r="E52" s="82">
        <v>45.979500000000002</v>
      </c>
    </row>
    <row r="53" spans="2:7" ht="13.5" customHeight="1" thickBot="1">
      <c r="B53" s="120" t="s">
        <v>9</v>
      </c>
      <c r="C53" s="18" t="s">
        <v>41</v>
      </c>
      <c r="D53" s="254">
        <v>44.996620485883497</v>
      </c>
      <c r="E53" s="167">
        <v>45.956684402908202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SUM(D59:D70)</f>
        <v>69260125.400000006</v>
      </c>
      <c r="E58" s="33">
        <f>D58/E21</f>
        <v>0.99909102542842654</v>
      </c>
    </row>
    <row r="59" spans="2:7" ht="25.5">
      <c r="B59" s="22" t="s">
        <v>4</v>
      </c>
      <c r="C59" s="23" t="s">
        <v>44</v>
      </c>
      <c r="D59" s="90">
        <v>0</v>
      </c>
      <c r="E59" s="91">
        <v>0</v>
      </c>
    </row>
    <row r="60" spans="2:7" ht="25.5">
      <c r="B60" s="15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5" t="s">
        <v>8</v>
      </c>
      <c r="C61" s="16" t="s">
        <v>46</v>
      </c>
      <c r="D61" s="88">
        <v>0</v>
      </c>
      <c r="E61" s="89">
        <v>0</v>
      </c>
    </row>
    <row r="62" spans="2:7">
      <c r="B62" s="15" t="s">
        <v>9</v>
      </c>
      <c r="C62" s="16" t="s">
        <v>47</v>
      </c>
      <c r="D62" s="88">
        <v>0</v>
      </c>
      <c r="E62" s="89">
        <v>0</v>
      </c>
    </row>
    <row r="63" spans="2:7">
      <c r="B63" s="15" t="s">
        <v>29</v>
      </c>
      <c r="C63" s="16" t="s">
        <v>48</v>
      </c>
      <c r="D63" s="88">
        <v>0</v>
      </c>
      <c r="E63" s="89">
        <v>0</v>
      </c>
    </row>
    <row r="64" spans="2:7">
      <c r="B64" s="22" t="s">
        <v>31</v>
      </c>
      <c r="C64" s="23" t="s">
        <v>49</v>
      </c>
      <c r="D64" s="90">
        <f>70462820.01-1411647.25</f>
        <v>69051172.760000005</v>
      </c>
      <c r="E64" s="91">
        <f>D64/E21</f>
        <v>0.99607684221466675</v>
      </c>
    </row>
    <row r="65" spans="2:5">
      <c r="B65" s="22" t="s">
        <v>33</v>
      </c>
      <c r="C65" s="23" t="s">
        <v>224</v>
      </c>
      <c r="D65" s="90">
        <v>0</v>
      </c>
      <c r="E65" s="91">
        <v>0</v>
      </c>
    </row>
    <row r="66" spans="2:5">
      <c r="B66" s="22" t="s">
        <v>50</v>
      </c>
      <c r="C66" s="23" t="s">
        <v>51</v>
      </c>
      <c r="D66" s="90">
        <v>0</v>
      </c>
      <c r="E66" s="91">
        <v>0</v>
      </c>
    </row>
    <row r="67" spans="2:5">
      <c r="B67" s="15" t="s">
        <v>52</v>
      </c>
      <c r="C67" s="16" t="s">
        <v>53</v>
      </c>
      <c r="D67" s="88">
        <v>0</v>
      </c>
      <c r="E67" s="89">
        <v>0</v>
      </c>
    </row>
    <row r="68" spans="2:5">
      <c r="B68" s="15" t="s">
        <v>54</v>
      </c>
      <c r="C68" s="16" t="s">
        <v>55</v>
      </c>
      <c r="D68" s="88">
        <v>0</v>
      </c>
      <c r="E68" s="89">
        <v>0</v>
      </c>
    </row>
    <row r="69" spans="2:5">
      <c r="B69" s="15" t="s">
        <v>56</v>
      </c>
      <c r="C69" s="16" t="s">
        <v>57</v>
      </c>
      <c r="D69" s="88">
        <v>208952.64</v>
      </c>
      <c r="E69" s="89">
        <f>D69/E21</f>
        <v>3.0141832137597726E-3</v>
      </c>
    </row>
    <row r="70" spans="2:5">
      <c r="B70" s="129" t="s">
        <v>58</v>
      </c>
      <c r="C70" s="130" t="s">
        <v>59</v>
      </c>
      <c r="D70" s="131">
        <v>0</v>
      </c>
      <c r="E70" s="132">
        <v>0</v>
      </c>
    </row>
    <row r="71" spans="2:5">
      <c r="B71" s="137" t="s">
        <v>23</v>
      </c>
      <c r="C71" s="138" t="s">
        <v>61</v>
      </c>
      <c r="D71" s="139">
        <f>E13</f>
        <v>0</v>
      </c>
      <c r="E71" s="70">
        <v>0</v>
      </c>
    </row>
    <row r="72" spans="2:5">
      <c r="B72" s="133" t="s">
        <v>60</v>
      </c>
      <c r="C72" s="134" t="s">
        <v>63</v>
      </c>
      <c r="D72" s="135">
        <f>E14</f>
        <v>157158.22</v>
      </c>
      <c r="E72" s="136">
        <f>D72/E21</f>
        <v>2.267038447699753E-3</v>
      </c>
    </row>
    <row r="73" spans="2:5">
      <c r="B73" s="24" t="s">
        <v>62</v>
      </c>
      <c r="C73" s="25" t="s">
        <v>65</v>
      </c>
      <c r="D73" s="26">
        <f>E17</f>
        <v>94145.25</v>
      </c>
      <c r="E73" s="27">
        <f>D73/E21</f>
        <v>1.3580638761262706E-3</v>
      </c>
    </row>
    <row r="74" spans="2:5">
      <c r="B74" s="137" t="s">
        <v>64</v>
      </c>
      <c r="C74" s="138" t="s">
        <v>66</v>
      </c>
      <c r="D74" s="139">
        <f>D58++D71+D72-D73</f>
        <v>69323138.370000005</v>
      </c>
      <c r="E74" s="70">
        <f>E58+E72-E73</f>
        <v>1</v>
      </c>
    </row>
    <row r="75" spans="2:5">
      <c r="B75" s="15" t="s">
        <v>4</v>
      </c>
      <c r="C75" s="16" t="s">
        <v>67</v>
      </c>
      <c r="D75" s="88">
        <f>D74</f>
        <v>69323138.370000005</v>
      </c>
      <c r="E75" s="89">
        <f>E74</f>
        <v>1</v>
      </c>
    </row>
    <row r="76" spans="2:5">
      <c r="B76" s="15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7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000000000000004" right="0.75" top="0.51" bottom="0.33" header="0.5" footer="0.5"/>
  <pageSetup paperSize="9" scale="70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0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20.42578125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01"/>
      <c r="C4" s="101"/>
      <c r="D4" s="101"/>
      <c r="E4" s="10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111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282030.99</v>
      </c>
      <c r="E11" s="9">
        <f>E12</f>
        <v>177152.93999999997</v>
      </c>
    </row>
    <row r="12" spans="2:12">
      <c r="B12" s="123" t="s">
        <v>4</v>
      </c>
      <c r="C12" s="6" t="s">
        <v>5</v>
      </c>
      <c r="D12" s="297">
        <v>282030.99</v>
      </c>
      <c r="E12" s="95">
        <f>177158.86-5.92</f>
        <v>177152.93999999997</v>
      </c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/>
      <c r="E14" s="95"/>
      <c r="G14" s="71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123" t="s">
        <v>4</v>
      </c>
      <c r="C18" s="6" t="s">
        <v>11</v>
      </c>
      <c r="D18" s="297"/>
      <c r="E18" s="96"/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282030.99</v>
      </c>
      <c r="E21" s="165">
        <f>E12</f>
        <v>177152.93999999997</v>
      </c>
      <c r="F21" s="86"/>
      <c r="G21" s="86"/>
      <c r="H21" s="189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02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313357.03999999998</v>
      </c>
      <c r="E26" s="112">
        <f>D21</f>
        <v>282030.99</v>
      </c>
      <c r="G26" s="81"/>
    </row>
    <row r="27" spans="2:11">
      <c r="B27" s="10" t="s">
        <v>17</v>
      </c>
      <c r="C27" s="11" t="s">
        <v>217</v>
      </c>
      <c r="D27" s="245">
        <v>-48725.47</v>
      </c>
      <c r="E27" s="269">
        <f>E28-E32</f>
        <v>-135653.78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18286.64</v>
      </c>
      <c r="E28" s="284">
        <f>SUM(E29:E31)</f>
        <v>67625.34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18286.64</v>
      </c>
      <c r="E29" s="286">
        <v>11005.59</v>
      </c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/>
      <c r="E31" s="286">
        <v>56619.75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67012.11</v>
      </c>
      <c r="E32" s="284">
        <f>SUM(E33:E39)</f>
        <v>203279.12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27843.15</v>
      </c>
      <c r="E33" s="286">
        <f>161221.03+5.92</f>
        <v>161226.95000000001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582.72</v>
      </c>
      <c r="E35" s="286">
        <v>311.11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>
        <v>3954.54</v>
      </c>
      <c r="E37" s="286">
        <v>3700.48</v>
      </c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>
        <v>34631.699999999997</v>
      </c>
      <c r="E39" s="288">
        <v>38040.58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17399.419999999998</v>
      </c>
      <c r="E40" s="115">
        <v>30775.73</v>
      </c>
      <c r="G40" s="81"/>
    </row>
    <row r="41" spans="2:10" ht="13.5" thickBot="1">
      <c r="B41" s="116" t="s">
        <v>37</v>
      </c>
      <c r="C41" s="117" t="s">
        <v>38</v>
      </c>
      <c r="D41" s="249">
        <v>282030.98999999993</v>
      </c>
      <c r="E41" s="165">
        <f>E26+E27+E40</f>
        <v>177152.94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3642.4159</v>
      </c>
      <c r="E47" s="166">
        <v>3066.5542</v>
      </c>
      <c r="G47" s="77"/>
    </row>
    <row r="48" spans="2:10">
      <c r="B48" s="140" t="s">
        <v>6</v>
      </c>
      <c r="C48" s="23" t="s">
        <v>41</v>
      </c>
      <c r="D48" s="251">
        <v>3066.5542</v>
      </c>
      <c r="E48" s="166">
        <v>1739.3514</v>
      </c>
      <c r="G48" s="1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119" t="s">
        <v>4</v>
      </c>
      <c r="C50" s="16" t="s">
        <v>40</v>
      </c>
      <c r="D50" s="250">
        <v>86.03</v>
      </c>
      <c r="E50" s="166">
        <v>91.97</v>
      </c>
      <c r="G50" s="208"/>
    </row>
    <row r="51" spans="2:7">
      <c r="B51" s="119" t="s">
        <v>6</v>
      </c>
      <c r="C51" s="16" t="s">
        <v>220</v>
      </c>
      <c r="D51" s="253">
        <v>78.2</v>
      </c>
      <c r="E51" s="166">
        <v>91.97</v>
      </c>
      <c r="G51" s="208"/>
    </row>
    <row r="52" spans="2:7">
      <c r="B52" s="119" t="s">
        <v>8</v>
      </c>
      <c r="C52" s="16" t="s">
        <v>221</v>
      </c>
      <c r="D52" s="253">
        <v>91.97</v>
      </c>
      <c r="E52" s="82">
        <v>105.63</v>
      </c>
    </row>
    <row r="53" spans="2:7" ht="13.5" customHeight="1" thickBot="1">
      <c r="B53" s="120" t="s">
        <v>9</v>
      </c>
      <c r="C53" s="18" t="s">
        <v>41</v>
      </c>
      <c r="D53" s="254">
        <v>91.97</v>
      </c>
      <c r="E53" s="167">
        <v>101.85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177152.93999999997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177152.93999999997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177152.93999999997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177152.93999999997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rowBreaks count="1" manualBreakCount="1">
    <brk id="76" max="16383" man="1"/>
  </row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1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01"/>
      <c r="C4" s="101"/>
      <c r="D4" s="101"/>
      <c r="E4" s="10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205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267246.53000000003</v>
      </c>
      <c r="E11" s="9">
        <f>E12</f>
        <v>57279.55</v>
      </c>
    </row>
    <row r="12" spans="2:12">
      <c r="B12" s="123" t="s">
        <v>4</v>
      </c>
      <c r="C12" s="6" t="s">
        <v>5</v>
      </c>
      <c r="D12" s="297">
        <v>267246.53000000003</v>
      </c>
      <c r="E12" s="95">
        <v>57279.55</v>
      </c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/>
      <c r="E14" s="95"/>
      <c r="G14" s="71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95"/>
    </row>
    <row r="18" spans="2:11">
      <c r="B18" s="123" t="s">
        <v>4</v>
      </c>
      <c r="C18" s="6" t="s">
        <v>11</v>
      </c>
      <c r="D18" s="297"/>
      <c r="E18" s="96"/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267246.53000000003</v>
      </c>
      <c r="E21" s="165">
        <f>E11</f>
        <v>57279.55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02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128384.98</v>
      </c>
      <c r="E26" s="112">
        <f>D21</f>
        <v>267246.53000000003</v>
      </c>
      <c r="G26" s="81"/>
    </row>
    <row r="27" spans="2:11">
      <c r="B27" s="10" t="s">
        <v>17</v>
      </c>
      <c r="C27" s="11" t="s">
        <v>217</v>
      </c>
      <c r="D27" s="245">
        <v>133695.10999999999</v>
      </c>
      <c r="E27" s="269">
        <f>E28-E32</f>
        <v>-224886.91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169078.31</v>
      </c>
      <c r="E28" s="284">
        <f>SUM(E29:E31)</f>
        <v>114555.6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49784.01</v>
      </c>
      <c r="E29" s="286"/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>
        <v>119294.3</v>
      </c>
      <c r="E31" s="286">
        <v>114555.6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35383.200000000004</v>
      </c>
      <c r="E32" s="284">
        <f>SUM(E33:E39)</f>
        <v>339442.51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/>
      <c r="E33" s="286"/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45.27</v>
      </c>
      <c r="E35" s="286">
        <v>80.959999999999994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>
        <v>2885.94</v>
      </c>
      <c r="E37" s="286">
        <v>1926.73</v>
      </c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>
        <v>32451.99</v>
      </c>
      <c r="E39" s="288">
        <v>337434.82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5166.4399999999996</v>
      </c>
      <c r="E40" s="115">
        <v>14919.93</v>
      </c>
      <c r="G40" s="81"/>
    </row>
    <row r="41" spans="2:10" ht="13.5" thickBot="1">
      <c r="B41" s="116" t="s">
        <v>37</v>
      </c>
      <c r="C41" s="117" t="s">
        <v>38</v>
      </c>
      <c r="D41" s="249">
        <v>267246.52999999997</v>
      </c>
      <c r="E41" s="165">
        <f>E26+E27+E40</f>
        <v>57279.550000000025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1167.2422999999999</v>
      </c>
      <c r="E47" s="166">
        <v>2383.7885000000001</v>
      </c>
      <c r="G47" s="77"/>
    </row>
    <row r="48" spans="2:10">
      <c r="B48" s="140" t="s">
        <v>6</v>
      </c>
      <c r="C48" s="23" t="s">
        <v>41</v>
      </c>
      <c r="D48" s="251">
        <v>2383.7885000000001</v>
      </c>
      <c r="E48" s="166">
        <v>449.78050000000002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119" t="s">
        <v>4</v>
      </c>
      <c r="C50" s="16" t="s">
        <v>40</v>
      </c>
      <c r="D50" s="250">
        <v>109.99</v>
      </c>
      <c r="E50" s="166">
        <v>112.11</v>
      </c>
      <c r="G50" s="208"/>
    </row>
    <row r="51" spans="2:7">
      <c r="B51" s="119" t="s">
        <v>6</v>
      </c>
      <c r="C51" s="16" t="s">
        <v>220</v>
      </c>
      <c r="D51" s="253">
        <v>95.61</v>
      </c>
      <c r="E51" s="82">
        <v>112.11</v>
      </c>
      <c r="G51" s="208"/>
    </row>
    <row r="52" spans="2:7">
      <c r="B52" s="119" t="s">
        <v>8</v>
      </c>
      <c r="C52" s="16" t="s">
        <v>221</v>
      </c>
      <c r="D52" s="253">
        <v>113.21</v>
      </c>
      <c r="E52" s="82">
        <v>127.71</v>
      </c>
    </row>
    <row r="53" spans="2:7" ht="12.75" customHeight="1" thickBot="1">
      <c r="B53" s="120" t="s">
        <v>9</v>
      </c>
      <c r="C53" s="18" t="s">
        <v>41</v>
      </c>
      <c r="D53" s="254">
        <v>112.11</v>
      </c>
      <c r="E53" s="167">
        <v>127.35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57279.55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57279.55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57279.55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57279.55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" right="0.75" top="0.61" bottom="0.52" header="0.5" footer="0.5"/>
  <pageSetup paperSize="9" scale="70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2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01"/>
      <c r="C4" s="101"/>
      <c r="D4" s="101"/>
      <c r="E4" s="10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231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480490.65</v>
      </c>
      <c r="E11" s="9">
        <f>E12</f>
        <v>219107</v>
      </c>
    </row>
    <row r="12" spans="2:12">
      <c r="B12" s="123" t="s">
        <v>4</v>
      </c>
      <c r="C12" s="6" t="s">
        <v>5</v>
      </c>
      <c r="D12" s="297">
        <v>480490.65</v>
      </c>
      <c r="E12" s="95">
        <v>219107</v>
      </c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/>
      <c r="E14" s="95"/>
      <c r="G14" s="71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123" t="s">
        <v>4</v>
      </c>
      <c r="C18" s="6" t="s">
        <v>11</v>
      </c>
      <c r="D18" s="297"/>
      <c r="E18" s="96"/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D12</f>
        <v>480490.65</v>
      </c>
      <c r="E21" s="165">
        <f>E11</f>
        <v>219107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02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 t="s">
        <v>246</v>
      </c>
      <c r="E26" s="112">
        <f>D21</f>
        <v>480490.65</v>
      </c>
      <c r="G26" s="81"/>
    </row>
    <row r="27" spans="2:11">
      <c r="B27" s="10" t="s">
        <v>17</v>
      </c>
      <c r="C27" s="11" t="s">
        <v>217</v>
      </c>
      <c r="D27" s="245">
        <v>460829.74</v>
      </c>
      <c r="E27" s="269">
        <f>E28-E32</f>
        <v>-232097.11000000002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596416.28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>
        <v>596416.28</v>
      </c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135586.54</v>
      </c>
      <c r="E32" s="284">
        <f>SUM(E33:E39)</f>
        <v>232097.11000000002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5.47</v>
      </c>
      <c r="E33" s="286">
        <v>153362.09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0.26</v>
      </c>
      <c r="E35" s="286"/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>
        <v>2416.65</v>
      </c>
      <c r="E37" s="286">
        <v>5865.7</v>
      </c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>
        <v>133164.16</v>
      </c>
      <c r="E39" s="288">
        <v>72869.320000000007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19660.91</v>
      </c>
      <c r="E40" s="115">
        <v>-29286.54</v>
      </c>
      <c r="G40" s="81"/>
    </row>
    <row r="41" spans="2:10" ht="13.5" thickBot="1">
      <c r="B41" s="116" t="s">
        <v>37</v>
      </c>
      <c r="C41" s="117" t="s">
        <v>38</v>
      </c>
      <c r="D41" s="249">
        <v>480490.64999999997</v>
      </c>
      <c r="E41" s="165">
        <f>E26+E27+E40</f>
        <v>219107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/>
      <c r="E47" s="80">
        <v>4594.4793</v>
      </c>
      <c r="G47" s="77"/>
    </row>
    <row r="48" spans="2:10">
      <c r="B48" s="140" t="s">
        <v>6</v>
      </c>
      <c r="C48" s="23" t="s">
        <v>41</v>
      </c>
      <c r="D48" s="251">
        <v>4594.4793</v>
      </c>
      <c r="E48" s="166">
        <v>2168.7321000000002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/>
      <c r="E50" s="82">
        <v>104.58</v>
      </c>
      <c r="G50" s="208"/>
    </row>
    <row r="51" spans="2:7">
      <c r="B51" s="119" t="s">
        <v>6</v>
      </c>
      <c r="C51" s="16" t="s">
        <v>220</v>
      </c>
      <c r="D51" s="253">
        <v>79.52</v>
      </c>
      <c r="E51" s="82">
        <v>92.99</v>
      </c>
      <c r="G51" s="208"/>
    </row>
    <row r="52" spans="2:7">
      <c r="B52" s="119" t="s">
        <v>8</v>
      </c>
      <c r="C52" s="16" t="s">
        <v>221</v>
      </c>
      <c r="D52" s="253">
        <v>105.57</v>
      </c>
      <c r="E52" s="82">
        <v>105.92</v>
      </c>
    </row>
    <row r="53" spans="2:7" ht="12.75" customHeight="1" thickBot="1">
      <c r="B53" s="120" t="s">
        <v>9</v>
      </c>
      <c r="C53" s="18" t="s">
        <v>41</v>
      </c>
      <c r="D53" s="254">
        <v>104.58</v>
      </c>
      <c r="E53" s="167">
        <v>101.03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8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219107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219107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219107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219107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3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14.25">
      <c r="B5" s="333" t="s">
        <v>1</v>
      </c>
      <c r="C5" s="333"/>
      <c r="D5" s="333"/>
      <c r="E5" s="333"/>
    </row>
    <row r="6" spans="2:12" ht="14.25">
      <c r="B6" s="334" t="s">
        <v>269</v>
      </c>
      <c r="C6" s="334"/>
      <c r="D6" s="334"/>
      <c r="E6" s="334"/>
    </row>
    <row r="7" spans="2:12" ht="14.25">
      <c r="B7" s="168"/>
      <c r="C7" s="168"/>
      <c r="D7" s="168"/>
      <c r="E7" s="168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69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304">
        <v>37539.24</v>
      </c>
      <c r="E11" s="9">
        <f>E12</f>
        <v>46995.21</v>
      </c>
    </row>
    <row r="12" spans="2:12">
      <c r="B12" s="123" t="s">
        <v>4</v>
      </c>
      <c r="C12" s="6" t="s">
        <v>5</v>
      </c>
      <c r="D12" s="295">
        <v>37539.24</v>
      </c>
      <c r="E12" s="95">
        <v>46995.21</v>
      </c>
    </row>
    <row r="13" spans="2:12">
      <c r="B13" s="123" t="s">
        <v>6</v>
      </c>
      <c r="C13" s="72" t="s">
        <v>7</v>
      </c>
      <c r="D13" s="293"/>
      <c r="E13" s="95"/>
    </row>
    <row r="14" spans="2:12">
      <c r="B14" s="123" t="s">
        <v>8</v>
      </c>
      <c r="C14" s="72" t="s">
        <v>10</v>
      </c>
      <c r="D14" s="293"/>
      <c r="E14" s="95"/>
      <c r="G14" s="71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123" t="s">
        <v>4</v>
      </c>
      <c r="C18" s="6" t="s">
        <v>11</v>
      </c>
      <c r="D18" s="297"/>
      <c r="E18" s="96"/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37539.24</v>
      </c>
      <c r="E21" s="165">
        <f>E11</f>
        <v>46995.21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69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 t="s">
        <v>246</v>
      </c>
      <c r="E26" s="112">
        <f>D21</f>
        <v>37539.24</v>
      </c>
      <c r="G26" s="81"/>
    </row>
    <row r="27" spans="2:11">
      <c r="B27" s="10" t="s">
        <v>17</v>
      </c>
      <c r="C27" s="11" t="s">
        <v>217</v>
      </c>
      <c r="D27" s="245">
        <v>39661.22</v>
      </c>
      <c r="E27" s="269">
        <f>E28-E32</f>
        <v>-767.14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39886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39886</v>
      </c>
      <c r="E29" s="286"/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224.78</v>
      </c>
      <c r="E32" s="284">
        <f>SUM(E33:E39)</f>
        <v>767.14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/>
      <c r="E33" s="286"/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20.440000000000001</v>
      </c>
      <c r="E35" s="286">
        <v>63.24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>
        <v>204.34</v>
      </c>
      <c r="E37" s="286">
        <v>703.9</v>
      </c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-2121.98</v>
      </c>
      <c r="E40" s="115">
        <v>10223.11</v>
      </c>
      <c r="G40" s="81"/>
    </row>
    <row r="41" spans="2:10" ht="13.5" thickBot="1">
      <c r="B41" s="116" t="s">
        <v>37</v>
      </c>
      <c r="C41" s="117" t="s">
        <v>38</v>
      </c>
      <c r="D41" s="249">
        <v>37539.24</v>
      </c>
      <c r="E41" s="165">
        <f>E26+E27+E40</f>
        <v>46995.21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69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/>
      <c r="E47" s="80">
        <v>414.75240000000002</v>
      </c>
      <c r="G47" s="77"/>
    </row>
    <row r="48" spans="2:10">
      <c r="B48" s="140" t="s">
        <v>6</v>
      </c>
      <c r="C48" s="23" t="s">
        <v>41</v>
      </c>
      <c r="D48" s="251">
        <v>414.75240000000002</v>
      </c>
      <c r="E48" s="166">
        <v>407.37869999999998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/>
      <c r="E50" s="82">
        <v>90.51</v>
      </c>
      <c r="G50" s="208"/>
    </row>
    <row r="51" spans="2:7">
      <c r="B51" s="119" t="s">
        <v>6</v>
      </c>
      <c r="C51" s="16" t="s">
        <v>220</v>
      </c>
      <c r="D51" s="253">
        <v>82.09</v>
      </c>
      <c r="E51" s="82">
        <v>90.51</v>
      </c>
      <c r="G51" s="208"/>
    </row>
    <row r="52" spans="2:7">
      <c r="B52" s="119" t="s">
        <v>8</v>
      </c>
      <c r="C52" s="16" t="s">
        <v>221</v>
      </c>
      <c r="D52" s="253">
        <v>101.6</v>
      </c>
      <c r="E52" s="82">
        <v>115.92</v>
      </c>
    </row>
    <row r="53" spans="2:7" ht="13.5" thickBot="1">
      <c r="B53" s="120" t="s">
        <v>9</v>
      </c>
      <c r="C53" s="18" t="s">
        <v>41</v>
      </c>
      <c r="D53" s="254">
        <v>90.51</v>
      </c>
      <c r="E53" s="167">
        <v>115.36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46995.21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46995.21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46995.21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46995.21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4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14.25">
      <c r="B5" s="333" t="s">
        <v>1</v>
      </c>
      <c r="C5" s="333"/>
      <c r="D5" s="333"/>
      <c r="E5" s="333"/>
    </row>
    <row r="6" spans="2:12" ht="14.25">
      <c r="B6" s="334" t="s">
        <v>232</v>
      </c>
      <c r="C6" s="334"/>
      <c r="D6" s="334"/>
      <c r="E6" s="334"/>
    </row>
    <row r="7" spans="2:12" ht="14.25">
      <c r="B7" s="168"/>
      <c r="C7" s="168"/>
      <c r="D7" s="168"/>
      <c r="E7" s="168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69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14479.4</v>
      </c>
      <c r="E11" s="9">
        <f>E12</f>
        <v>124639.38</v>
      </c>
      <c r="F11" s="208"/>
    </row>
    <row r="12" spans="2:12">
      <c r="B12" s="209" t="s">
        <v>4</v>
      </c>
      <c r="C12" s="210" t="s">
        <v>5</v>
      </c>
      <c r="D12" s="297">
        <v>14479.4</v>
      </c>
      <c r="E12" s="95">
        <f>124823.64-184.26</f>
        <v>124639.38</v>
      </c>
      <c r="F12" s="208"/>
    </row>
    <row r="13" spans="2:12">
      <c r="B13" s="209" t="s">
        <v>6</v>
      </c>
      <c r="C13" s="211" t="s">
        <v>7</v>
      </c>
      <c r="D13" s="297"/>
      <c r="E13" s="95"/>
      <c r="F13" s="208"/>
    </row>
    <row r="14" spans="2:12">
      <c r="B14" s="209" t="s">
        <v>8</v>
      </c>
      <c r="C14" s="211" t="s">
        <v>10</v>
      </c>
      <c r="D14" s="297"/>
      <c r="E14" s="95"/>
      <c r="F14" s="208"/>
      <c r="G14" s="71"/>
    </row>
    <row r="15" spans="2:12">
      <c r="B15" s="209" t="s">
        <v>212</v>
      </c>
      <c r="C15" s="211" t="s">
        <v>11</v>
      </c>
      <c r="D15" s="297"/>
      <c r="E15" s="95"/>
      <c r="F15" s="208"/>
    </row>
    <row r="16" spans="2:12">
      <c r="B16" s="212" t="s">
        <v>213</v>
      </c>
      <c r="C16" s="213" t="s">
        <v>12</v>
      </c>
      <c r="D16" s="298"/>
      <c r="E16" s="96"/>
      <c r="F16" s="208"/>
    </row>
    <row r="17" spans="2:11">
      <c r="B17" s="10" t="s">
        <v>13</v>
      </c>
      <c r="C17" s="12" t="s">
        <v>65</v>
      </c>
      <c r="D17" s="299"/>
      <c r="E17" s="107"/>
      <c r="F17" s="208"/>
    </row>
    <row r="18" spans="2:11">
      <c r="B18" s="209" t="s">
        <v>4</v>
      </c>
      <c r="C18" s="210" t="s">
        <v>11</v>
      </c>
      <c r="D18" s="297"/>
      <c r="E18" s="96"/>
      <c r="F18" s="208"/>
    </row>
    <row r="19" spans="2:11" ht="15" customHeight="1">
      <c r="B19" s="209" t="s">
        <v>6</v>
      </c>
      <c r="C19" s="211" t="s">
        <v>214</v>
      </c>
      <c r="D19" s="297"/>
      <c r="E19" s="95"/>
      <c r="F19" s="208"/>
    </row>
    <row r="20" spans="2:11" ht="13.5" thickBot="1">
      <c r="B20" s="214" t="s">
        <v>8</v>
      </c>
      <c r="C20" s="215" t="s">
        <v>14</v>
      </c>
      <c r="D20" s="296"/>
      <c r="E20" s="97"/>
      <c r="F20" s="208"/>
    </row>
    <row r="21" spans="2:11" ht="13.5" thickBot="1">
      <c r="B21" s="342" t="s">
        <v>216</v>
      </c>
      <c r="C21" s="343"/>
      <c r="D21" s="87">
        <f>D11</f>
        <v>14479.4</v>
      </c>
      <c r="E21" s="165">
        <f>E11-E17</f>
        <v>124639.38</v>
      </c>
      <c r="F21" s="171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F22" s="208"/>
      <c r="G22" s="77"/>
    </row>
    <row r="23" spans="2:11" ht="13.5">
      <c r="B23" s="336" t="s">
        <v>210</v>
      </c>
      <c r="C23" s="348"/>
      <c r="D23" s="348"/>
      <c r="E23" s="348"/>
      <c r="F23" s="208"/>
      <c r="G23" s="77"/>
    </row>
    <row r="24" spans="2:11" ht="15.75" customHeight="1" thickBot="1">
      <c r="B24" s="335" t="s">
        <v>211</v>
      </c>
      <c r="C24" s="349"/>
      <c r="D24" s="349"/>
      <c r="E24" s="349"/>
      <c r="F24" s="208"/>
    </row>
    <row r="25" spans="2:11" ht="13.5" thickBot="1">
      <c r="B25" s="205"/>
      <c r="C25" s="216" t="s">
        <v>2</v>
      </c>
      <c r="D25" s="74" t="s">
        <v>245</v>
      </c>
      <c r="E25" s="30" t="s">
        <v>268</v>
      </c>
      <c r="F25" s="208"/>
    </row>
    <row r="26" spans="2:11">
      <c r="B26" s="110" t="s">
        <v>15</v>
      </c>
      <c r="C26" s="111" t="s">
        <v>16</v>
      </c>
      <c r="D26" s="244" t="s">
        <v>246</v>
      </c>
      <c r="E26" s="112">
        <f>D21</f>
        <v>14479.4</v>
      </c>
      <c r="F26" s="208"/>
      <c r="G26" s="171"/>
    </row>
    <row r="27" spans="2:11">
      <c r="B27" s="10" t="s">
        <v>17</v>
      </c>
      <c r="C27" s="11" t="s">
        <v>217</v>
      </c>
      <c r="D27" s="245">
        <v>13703.410000000002</v>
      </c>
      <c r="E27" s="269">
        <f>E28-E32</f>
        <v>104262.73999999999</v>
      </c>
      <c r="F27" s="171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16893.080000000002</v>
      </c>
      <c r="E28" s="284">
        <f>SUM(E29:E31)</f>
        <v>116220.84999999999</v>
      </c>
      <c r="F28" s="171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12521.58</v>
      </c>
      <c r="E29" s="286">
        <v>105805.93</v>
      </c>
      <c r="F29" s="171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171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4371.5</v>
      </c>
      <c r="E31" s="286">
        <v>10414.92</v>
      </c>
      <c r="F31" s="171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3189.6699999999996</v>
      </c>
      <c r="E32" s="284">
        <f>SUM(E33:E39)</f>
        <v>11958.11</v>
      </c>
      <c r="F32" s="171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2002.29</v>
      </c>
      <c r="E33" s="286">
        <f>3428.07+182.16</f>
        <v>3610.23</v>
      </c>
      <c r="F33" s="171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171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973.39</v>
      </c>
      <c r="E35" s="286">
        <v>6235.88</v>
      </c>
      <c r="F35" s="171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171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25.47</v>
      </c>
      <c r="E37" s="286">
        <v>468.57</v>
      </c>
      <c r="F37" s="171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171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188.52</v>
      </c>
      <c r="E39" s="288">
        <v>1643.43</v>
      </c>
      <c r="F39" s="171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775.99</v>
      </c>
      <c r="E40" s="115">
        <v>5897.24</v>
      </c>
      <c r="F40" s="208"/>
      <c r="G40" s="81"/>
    </row>
    <row r="41" spans="2:10" ht="13.5" thickBot="1">
      <c r="B41" s="116" t="s">
        <v>37</v>
      </c>
      <c r="C41" s="117" t="s">
        <v>38</v>
      </c>
      <c r="D41" s="249">
        <v>14479.400000000001</v>
      </c>
      <c r="E41" s="165">
        <f>E26+E27+E40</f>
        <v>124639.37999999999</v>
      </c>
      <c r="F41" s="171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69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/>
      <c r="E47" s="80">
        <v>129.4769</v>
      </c>
      <c r="G47" s="77"/>
    </row>
    <row r="48" spans="2:10">
      <c r="B48" s="140" t="s">
        <v>6</v>
      </c>
      <c r="C48" s="23" t="s">
        <v>41</v>
      </c>
      <c r="D48" s="251">
        <v>129.4769</v>
      </c>
      <c r="E48" s="166">
        <v>1039.2677000000001</v>
      </c>
      <c r="G48" s="228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/>
      <c r="E50" s="82">
        <v>111.83</v>
      </c>
      <c r="G50" s="208"/>
    </row>
    <row r="51" spans="2:7">
      <c r="B51" s="119" t="s">
        <v>6</v>
      </c>
      <c r="C51" s="16" t="s">
        <v>220</v>
      </c>
      <c r="D51" s="253">
        <v>99.05</v>
      </c>
      <c r="E51" s="82">
        <v>110.1</v>
      </c>
      <c r="G51" s="208"/>
    </row>
    <row r="52" spans="2:7">
      <c r="B52" s="119" t="s">
        <v>8</v>
      </c>
      <c r="C52" s="16" t="s">
        <v>221</v>
      </c>
      <c r="D52" s="253">
        <v>113.99</v>
      </c>
      <c r="E52" s="82">
        <v>121.39</v>
      </c>
    </row>
    <row r="53" spans="2:7" ht="13.5" thickBot="1">
      <c r="B53" s="120" t="s">
        <v>9</v>
      </c>
      <c r="C53" s="18" t="s">
        <v>41</v>
      </c>
      <c r="D53" s="254">
        <v>111.83</v>
      </c>
      <c r="E53" s="167">
        <v>119.93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124639.38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E12</f>
        <v>124639.38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47" t="s">
        <v>64</v>
      </c>
      <c r="C74" s="138" t="s">
        <v>66</v>
      </c>
      <c r="D74" s="139">
        <f>D58-D73</f>
        <v>124639.38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124639.38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5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14.25">
      <c r="B5" s="333" t="s">
        <v>1</v>
      </c>
      <c r="C5" s="333"/>
      <c r="D5" s="333"/>
      <c r="E5" s="333"/>
    </row>
    <row r="6" spans="2:12" ht="14.25">
      <c r="B6" s="334" t="s">
        <v>247</v>
      </c>
      <c r="C6" s="334"/>
      <c r="D6" s="334"/>
      <c r="E6" s="334"/>
    </row>
    <row r="7" spans="2:12" ht="14.25">
      <c r="B7" s="196"/>
      <c r="C7" s="196"/>
      <c r="D7" s="196"/>
      <c r="E7" s="19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9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36502.22</v>
      </c>
      <c r="E11" s="9">
        <f>E12</f>
        <v>86900.800000000003</v>
      </c>
    </row>
    <row r="12" spans="2:12">
      <c r="B12" s="123" t="s">
        <v>4</v>
      </c>
      <c r="C12" s="6" t="s">
        <v>5</v>
      </c>
      <c r="D12" s="297">
        <v>36502.22</v>
      </c>
      <c r="E12" s="95">
        <v>86900.800000000003</v>
      </c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/>
      <c r="E14" s="95"/>
      <c r="G14" s="71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123" t="s">
        <v>4</v>
      </c>
      <c r="C18" s="6" t="s">
        <v>11</v>
      </c>
      <c r="D18" s="297"/>
      <c r="E18" s="96"/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36502.22</v>
      </c>
      <c r="E21" s="165">
        <f>E11</f>
        <v>86900.800000000003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97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 t="s">
        <v>246</v>
      </c>
      <c r="E26" s="112">
        <f>D21</f>
        <v>36502.22</v>
      </c>
      <c r="G26" s="171"/>
    </row>
    <row r="27" spans="2:11">
      <c r="B27" s="10" t="s">
        <v>17</v>
      </c>
      <c r="C27" s="11" t="s">
        <v>217</v>
      </c>
      <c r="D27" s="245">
        <v>36655.85</v>
      </c>
      <c r="E27" s="269">
        <f>E28-E32</f>
        <v>48552.65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37017.06</v>
      </c>
      <c r="E28" s="284">
        <f>SUM(E29:E31)</f>
        <v>52176.33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37003.269999999997</v>
      </c>
      <c r="E29" s="286">
        <v>28964.05</v>
      </c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>
        <v>13.79</v>
      </c>
      <c r="E31" s="286">
        <v>23212.28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361.21</v>
      </c>
      <c r="E32" s="284">
        <f>SUM(E33:E39)</f>
        <v>3623.68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/>
      <c r="E33" s="286">
        <v>608.84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306.32</v>
      </c>
      <c r="E35" s="286">
        <v>2276.9699999999998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>
        <v>54.89</v>
      </c>
      <c r="E37" s="286">
        <v>367.16</v>
      </c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/>
      <c r="E39" s="288">
        <v>370.71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-153.63</v>
      </c>
      <c r="E40" s="115">
        <v>1845.93</v>
      </c>
      <c r="G40" s="81"/>
    </row>
    <row r="41" spans="2:10" ht="13.5" thickBot="1">
      <c r="B41" s="116" t="s">
        <v>37</v>
      </c>
      <c r="C41" s="117" t="s">
        <v>38</v>
      </c>
      <c r="D41" s="249">
        <v>36502.22</v>
      </c>
      <c r="E41" s="165">
        <f>E26+E27+E40</f>
        <v>86900.799999999988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97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/>
      <c r="E47" s="80">
        <v>354.35610000000003</v>
      </c>
      <c r="G47" s="77"/>
    </row>
    <row r="48" spans="2:10">
      <c r="B48" s="140" t="s">
        <v>6</v>
      </c>
      <c r="C48" s="23" t="s">
        <v>41</v>
      </c>
      <c r="D48" s="251">
        <v>354.35610000000003</v>
      </c>
      <c r="E48" s="166">
        <v>817.81290000000001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/>
      <c r="E50" s="82">
        <v>103.01</v>
      </c>
      <c r="G50" s="208"/>
    </row>
    <row r="51" spans="2:7">
      <c r="B51" s="119" t="s">
        <v>6</v>
      </c>
      <c r="C51" s="16" t="s">
        <v>220</v>
      </c>
      <c r="D51" s="253">
        <v>99.86</v>
      </c>
      <c r="E51" s="82">
        <v>101.97</v>
      </c>
      <c r="G51" s="208"/>
    </row>
    <row r="52" spans="2:7">
      <c r="B52" s="119" t="s">
        <v>8</v>
      </c>
      <c r="C52" s="16" t="s">
        <v>221</v>
      </c>
      <c r="D52" s="253">
        <v>104.7</v>
      </c>
      <c r="E52" s="82">
        <v>107.18</v>
      </c>
    </row>
    <row r="53" spans="2:7" ht="13.5" thickBot="1">
      <c r="B53" s="120" t="s">
        <v>9</v>
      </c>
      <c r="C53" s="18" t="s">
        <v>41</v>
      </c>
      <c r="D53" s="254">
        <v>103.01</v>
      </c>
      <c r="E53" s="167">
        <v>106.26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86900.800000000003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86900.800000000003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86900.800000000003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86900.800000000003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6"/>
  <dimension ref="A1:L81"/>
  <sheetViews>
    <sheetView topLeftCell="A4"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14.25">
      <c r="B5" s="333" t="s">
        <v>1</v>
      </c>
      <c r="C5" s="333"/>
      <c r="D5" s="333"/>
      <c r="E5" s="333"/>
    </row>
    <row r="6" spans="2:12" ht="14.25">
      <c r="B6" s="334" t="s">
        <v>256</v>
      </c>
      <c r="C6" s="334"/>
      <c r="D6" s="334"/>
      <c r="E6" s="334"/>
    </row>
    <row r="7" spans="2:12" ht="14.25">
      <c r="B7" s="196"/>
      <c r="C7" s="196"/>
      <c r="D7" s="196"/>
      <c r="E7" s="19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9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8482.2099999999991</v>
      </c>
      <c r="E11" s="9">
        <f>E12</f>
        <v>293618.39</v>
      </c>
    </row>
    <row r="12" spans="2:12">
      <c r="B12" s="123" t="s">
        <v>4</v>
      </c>
      <c r="C12" s="6" t="s">
        <v>5</v>
      </c>
      <c r="D12" s="297">
        <v>8482.2099999999991</v>
      </c>
      <c r="E12" s="95">
        <v>293618.39</v>
      </c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/>
      <c r="E14" s="95"/>
      <c r="G14" s="71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123" t="s">
        <v>4</v>
      </c>
      <c r="C18" s="6" t="s">
        <v>11</v>
      </c>
      <c r="D18" s="297"/>
      <c r="E18" s="96"/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D12</f>
        <v>8482.2099999999991</v>
      </c>
      <c r="E21" s="165">
        <f>E11</f>
        <v>293618.39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97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 t="s">
        <v>246</v>
      </c>
      <c r="E26" s="112">
        <f>D21</f>
        <v>8482.2099999999991</v>
      </c>
      <c r="G26" s="171"/>
    </row>
    <row r="27" spans="2:11">
      <c r="B27" s="10" t="s">
        <v>17</v>
      </c>
      <c r="C27" s="11" t="s">
        <v>217</v>
      </c>
      <c r="D27" s="245">
        <v>8248.2900000000009</v>
      </c>
      <c r="E27" s="269">
        <f>E28-E32</f>
        <v>276581.94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8800.630000000001</v>
      </c>
      <c r="E28" s="284">
        <f>SUM(E29:E31)</f>
        <v>294626.59999999998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8218.5300000000007</v>
      </c>
      <c r="E29" s="286">
        <v>251847.34</v>
      </c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>
        <v>582.1</v>
      </c>
      <c r="E31" s="286">
        <v>42779.26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552.33999999999992</v>
      </c>
      <c r="E32" s="284">
        <f>SUM(E33:E39)</f>
        <v>18044.66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12.55</v>
      </c>
      <c r="E33" s="286">
        <v>13078.17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536.89</v>
      </c>
      <c r="E35" s="286">
        <v>3926.59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>
        <v>2.9</v>
      </c>
      <c r="E37" s="286">
        <v>838.48</v>
      </c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/>
      <c r="E39" s="288">
        <v>201.42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233.92</v>
      </c>
      <c r="E40" s="115">
        <v>8554.24</v>
      </c>
      <c r="G40" s="81"/>
    </row>
    <row r="41" spans="2:10" ht="13.5" thickBot="1">
      <c r="B41" s="116" t="s">
        <v>37</v>
      </c>
      <c r="C41" s="117" t="s">
        <v>38</v>
      </c>
      <c r="D41" s="249">
        <v>8482.2100000000009</v>
      </c>
      <c r="E41" s="165">
        <f>E26+E27+E40</f>
        <v>293618.39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97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/>
      <c r="E47" s="80">
        <v>79.555499999999995</v>
      </c>
      <c r="G47" s="77"/>
    </row>
    <row r="48" spans="2:10">
      <c r="B48" s="140" t="s">
        <v>6</v>
      </c>
      <c r="C48" s="23" t="s">
        <v>41</v>
      </c>
      <c r="D48" s="251">
        <v>79.555499999999995</v>
      </c>
      <c r="E48" s="166">
        <v>2594.4895999999999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/>
      <c r="E50" s="82">
        <v>106.62</v>
      </c>
      <c r="G50" s="208"/>
    </row>
    <row r="51" spans="2:7">
      <c r="B51" s="119" t="s">
        <v>6</v>
      </c>
      <c r="C51" s="16" t="s">
        <v>220</v>
      </c>
      <c r="D51" s="253">
        <v>99.19</v>
      </c>
      <c r="E51" s="82">
        <v>105.94</v>
      </c>
      <c r="G51" s="208"/>
    </row>
    <row r="52" spans="2:7">
      <c r="B52" s="119" t="s">
        <v>8</v>
      </c>
      <c r="C52" s="16" t="s">
        <v>221</v>
      </c>
      <c r="D52" s="253">
        <v>108.6</v>
      </c>
      <c r="E52" s="82">
        <v>114.24</v>
      </c>
    </row>
    <row r="53" spans="2:7" ht="13.5" thickBot="1">
      <c r="B53" s="120" t="s">
        <v>9</v>
      </c>
      <c r="C53" s="18" t="s">
        <v>41</v>
      </c>
      <c r="D53" s="254">
        <v>106.62</v>
      </c>
      <c r="E53" s="167">
        <v>113.17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293618.39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293618.39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293618.39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293618.39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7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14.25">
      <c r="B5" s="333" t="s">
        <v>1</v>
      </c>
      <c r="C5" s="333"/>
      <c r="D5" s="333"/>
      <c r="E5" s="333"/>
    </row>
    <row r="6" spans="2:12" ht="14.25">
      <c r="B6" s="334" t="s">
        <v>233</v>
      </c>
      <c r="C6" s="334"/>
      <c r="D6" s="334"/>
      <c r="E6" s="334"/>
    </row>
    <row r="7" spans="2:12" ht="14.25">
      <c r="B7" s="168"/>
      <c r="C7" s="168"/>
      <c r="D7" s="168"/>
      <c r="E7" s="168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69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134781.98000000001</v>
      </c>
      <c r="E11" s="9">
        <f>E12</f>
        <v>45466.21</v>
      </c>
    </row>
    <row r="12" spans="2:12">
      <c r="B12" s="123" t="s">
        <v>4</v>
      </c>
      <c r="C12" s="6" t="s">
        <v>5</v>
      </c>
      <c r="D12" s="297">
        <v>134781.98000000001</v>
      </c>
      <c r="E12" s="95">
        <v>45466.21</v>
      </c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/>
      <c r="E14" s="95"/>
      <c r="G14" s="71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123" t="s">
        <v>4</v>
      </c>
      <c r="C18" s="6" t="s">
        <v>11</v>
      </c>
      <c r="D18" s="297"/>
      <c r="E18" s="96"/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D12</f>
        <v>134781.98000000001</v>
      </c>
      <c r="E21" s="165">
        <f>E11</f>
        <v>45466.21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69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 t="s">
        <v>246</v>
      </c>
      <c r="E26" s="112">
        <f>D21</f>
        <v>134781.98000000001</v>
      </c>
      <c r="G26" s="171"/>
    </row>
    <row r="27" spans="2:11">
      <c r="B27" s="10" t="s">
        <v>17</v>
      </c>
      <c r="C27" s="11" t="s">
        <v>217</v>
      </c>
      <c r="D27" s="245">
        <v>130885.92</v>
      </c>
      <c r="E27" s="269">
        <f>E28-E32</f>
        <v>-95525.14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142841.16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142841.16</v>
      </c>
      <c r="E29" s="286"/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11955.24</v>
      </c>
      <c r="E32" s="284">
        <f>SUM(E33:E39)</f>
        <v>95525.14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10598.05</v>
      </c>
      <c r="E33" s="286">
        <v>92995.48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220.51</v>
      </c>
      <c r="E35" s="286">
        <v>395.03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>
        <v>1136.68</v>
      </c>
      <c r="E37" s="286">
        <v>2134.63</v>
      </c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3896.06</v>
      </c>
      <c r="E40" s="115">
        <v>6209.37</v>
      </c>
      <c r="G40" s="81"/>
    </row>
    <row r="41" spans="2:10" ht="13.5" thickBot="1">
      <c r="B41" s="116" t="s">
        <v>37</v>
      </c>
      <c r="C41" s="117" t="s">
        <v>38</v>
      </c>
      <c r="D41" s="249">
        <v>134781.98000000001</v>
      </c>
      <c r="E41" s="165">
        <f>E26+E27+E40</f>
        <v>45466.210000000014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69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/>
      <c r="E47" s="80">
        <v>1244.7542000000001</v>
      </c>
      <c r="G47" s="77"/>
    </row>
    <row r="48" spans="2:10">
      <c r="B48" s="140" t="s">
        <v>6</v>
      </c>
      <c r="C48" s="23" t="s">
        <v>41</v>
      </c>
      <c r="D48" s="251">
        <v>1244.7542000000001</v>
      </c>
      <c r="E48" s="166">
        <v>399.91390000000001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/>
      <c r="E50" s="82">
        <v>108.28</v>
      </c>
      <c r="G50" s="208"/>
    </row>
    <row r="51" spans="2:7">
      <c r="B51" s="119" t="s">
        <v>6</v>
      </c>
      <c r="C51" s="16" t="s">
        <v>220</v>
      </c>
      <c r="D51" s="253">
        <v>100.34</v>
      </c>
      <c r="E51" s="82">
        <v>108.28</v>
      </c>
      <c r="G51" s="208"/>
    </row>
    <row r="52" spans="2:7">
      <c r="B52" s="119" t="s">
        <v>8</v>
      </c>
      <c r="C52" s="16" t="s">
        <v>221</v>
      </c>
      <c r="D52" s="253">
        <v>108.52</v>
      </c>
      <c r="E52" s="82">
        <v>113.81</v>
      </c>
    </row>
    <row r="53" spans="2:7" ht="13.5" thickBot="1">
      <c r="B53" s="120" t="s">
        <v>9</v>
      </c>
      <c r="C53" s="18" t="s">
        <v>41</v>
      </c>
      <c r="D53" s="254">
        <v>108.28</v>
      </c>
      <c r="E53" s="167">
        <v>113.69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45466.21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45466.21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45466.21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45466.21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8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H2" s="178"/>
      <c r="I2" s="178"/>
      <c r="J2" s="178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14.25">
      <c r="B5" s="333" t="s">
        <v>1</v>
      </c>
      <c r="C5" s="333"/>
      <c r="D5" s="333"/>
      <c r="E5" s="333"/>
      <c r="H5" s="178"/>
      <c r="I5" s="178"/>
      <c r="J5" s="178"/>
    </row>
    <row r="6" spans="2:12" ht="14.25">
      <c r="B6" s="334" t="s">
        <v>234</v>
      </c>
      <c r="C6" s="334"/>
      <c r="D6" s="334"/>
      <c r="E6" s="334"/>
    </row>
    <row r="7" spans="2:12" ht="14.25">
      <c r="B7" s="168"/>
      <c r="C7" s="168"/>
      <c r="D7" s="168"/>
      <c r="E7" s="168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69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78178.210000000006</v>
      </c>
      <c r="E11" s="9">
        <f>E12</f>
        <v>70078.289999999994</v>
      </c>
    </row>
    <row r="12" spans="2:12">
      <c r="B12" s="123" t="s">
        <v>4</v>
      </c>
      <c r="C12" s="6" t="s">
        <v>5</v>
      </c>
      <c r="D12" s="297">
        <v>78178.210000000006</v>
      </c>
      <c r="E12" s="95">
        <v>70078.289999999994</v>
      </c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/>
      <c r="E14" s="95"/>
      <c r="G14" s="71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123" t="s">
        <v>4</v>
      </c>
      <c r="C18" s="6" t="s">
        <v>11</v>
      </c>
      <c r="D18" s="297"/>
      <c r="E18" s="96"/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D12</f>
        <v>78178.210000000006</v>
      </c>
      <c r="E21" s="165">
        <f>E11</f>
        <v>70078.289999999994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69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 t="s">
        <v>246</v>
      </c>
      <c r="E26" s="112">
        <f>D21</f>
        <v>78178.210000000006</v>
      </c>
      <c r="G26" s="81"/>
    </row>
    <row r="27" spans="2:11">
      <c r="B27" s="10" t="s">
        <v>17</v>
      </c>
      <c r="C27" s="11" t="s">
        <v>217</v>
      </c>
      <c r="D27" s="245">
        <v>76566.83</v>
      </c>
      <c r="E27" s="269">
        <f>E28-E32</f>
        <v>-10451.059999999998</v>
      </c>
      <c r="F27" s="77"/>
      <c r="G27" s="17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97068.99</v>
      </c>
      <c r="E28" s="284">
        <f>SUM(E29:E31)</f>
        <v>10773.34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97068.99</v>
      </c>
      <c r="E29" s="286"/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/>
      <c r="E31" s="286">
        <v>10773.34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20502.16</v>
      </c>
      <c r="E32" s="284">
        <f>SUM(E33:E39)</f>
        <v>21224.399999999998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19739.63</v>
      </c>
      <c r="E33" s="286"/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137.85</v>
      </c>
      <c r="E35" s="286">
        <v>153.65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>
        <v>624.67999999999995</v>
      </c>
      <c r="E37" s="286">
        <v>1131.04</v>
      </c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/>
      <c r="E39" s="288">
        <v>19939.71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1611.38</v>
      </c>
      <c r="E40" s="115">
        <v>2351.14</v>
      </c>
      <c r="G40" s="81"/>
    </row>
    <row r="41" spans="2:10" ht="13.5" thickBot="1">
      <c r="B41" s="116" t="s">
        <v>37</v>
      </c>
      <c r="C41" s="117" t="s">
        <v>38</v>
      </c>
      <c r="D41" s="249">
        <v>78178.210000000006</v>
      </c>
      <c r="E41" s="165">
        <f>E26+E27+E40</f>
        <v>70078.290000000008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69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/>
      <c r="E47" s="80">
        <v>741.23649999999998</v>
      </c>
      <c r="G47" s="77"/>
    </row>
    <row r="48" spans="2:10">
      <c r="B48" s="140" t="s">
        <v>6</v>
      </c>
      <c r="C48" s="23" t="s">
        <v>41</v>
      </c>
      <c r="D48" s="251">
        <v>741.23649999999998</v>
      </c>
      <c r="E48" s="166">
        <v>641.39020000000005</v>
      </c>
      <c r="G48" s="77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/>
      <c r="E50" s="82">
        <v>105.47</v>
      </c>
      <c r="G50" s="208"/>
    </row>
    <row r="51" spans="2:7">
      <c r="B51" s="119" t="s">
        <v>6</v>
      </c>
      <c r="C51" s="16" t="s">
        <v>220</v>
      </c>
      <c r="D51" s="253">
        <v>98.47</v>
      </c>
      <c r="E51" s="82">
        <v>105.46</v>
      </c>
      <c r="G51" s="208"/>
    </row>
    <row r="52" spans="2:7">
      <c r="B52" s="119" t="s">
        <v>8</v>
      </c>
      <c r="C52" s="16" t="s">
        <v>221</v>
      </c>
      <c r="D52" s="253">
        <v>106.27</v>
      </c>
      <c r="E52" s="82">
        <v>109.43</v>
      </c>
    </row>
    <row r="53" spans="2:7" ht="13.5" thickBot="1">
      <c r="B53" s="120" t="s">
        <v>9</v>
      </c>
      <c r="C53" s="18" t="s">
        <v>41</v>
      </c>
      <c r="D53" s="254">
        <v>105.47</v>
      </c>
      <c r="E53" s="167">
        <v>109.26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70078.289999999994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70078.289999999994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70078.289999999994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70078.289999999994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9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01"/>
      <c r="C4" s="101"/>
      <c r="D4" s="101"/>
      <c r="E4" s="10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114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23367.21</v>
      </c>
      <c r="E11" s="9">
        <f>E12</f>
        <v>18753.18</v>
      </c>
    </row>
    <row r="12" spans="2:12">
      <c r="B12" s="123" t="s">
        <v>4</v>
      </c>
      <c r="C12" s="6" t="s">
        <v>5</v>
      </c>
      <c r="D12" s="297">
        <v>23367.21</v>
      </c>
      <c r="E12" s="95">
        <v>18753.18</v>
      </c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/>
      <c r="E14" s="95"/>
      <c r="G14" s="71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123" t="s">
        <v>4</v>
      </c>
      <c r="C18" s="6" t="s">
        <v>11</v>
      </c>
      <c r="D18" s="297"/>
      <c r="E18" s="96"/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23367.21</v>
      </c>
      <c r="E21" s="165">
        <f>E12</f>
        <v>18753.18</v>
      </c>
      <c r="F21" s="86"/>
      <c r="G21" s="86"/>
      <c r="H21" s="189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02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30445.13</v>
      </c>
      <c r="E26" s="112">
        <f>D21</f>
        <v>23367.21</v>
      </c>
      <c r="G26" s="81"/>
    </row>
    <row r="27" spans="2:11">
      <c r="B27" s="10" t="s">
        <v>17</v>
      </c>
      <c r="C27" s="11" t="s">
        <v>217</v>
      </c>
      <c r="D27" s="245">
        <v>-8321.58</v>
      </c>
      <c r="E27" s="269">
        <f>E28-E32</f>
        <v>-5680.4800000000005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0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8321.58</v>
      </c>
      <c r="E32" s="284">
        <f>SUM(E33:E39)</f>
        <v>5680.4800000000005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7170.26</v>
      </c>
      <c r="E33" s="286">
        <v>5254.52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102.19</v>
      </c>
      <c r="E35" s="286">
        <v>34.89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>
        <v>1049.1300000000001</v>
      </c>
      <c r="E37" s="286">
        <v>391.07</v>
      </c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1243.6600000000001</v>
      </c>
      <c r="E40" s="115">
        <v>1066.45</v>
      </c>
      <c r="G40" s="81"/>
    </row>
    <row r="41" spans="2:10" ht="13.5" thickBot="1">
      <c r="B41" s="116" t="s">
        <v>37</v>
      </c>
      <c r="C41" s="117" t="s">
        <v>38</v>
      </c>
      <c r="D41" s="249">
        <v>23367.210000000003</v>
      </c>
      <c r="E41" s="165">
        <f>E26+E27+E40</f>
        <v>18753.18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272.75689999999997</v>
      </c>
      <c r="E47" s="166">
        <v>200.57689999999999</v>
      </c>
      <c r="G47" s="77"/>
    </row>
    <row r="48" spans="2:10">
      <c r="B48" s="140" t="s">
        <v>6</v>
      </c>
      <c r="C48" s="23" t="s">
        <v>41</v>
      </c>
      <c r="D48" s="251">
        <v>200.57689999999999</v>
      </c>
      <c r="E48" s="166">
        <v>153.12469999999999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119" t="s">
        <v>4</v>
      </c>
      <c r="C50" s="16" t="s">
        <v>40</v>
      </c>
      <c r="D50" s="250">
        <v>111.62</v>
      </c>
      <c r="E50" s="166">
        <v>116.5</v>
      </c>
      <c r="G50" s="208"/>
    </row>
    <row r="51" spans="2:7">
      <c r="B51" s="119" t="s">
        <v>6</v>
      </c>
      <c r="C51" s="16" t="s">
        <v>220</v>
      </c>
      <c r="D51" s="253">
        <v>111.62</v>
      </c>
      <c r="E51" s="82">
        <v>116.5</v>
      </c>
      <c r="G51" s="208"/>
    </row>
    <row r="52" spans="2:7">
      <c r="B52" s="119" t="s">
        <v>8</v>
      </c>
      <c r="C52" s="16" t="s">
        <v>221</v>
      </c>
      <c r="D52" s="253">
        <v>116.5</v>
      </c>
      <c r="E52" s="82">
        <v>122.47</v>
      </c>
    </row>
    <row r="53" spans="2:7" ht="12.75" customHeight="1" thickBot="1">
      <c r="B53" s="120" t="s">
        <v>9</v>
      </c>
      <c r="C53" s="18" t="s">
        <v>41</v>
      </c>
      <c r="D53" s="254">
        <v>116.5</v>
      </c>
      <c r="E53" s="167">
        <v>122.47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18753.18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18753.18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18753.18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18753.18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4.710937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99"/>
      <c r="C4" s="99"/>
      <c r="D4" s="99"/>
      <c r="E4" s="99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87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  <c r="G9" s="236"/>
    </row>
    <row r="10" spans="2:12" ht="13.5" thickBot="1">
      <c r="B10" s="100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114039335.68000001</v>
      </c>
      <c r="E11" s="9">
        <f>E12+E13+E14</f>
        <v>115562306.42</v>
      </c>
    </row>
    <row r="12" spans="2:12">
      <c r="B12" s="123" t="s">
        <v>4</v>
      </c>
      <c r="C12" s="6" t="s">
        <v>5</v>
      </c>
      <c r="D12" s="297">
        <v>113659848.37</v>
      </c>
      <c r="E12" s="95">
        <f>117113800.56-1900468.3</f>
        <v>115213332.26000001</v>
      </c>
    </row>
    <row r="13" spans="2:12">
      <c r="B13" s="123" t="s">
        <v>6</v>
      </c>
      <c r="C13" s="72" t="s">
        <v>7</v>
      </c>
      <c r="D13" s="297">
        <v>16.690000000000001</v>
      </c>
      <c r="E13" s="95"/>
    </row>
    <row r="14" spans="2:12">
      <c r="B14" s="123" t="s">
        <v>8</v>
      </c>
      <c r="C14" s="72" t="s">
        <v>10</v>
      </c>
      <c r="D14" s="297">
        <v>379470.62</v>
      </c>
      <c r="E14" s="95">
        <f>E15</f>
        <v>348974.16</v>
      </c>
    </row>
    <row r="15" spans="2:12">
      <c r="B15" s="123" t="s">
        <v>212</v>
      </c>
      <c r="C15" s="72" t="s">
        <v>11</v>
      </c>
      <c r="D15" s="297">
        <v>379470.62</v>
      </c>
      <c r="E15" s="95">
        <v>348974.16</v>
      </c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>
        <v>146064.75</v>
      </c>
      <c r="E17" s="107">
        <f>SUM(E18:E19)</f>
        <v>190678.66</v>
      </c>
    </row>
    <row r="18" spans="2:11">
      <c r="B18" s="123" t="s">
        <v>4</v>
      </c>
      <c r="C18" s="6" t="s">
        <v>11</v>
      </c>
      <c r="D18" s="297">
        <v>146064.75</v>
      </c>
      <c r="E18" s="96">
        <v>190678.66</v>
      </c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113893270.93000001</v>
      </c>
      <c r="E21" s="165">
        <f>E11-E17</f>
        <v>115371627.76000001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5.75">
      <c r="B23" s="336"/>
      <c r="C23" s="344"/>
      <c r="D23" s="344"/>
      <c r="E23" s="344"/>
      <c r="G23" s="77"/>
    </row>
    <row r="24" spans="2:11" ht="16.5" customHeight="1" thickBot="1">
      <c r="B24" s="335" t="s">
        <v>211</v>
      </c>
      <c r="C24" s="345"/>
      <c r="D24" s="345"/>
      <c r="E24" s="345"/>
    </row>
    <row r="25" spans="2:11" ht="13.5" thickBot="1">
      <c r="B25" s="100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115191035.45</v>
      </c>
      <c r="E26" s="112">
        <f>D21</f>
        <v>113893270.93000001</v>
      </c>
      <c r="G26" s="81"/>
    </row>
    <row r="27" spans="2:11">
      <c r="B27" s="10" t="s">
        <v>17</v>
      </c>
      <c r="C27" s="11" t="s">
        <v>217</v>
      </c>
      <c r="D27" s="245">
        <v>-2987226.7800000124</v>
      </c>
      <c r="E27" s="269">
        <f>E28-E32</f>
        <v>-1762474.7599999979</v>
      </c>
      <c r="F27" s="77"/>
      <c r="G27" s="81"/>
      <c r="H27" s="77"/>
      <c r="I27" s="81"/>
      <c r="J27" s="81"/>
    </row>
    <row r="28" spans="2:11">
      <c r="B28" s="10" t="s">
        <v>18</v>
      </c>
      <c r="C28" s="11" t="s">
        <v>19</v>
      </c>
      <c r="D28" s="245">
        <v>20137337.280000001</v>
      </c>
      <c r="E28" s="284">
        <f>SUM(E29:E31)</f>
        <v>17957086.010000002</v>
      </c>
      <c r="F28" s="77"/>
      <c r="G28" s="77"/>
      <c r="H28" s="77"/>
      <c r="I28" s="81"/>
      <c r="J28" s="81"/>
    </row>
    <row r="29" spans="2:11">
      <c r="B29" s="121" t="s">
        <v>4</v>
      </c>
      <c r="C29" s="6" t="s">
        <v>20</v>
      </c>
      <c r="D29" s="246">
        <v>19869138.050000001</v>
      </c>
      <c r="E29" s="286">
        <v>17481130.900000002</v>
      </c>
      <c r="F29" s="77"/>
      <c r="G29" s="77"/>
      <c r="H29" s="77"/>
      <c r="I29" s="81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81"/>
      <c r="J30" s="81"/>
    </row>
    <row r="31" spans="2:11">
      <c r="B31" s="121" t="s">
        <v>8</v>
      </c>
      <c r="C31" s="6" t="s">
        <v>22</v>
      </c>
      <c r="D31" s="246">
        <v>268199.23</v>
      </c>
      <c r="E31" s="286">
        <v>475955.11</v>
      </c>
      <c r="F31" s="77"/>
      <c r="G31" s="77"/>
      <c r="H31" s="77"/>
      <c r="I31" s="81"/>
      <c r="J31" s="81"/>
    </row>
    <row r="32" spans="2:11">
      <c r="B32" s="106" t="s">
        <v>23</v>
      </c>
      <c r="C32" s="12" t="s">
        <v>24</v>
      </c>
      <c r="D32" s="245">
        <v>23124564.060000014</v>
      </c>
      <c r="E32" s="284">
        <f>SUM(E33:E39)</f>
        <v>19719560.77</v>
      </c>
      <c r="F32" s="77"/>
      <c r="G32" s="81"/>
      <c r="H32" s="77"/>
      <c r="I32" s="81"/>
      <c r="J32" s="81"/>
    </row>
    <row r="33" spans="2:10">
      <c r="B33" s="121" t="s">
        <v>4</v>
      </c>
      <c r="C33" s="6" t="s">
        <v>25</v>
      </c>
      <c r="D33" s="246">
        <v>16754614.699999999</v>
      </c>
      <c r="E33" s="286">
        <f>14549015.21+172202.98</f>
        <v>14721218.190000001</v>
      </c>
      <c r="F33" s="77"/>
      <c r="G33" s="77"/>
      <c r="H33" s="77"/>
      <c r="I33" s="81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81"/>
      <c r="J34" s="81"/>
    </row>
    <row r="35" spans="2:10">
      <c r="B35" s="121" t="s">
        <v>8</v>
      </c>
      <c r="C35" s="6" t="s">
        <v>27</v>
      </c>
      <c r="D35" s="246">
        <v>3637889.65</v>
      </c>
      <c r="E35" s="286">
        <v>3204373.47</v>
      </c>
      <c r="F35" s="77"/>
      <c r="G35" s="77"/>
      <c r="H35" s="77"/>
      <c r="I35" s="81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81"/>
      <c r="J36" s="81"/>
    </row>
    <row r="37" spans="2:10" ht="25.5">
      <c r="B37" s="121" t="s">
        <v>29</v>
      </c>
      <c r="C37" s="6" t="s">
        <v>30</v>
      </c>
      <c r="D37" s="246"/>
      <c r="E37" s="286"/>
      <c r="F37" s="77"/>
      <c r="G37" s="77"/>
      <c r="H37" s="77"/>
      <c r="I37" s="81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81"/>
      <c r="J38" s="81"/>
    </row>
    <row r="39" spans="2:10">
      <c r="B39" s="122" t="s">
        <v>33</v>
      </c>
      <c r="C39" s="13" t="s">
        <v>34</v>
      </c>
      <c r="D39" s="247">
        <v>2732059.7100000144</v>
      </c>
      <c r="E39" s="288">
        <v>1793969.11</v>
      </c>
      <c r="F39" s="77"/>
      <c r="G39" s="77"/>
      <c r="H39" s="77"/>
      <c r="I39" s="81"/>
      <c r="J39" s="81"/>
    </row>
    <row r="40" spans="2:10" ht="13.5" thickBot="1">
      <c r="B40" s="113" t="s">
        <v>35</v>
      </c>
      <c r="C40" s="114" t="s">
        <v>36</v>
      </c>
      <c r="D40" s="248">
        <v>1689462.26</v>
      </c>
      <c r="E40" s="115">
        <v>3240831.59</v>
      </c>
      <c r="G40" s="81"/>
    </row>
    <row r="41" spans="2:10" ht="13.5" thickBot="1">
      <c r="B41" s="116" t="s">
        <v>37</v>
      </c>
      <c r="C41" s="117" t="s">
        <v>38</v>
      </c>
      <c r="D41" s="249">
        <v>113893270.92999999</v>
      </c>
      <c r="E41" s="165">
        <f>E26+E27+E40</f>
        <v>115371627.76000002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5.75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0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10089904.193600001</v>
      </c>
      <c r="E47" s="80">
        <v>9829700.2354601733</v>
      </c>
      <c r="G47" s="228"/>
    </row>
    <row r="48" spans="2:10">
      <c r="B48" s="140" t="s">
        <v>6</v>
      </c>
      <c r="C48" s="23" t="s">
        <v>41</v>
      </c>
      <c r="D48" s="251">
        <v>9829700.2354601733</v>
      </c>
      <c r="E48" s="80">
        <v>9686391.1517999992</v>
      </c>
      <c r="G48" s="231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11.4164647393842</v>
      </c>
      <c r="E50" s="80">
        <v>11.586647425842701</v>
      </c>
      <c r="G50" s="261"/>
    </row>
    <row r="51" spans="2:7">
      <c r="B51" s="119" t="s">
        <v>6</v>
      </c>
      <c r="C51" s="16" t="s">
        <v>220</v>
      </c>
      <c r="D51" s="256">
        <v>10.8537</v>
      </c>
      <c r="E51" s="268">
        <v>11.586600000000001</v>
      </c>
      <c r="G51" s="208"/>
    </row>
    <row r="52" spans="2:7" ht="12.75" customHeight="1">
      <c r="B52" s="119" t="s">
        <v>8</v>
      </c>
      <c r="C52" s="16" t="s">
        <v>221</v>
      </c>
      <c r="D52" s="256">
        <v>11.598100000000001</v>
      </c>
      <c r="E52" s="268">
        <v>12.0701</v>
      </c>
    </row>
    <row r="53" spans="2:7" ht="13.5" thickBot="1">
      <c r="B53" s="120" t="s">
        <v>9</v>
      </c>
      <c r="C53" s="18" t="s">
        <v>41</v>
      </c>
      <c r="D53" s="254">
        <v>11.586647425842701</v>
      </c>
      <c r="E53" s="300">
        <v>11.910692635819199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SUM(D59:D70)</f>
        <v>115213332.26000001</v>
      </c>
      <c r="E58" s="33">
        <f>D58/E21</f>
        <v>0.99862795122966197</v>
      </c>
    </row>
    <row r="59" spans="2:7" ht="25.5">
      <c r="B59" s="22" t="s">
        <v>4</v>
      </c>
      <c r="C59" s="23" t="s">
        <v>44</v>
      </c>
      <c r="D59" s="90">
        <v>0</v>
      </c>
      <c r="E59" s="91">
        <v>0</v>
      </c>
    </row>
    <row r="60" spans="2:7" ht="24" customHeight="1">
      <c r="B60" s="15" t="s">
        <v>6</v>
      </c>
      <c r="C60" s="16" t="s">
        <v>45</v>
      </c>
      <c r="D60" s="88">
        <v>0</v>
      </c>
      <c r="E60" s="89">
        <v>0</v>
      </c>
    </row>
    <row r="61" spans="2:7">
      <c r="B61" s="15" t="s">
        <v>8</v>
      </c>
      <c r="C61" s="16" t="s">
        <v>46</v>
      </c>
      <c r="D61" s="88">
        <v>0</v>
      </c>
      <c r="E61" s="89">
        <v>0</v>
      </c>
    </row>
    <row r="62" spans="2:7">
      <c r="B62" s="15" t="s">
        <v>9</v>
      </c>
      <c r="C62" s="16" t="s">
        <v>47</v>
      </c>
      <c r="D62" s="88">
        <v>0</v>
      </c>
      <c r="E62" s="89">
        <v>0</v>
      </c>
    </row>
    <row r="63" spans="2:7">
      <c r="B63" s="15" t="s">
        <v>29</v>
      </c>
      <c r="C63" s="16" t="s">
        <v>48</v>
      </c>
      <c r="D63" s="88">
        <v>0</v>
      </c>
      <c r="E63" s="89">
        <v>0</v>
      </c>
    </row>
    <row r="64" spans="2:7">
      <c r="B64" s="22" t="s">
        <v>31</v>
      </c>
      <c r="C64" s="23" t="s">
        <v>49</v>
      </c>
      <c r="D64" s="90">
        <f>116850737.2-1900468.3</f>
        <v>114950268.90000001</v>
      </c>
      <c r="E64" s="91">
        <f>D64/E21</f>
        <v>0.99634781212520873</v>
      </c>
    </row>
    <row r="65" spans="2:5">
      <c r="B65" s="22" t="s">
        <v>33</v>
      </c>
      <c r="C65" s="23" t="s">
        <v>224</v>
      </c>
      <c r="D65" s="90">
        <v>0</v>
      </c>
      <c r="E65" s="91">
        <v>0</v>
      </c>
    </row>
    <row r="66" spans="2:5">
      <c r="B66" s="22" t="s">
        <v>50</v>
      </c>
      <c r="C66" s="23" t="s">
        <v>51</v>
      </c>
      <c r="D66" s="90">
        <v>0</v>
      </c>
      <c r="E66" s="91">
        <v>0</v>
      </c>
    </row>
    <row r="67" spans="2:5">
      <c r="B67" s="15" t="s">
        <v>52</v>
      </c>
      <c r="C67" s="16" t="s">
        <v>53</v>
      </c>
      <c r="D67" s="88">
        <v>0</v>
      </c>
      <c r="E67" s="89">
        <v>0</v>
      </c>
    </row>
    <row r="68" spans="2:5">
      <c r="B68" s="15" t="s">
        <v>54</v>
      </c>
      <c r="C68" s="16" t="s">
        <v>55</v>
      </c>
      <c r="D68" s="88">
        <v>0</v>
      </c>
      <c r="E68" s="89">
        <v>0</v>
      </c>
    </row>
    <row r="69" spans="2:5">
      <c r="B69" s="15" t="s">
        <v>56</v>
      </c>
      <c r="C69" s="16" t="s">
        <v>57</v>
      </c>
      <c r="D69" s="88">
        <v>263063.36</v>
      </c>
      <c r="E69" s="89">
        <f>D69/E21</f>
        <v>2.2801391044532486E-3</v>
      </c>
    </row>
    <row r="70" spans="2:5">
      <c r="B70" s="129" t="s">
        <v>58</v>
      </c>
      <c r="C70" s="130" t="s">
        <v>59</v>
      </c>
      <c r="D70" s="131">
        <v>0</v>
      </c>
      <c r="E70" s="132">
        <v>0</v>
      </c>
    </row>
    <row r="71" spans="2:5">
      <c r="B71" s="137" t="s">
        <v>23</v>
      </c>
      <c r="C71" s="138" t="s">
        <v>61</v>
      </c>
      <c r="D71" s="139">
        <f>E13</f>
        <v>0</v>
      </c>
      <c r="E71" s="70">
        <v>0</v>
      </c>
    </row>
    <row r="72" spans="2:5">
      <c r="B72" s="133" t="s">
        <v>60</v>
      </c>
      <c r="C72" s="134" t="s">
        <v>63</v>
      </c>
      <c r="D72" s="135">
        <f>E14</f>
        <v>348974.16</v>
      </c>
      <c r="E72" s="136">
        <f>D72/E21</f>
        <v>3.0247831878210812E-3</v>
      </c>
    </row>
    <row r="73" spans="2:5">
      <c r="B73" s="24" t="s">
        <v>62</v>
      </c>
      <c r="C73" s="25" t="s">
        <v>65</v>
      </c>
      <c r="D73" s="26">
        <f>E17</f>
        <v>190678.66</v>
      </c>
      <c r="E73" s="27">
        <f>D73/E21</f>
        <v>1.6527344174830944E-3</v>
      </c>
    </row>
    <row r="74" spans="2:5">
      <c r="B74" s="137" t="s">
        <v>64</v>
      </c>
      <c r="C74" s="138" t="s">
        <v>66</v>
      </c>
      <c r="D74" s="139">
        <f>D58+D71+D72-D73</f>
        <v>115371627.76000001</v>
      </c>
      <c r="E74" s="70">
        <f>E58+E72-E73</f>
        <v>0.99999999999999989</v>
      </c>
    </row>
    <row r="75" spans="2:5">
      <c r="B75" s="15" t="s">
        <v>4</v>
      </c>
      <c r="C75" s="16" t="s">
        <v>67</v>
      </c>
      <c r="D75" s="88">
        <f>D74</f>
        <v>115371627.76000001</v>
      </c>
      <c r="E75" s="89">
        <f>E74</f>
        <v>0.99999999999999989</v>
      </c>
    </row>
    <row r="76" spans="2:5">
      <c r="B76" s="15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7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" right="0.75" top="0.59" bottom="0.4" header="0.5" footer="0.5"/>
  <pageSetup paperSize="9" scale="70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0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14.25">
      <c r="B5" s="333" t="s">
        <v>1</v>
      </c>
      <c r="C5" s="333"/>
      <c r="D5" s="333"/>
      <c r="E5" s="333"/>
    </row>
    <row r="6" spans="2:12" ht="14.25">
      <c r="B6" s="334" t="s">
        <v>235</v>
      </c>
      <c r="C6" s="334"/>
      <c r="D6" s="334"/>
      <c r="E6" s="334"/>
    </row>
    <row r="7" spans="2:12" ht="14.25">
      <c r="B7" s="168"/>
      <c r="C7" s="168"/>
      <c r="D7" s="168"/>
      <c r="E7" s="168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69"/>
      <c r="C10" s="85" t="s">
        <v>2</v>
      </c>
      <c r="D10" s="74" t="s">
        <v>245</v>
      </c>
      <c r="E10" s="30" t="s">
        <v>268</v>
      </c>
      <c r="H10" s="172"/>
    </row>
    <row r="11" spans="2:12">
      <c r="B11" s="104" t="s">
        <v>3</v>
      </c>
      <c r="C11" s="145" t="s">
        <v>215</v>
      </c>
      <c r="D11" s="292">
        <v>5108.1099999999997</v>
      </c>
      <c r="E11" s="9">
        <f>E12</f>
        <v>19643.47</v>
      </c>
    </row>
    <row r="12" spans="2:12">
      <c r="B12" s="123" t="s">
        <v>4</v>
      </c>
      <c r="C12" s="6" t="s">
        <v>5</v>
      </c>
      <c r="D12" s="297">
        <v>5108.1099999999997</v>
      </c>
      <c r="E12" s="95">
        <v>19643.47</v>
      </c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/>
      <c r="E14" s="95"/>
      <c r="G14" s="71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123" t="s">
        <v>4</v>
      </c>
      <c r="C18" s="6" t="s">
        <v>11</v>
      </c>
      <c r="D18" s="297"/>
      <c r="E18" s="96"/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D12</f>
        <v>5108.1099999999997</v>
      </c>
      <c r="E21" s="165">
        <f>E12</f>
        <v>19643.47</v>
      </c>
      <c r="F21" s="86"/>
      <c r="G21" s="86"/>
      <c r="H21" s="189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69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 t="s">
        <v>246</v>
      </c>
      <c r="E26" s="112">
        <f>D21</f>
        <v>5108.1099999999997</v>
      </c>
      <c r="G26" s="81"/>
    </row>
    <row r="27" spans="2:11">
      <c r="B27" s="10" t="s">
        <v>17</v>
      </c>
      <c r="C27" s="11" t="s">
        <v>217</v>
      </c>
      <c r="D27" s="245">
        <v>1205.7599999999948</v>
      </c>
      <c r="E27" s="269">
        <f>E28-E32</f>
        <v>14436.17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103120.04</v>
      </c>
      <c r="E28" s="284">
        <f>SUM(E29:E31)</f>
        <v>19878.23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>
        <v>103120.04</v>
      </c>
      <c r="E31" s="286">
        <v>19878.23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101914.28</v>
      </c>
      <c r="E32" s="284">
        <f>SUM(E33:E39)</f>
        <v>5442.0599999999995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100836.68</v>
      </c>
      <c r="E33" s="286"/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35.32</v>
      </c>
      <c r="E35" s="286">
        <v>14.18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>
        <v>1042.28</v>
      </c>
      <c r="E37" s="286">
        <v>279.52</v>
      </c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/>
      <c r="E39" s="288">
        <v>5148.3599999999997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3902.35</v>
      </c>
      <c r="E40" s="115">
        <v>99.19</v>
      </c>
      <c r="G40" s="81"/>
    </row>
    <row r="41" spans="2:10" ht="13.5" thickBot="1">
      <c r="B41" s="116" t="s">
        <v>37</v>
      </c>
      <c r="C41" s="117" t="s">
        <v>38</v>
      </c>
      <c r="D41" s="249">
        <v>5108.1099999999951</v>
      </c>
      <c r="E41" s="165">
        <f>E26+E27+E40</f>
        <v>19643.469999999998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69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/>
      <c r="E47" s="166">
        <v>36.158499999999997</v>
      </c>
      <c r="G47" s="77"/>
    </row>
    <row r="48" spans="2:10">
      <c r="B48" s="140" t="s">
        <v>6</v>
      </c>
      <c r="C48" s="23" t="s">
        <v>41</v>
      </c>
      <c r="D48" s="251">
        <v>36.158499999999997</v>
      </c>
      <c r="E48" s="166">
        <v>136.57419999999999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119" t="s">
        <v>4</v>
      </c>
      <c r="C50" s="16" t="s">
        <v>40</v>
      </c>
      <c r="D50" s="250"/>
      <c r="E50" s="166">
        <v>141.27000000000001</v>
      </c>
      <c r="G50" s="208"/>
    </row>
    <row r="51" spans="2:7">
      <c r="B51" s="119" t="s">
        <v>6</v>
      </c>
      <c r="C51" s="16" t="s">
        <v>220</v>
      </c>
      <c r="D51" s="253">
        <v>130.68</v>
      </c>
      <c r="E51" s="82">
        <v>140.28</v>
      </c>
      <c r="G51" s="208"/>
    </row>
    <row r="52" spans="2:7">
      <c r="B52" s="119" t="s">
        <v>8</v>
      </c>
      <c r="C52" s="16" t="s">
        <v>221</v>
      </c>
      <c r="D52" s="253">
        <v>141.41999999999999</v>
      </c>
      <c r="E52" s="82">
        <v>146.1</v>
      </c>
    </row>
    <row r="53" spans="2:7" ht="13.5" thickBot="1">
      <c r="B53" s="120" t="s">
        <v>9</v>
      </c>
      <c r="C53" s="18" t="s">
        <v>41</v>
      </c>
      <c r="D53" s="254">
        <v>141.27000000000001</v>
      </c>
      <c r="E53" s="167">
        <v>143.83000000000001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19643.47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19643.47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19643.47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19643.47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1">
    <pageSetUpPr fitToPage="1"/>
  </sheetPr>
  <dimension ref="A1:L81"/>
  <sheetViews>
    <sheetView topLeftCell="A28"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01"/>
      <c r="C4" s="101"/>
      <c r="D4" s="101"/>
      <c r="E4" s="10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115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55737.33</v>
      </c>
      <c r="E11" s="9">
        <f>E12</f>
        <v>53370.67</v>
      </c>
    </row>
    <row r="12" spans="2:12">
      <c r="B12" s="209" t="s">
        <v>4</v>
      </c>
      <c r="C12" s="210" t="s">
        <v>5</v>
      </c>
      <c r="D12" s="297">
        <v>55737.33</v>
      </c>
      <c r="E12" s="95">
        <v>53370.67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55737.33</v>
      </c>
      <c r="E21" s="165">
        <f>E12</f>
        <v>53370.67</v>
      </c>
      <c r="F21" s="86"/>
      <c r="G21" s="86"/>
      <c r="H21" s="189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315259.2</v>
      </c>
      <c r="E26" s="112">
        <f>D21</f>
        <v>55737.33</v>
      </c>
      <c r="G26" s="81"/>
    </row>
    <row r="27" spans="2:11">
      <c r="B27" s="10" t="s">
        <v>17</v>
      </c>
      <c r="C27" s="11" t="s">
        <v>217</v>
      </c>
      <c r="D27" s="245">
        <v>-260013.88</v>
      </c>
      <c r="E27" s="269">
        <f>E28-E32</f>
        <v>-3931.0600000000004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0</v>
      </c>
      <c r="E28" s="284">
        <f>SUM(E29:E31)</f>
        <v>7227.89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>
        <v>7227.89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260013.88</v>
      </c>
      <c r="E32" s="284">
        <f>SUM(E33:E39)</f>
        <v>11158.95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9694.15</v>
      </c>
      <c r="E33" s="286">
        <v>8110.5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94.07</v>
      </c>
      <c r="E35" s="286">
        <v>41.02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2122.5100000000002</v>
      </c>
      <c r="E37" s="286">
        <v>962.32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248103.15</v>
      </c>
      <c r="E39" s="288">
        <v>2045.11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492.01</v>
      </c>
      <c r="E40" s="115">
        <v>1564.4</v>
      </c>
      <c r="G40" s="81"/>
    </row>
    <row r="41" spans="2:10" ht="13.5" thickBot="1">
      <c r="B41" s="116" t="s">
        <v>37</v>
      </c>
      <c r="C41" s="117" t="s">
        <v>38</v>
      </c>
      <c r="D41" s="249">
        <v>55737.330000000009</v>
      </c>
      <c r="E41" s="165">
        <f>E26+E27+E40</f>
        <v>53370.670000000006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2582.8216000000002</v>
      </c>
      <c r="E47" s="166">
        <v>438.08319999999998</v>
      </c>
      <c r="G47" s="77"/>
    </row>
    <row r="48" spans="2:10">
      <c r="B48" s="222" t="s">
        <v>6</v>
      </c>
      <c r="C48" s="223" t="s">
        <v>41</v>
      </c>
      <c r="D48" s="251">
        <v>438.08319999999998</v>
      </c>
      <c r="E48" s="166">
        <v>406.60270000000003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122.06</v>
      </c>
      <c r="E50" s="166">
        <v>127.23</v>
      </c>
      <c r="G50" s="208"/>
    </row>
    <row r="51" spans="2:7">
      <c r="B51" s="220" t="s">
        <v>6</v>
      </c>
      <c r="C51" s="221" t="s">
        <v>220</v>
      </c>
      <c r="D51" s="253">
        <v>120.99000000000001</v>
      </c>
      <c r="E51" s="82">
        <v>127.21</v>
      </c>
      <c r="G51" s="208"/>
    </row>
    <row r="52" spans="2:7">
      <c r="B52" s="220" t="s">
        <v>8</v>
      </c>
      <c r="C52" s="221" t="s">
        <v>221</v>
      </c>
      <c r="D52" s="253">
        <v>127.23</v>
      </c>
      <c r="E52" s="82">
        <v>131.26</v>
      </c>
    </row>
    <row r="53" spans="2:7" ht="13.5" customHeight="1" thickBot="1">
      <c r="B53" s="224" t="s">
        <v>9</v>
      </c>
      <c r="C53" s="225" t="s">
        <v>41</v>
      </c>
      <c r="D53" s="254">
        <v>127.23</v>
      </c>
      <c r="E53" s="167">
        <v>131.26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53370.67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53370.67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53370.67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53370.67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2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01"/>
      <c r="C4" s="101"/>
      <c r="D4" s="101"/>
      <c r="E4" s="10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176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6890.98</v>
      </c>
      <c r="E11" s="9">
        <f>E12</f>
        <v>0</v>
      </c>
    </row>
    <row r="12" spans="2:12">
      <c r="B12" s="209" t="s">
        <v>4</v>
      </c>
      <c r="C12" s="210" t="s">
        <v>5</v>
      </c>
      <c r="D12" s="297">
        <v>6890.98</v>
      </c>
      <c r="E12" s="95"/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6890.98</v>
      </c>
      <c r="E21" s="165">
        <f>E11</f>
        <v>0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6431.49</v>
      </c>
      <c r="E26" s="112">
        <f>D21</f>
        <v>6890.98</v>
      </c>
      <c r="G26" s="81"/>
    </row>
    <row r="27" spans="2:11">
      <c r="B27" s="10" t="s">
        <v>17</v>
      </c>
      <c r="C27" s="11" t="s">
        <v>217</v>
      </c>
      <c r="D27" s="245">
        <v>-110.34</v>
      </c>
      <c r="E27" s="269">
        <f>E28-E32</f>
        <v>-7526.8099999999995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0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110.34</v>
      </c>
      <c r="E32" s="284">
        <f>SUM(E33:E39)</f>
        <v>7526.8099999999995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/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8.64</v>
      </c>
      <c r="E35" s="286">
        <v>8.52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101.7</v>
      </c>
      <c r="E37" s="286">
        <v>114.17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>
        <v>7404.12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569.83000000000004</v>
      </c>
      <c r="E40" s="115">
        <v>635.83000000000004</v>
      </c>
      <c r="G40" s="81"/>
    </row>
    <row r="41" spans="2:10" ht="13.5" thickBot="1">
      <c r="B41" s="116" t="s">
        <v>37</v>
      </c>
      <c r="C41" s="117" t="s">
        <v>38</v>
      </c>
      <c r="D41" s="249">
        <v>6890.98</v>
      </c>
      <c r="E41" s="165">
        <f>E26+E27+E40</f>
        <v>0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41.290999999999997</v>
      </c>
      <c r="E47" s="166">
        <v>40.585299999999997</v>
      </c>
      <c r="G47" s="77"/>
    </row>
    <row r="48" spans="2:10">
      <c r="B48" s="222" t="s">
        <v>6</v>
      </c>
      <c r="C48" s="223" t="s">
        <v>41</v>
      </c>
      <c r="D48" s="251">
        <v>40.585299999999997</v>
      </c>
      <c r="E48" s="166"/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155.76</v>
      </c>
      <c r="E50" s="166">
        <v>169.79</v>
      </c>
      <c r="G50" s="208"/>
    </row>
    <row r="51" spans="2:7">
      <c r="B51" s="220" t="s">
        <v>6</v>
      </c>
      <c r="C51" s="221" t="s">
        <v>220</v>
      </c>
      <c r="D51" s="253">
        <v>144.49</v>
      </c>
      <c r="E51" s="82">
        <v>160.01</v>
      </c>
      <c r="G51" s="208"/>
    </row>
    <row r="52" spans="2:7">
      <c r="B52" s="220" t="s">
        <v>8</v>
      </c>
      <c r="C52" s="221" t="s">
        <v>221</v>
      </c>
      <c r="D52" s="253">
        <v>169.79</v>
      </c>
      <c r="E52" s="82">
        <v>188.85</v>
      </c>
    </row>
    <row r="53" spans="2:7" ht="14.25" customHeight="1" thickBot="1">
      <c r="B53" s="224" t="s">
        <v>9</v>
      </c>
      <c r="C53" s="225" t="s">
        <v>41</v>
      </c>
      <c r="D53" s="254">
        <v>169.79</v>
      </c>
      <c r="E53" s="167"/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8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0</v>
      </c>
      <c r="E58" s="33">
        <v>0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0</v>
      </c>
      <c r="E64" s="91">
        <v>0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0</v>
      </c>
      <c r="E74" s="70">
        <f>E58+E72-E73</f>
        <v>0</v>
      </c>
    </row>
    <row r="75" spans="2:5">
      <c r="B75" s="119" t="s">
        <v>4</v>
      </c>
      <c r="C75" s="16" t="s">
        <v>67</v>
      </c>
      <c r="D75" s="88">
        <f>D74</f>
        <v>0</v>
      </c>
      <c r="E75" s="89">
        <f>E74</f>
        <v>0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3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1"/>
      <c r="C4" s="151"/>
      <c r="D4" s="151"/>
      <c r="E4" s="15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156</v>
      </c>
      <c r="C6" s="334"/>
      <c r="D6" s="334"/>
      <c r="E6" s="334"/>
    </row>
    <row r="7" spans="2:12" ht="14.25">
      <c r="B7" s="150"/>
      <c r="C7" s="150"/>
      <c r="D7" s="150"/>
      <c r="E7" s="150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1786443.04</v>
      </c>
      <c r="E11" s="9">
        <f>E12</f>
        <v>1173362.48</v>
      </c>
    </row>
    <row r="12" spans="2:12">
      <c r="B12" s="209" t="s">
        <v>4</v>
      </c>
      <c r="C12" s="210" t="s">
        <v>5</v>
      </c>
      <c r="D12" s="297">
        <v>1786443.04</v>
      </c>
      <c r="E12" s="95">
        <v>1173362.48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v>1786443.04</v>
      </c>
      <c r="E21" s="165">
        <f>E11</f>
        <v>1173362.48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3563972.67</v>
      </c>
      <c r="E26" s="112">
        <f>D21</f>
        <v>1786443.04</v>
      </c>
      <c r="G26" s="81"/>
    </row>
    <row r="27" spans="2:11">
      <c r="B27" s="10" t="s">
        <v>17</v>
      </c>
      <c r="C27" s="11" t="s">
        <v>217</v>
      </c>
      <c r="D27" s="245">
        <v>-1720336.39</v>
      </c>
      <c r="E27" s="269">
        <f>E28-E32</f>
        <v>-731653.83000000007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0</v>
      </c>
      <c r="E28" s="284">
        <f>SUM(E29:E31)</f>
        <v>27988.48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>
        <v>27988.48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1720336.39</v>
      </c>
      <c r="E32" s="284">
        <f>SUM(E33:E39)</f>
        <v>759642.31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298167.77</v>
      </c>
      <c r="E33" s="286">
        <v>593168.55000000005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7111.08</v>
      </c>
      <c r="E35" s="286">
        <v>2427.64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34858.89</v>
      </c>
      <c r="E37" s="286">
        <v>22377.47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1380198.65</v>
      </c>
      <c r="E39" s="288">
        <v>141668.65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-57193.24</v>
      </c>
      <c r="E40" s="115">
        <v>118573.27</v>
      </c>
      <c r="G40" s="81"/>
    </row>
    <row r="41" spans="2:10" ht="13.5" thickBot="1">
      <c r="B41" s="116" t="s">
        <v>37</v>
      </c>
      <c r="C41" s="117" t="s">
        <v>38</v>
      </c>
      <c r="D41" s="249">
        <v>1786443.04</v>
      </c>
      <c r="E41" s="165">
        <f>E26+E27+E40</f>
        <v>1173362.48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330303.30599999998</v>
      </c>
      <c r="E47" s="166">
        <v>160362.93</v>
      </c>
      <c r="G47" s="77"/>
    </row>
    <row r="48" spans="2:10">
      <c r="B48" s="222" t="s">
        <v>6</v>
      </c>
      <c r="C48" s="223" t="s">
        <v>41</v>
      </c>
      <c r="D48" s="251">
        <v>160362.93</v>
      </c>
      <c r="E48" s="166">
        <v>96493.625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10.79</v>
      </c>
      <c r="E50" s="166">
        <v>11.14</v>
      </c>
      <c r="G50" s="208"/>
    </row>
    <row r="51" spans="2:7">
      <c r="B51" s="220" t="s">
        <v>6</v>
      </c>
      <c r="C51" s="221" t="s">
        <v>220</v>
      </c>
      <c r="D51" s="253">
        <v>8.98</v>
      </c>
      <c r="E51" s="82">
        <v>11.02</v>
      </c>
      <c r="G51" s="208"/>
    </row>
    <row r="52" spans="2:7">
      <c r="B52" s="220" t="s">
        <v>8</v>
      </c>
      <c r="C52" s="221" t="s">
        <v>221</v>
      </c>
      <c r="D52" s="253">
        <v>11.14</v>
      </c>
      <c r="E52" s="82">
        <v>12.37</v>
      </c>
    </row>
    <row r="53" spans="2:7" ht="13.5" customHeight="1" thickBot="1">
      <c r="B53" s="224" t="s">
        <v>9</v>
      </c>
      <c r="C53" s="225" t="s">
        <v>41</v>
      </c>
      <c r="D53" s="254">
        <v>11.14</v>
      </c>
      <c r="E53" s="167">
        <v>12.16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1173362.48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1173362.48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1173362.48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1173362.48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4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1"/>
      <c r="C4" s="151"/>
      <c r="D4" s="151"/>
      <c r="E4" s="15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154</v>
      </c>
      <c r="C6" s="334"/>
      <c r="D6" s="334"/>
      <c r="E6" s="334"/>
    </row>
    <row r="7" spans="2:12" ht="14.25">
      <c r="B7" s="150"/>
      <c r="C7" s="150"/>
      <c r="D7" s="150"/>
      <c r="E7" s="150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3052935.22</v>
      </c>
      <c r="E11" s="9">
        <f>E12</f>
        <v>2334416.84</v>
      </c>
    </row>
    <row r="12" spans="2:12">
      <c r="B12" s="209" t="s">
        <v>4</v>
      </c>
      <c r="C12" s="210" t="s">
        <v>5</v>
      </c>
      <c r="D12" s="297">
        <v>3052935.22</v>
      </c>
      <c r="E12" s="95">
        <v>2334416.84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v>3052935.22</v>
      </c>
      <c r="E21" s="165">
        <f>E11</f>
        <v>2334416.84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3428738.51</v>
      </c>
      <c r="E26" s="112">
        <f>D21</f>
        <v>3052935.22</v>
      </c>
      <c r="G26" s="81"/>
    </row>
    <row r="27" spans="2:11">
      <c r="B27" s="10" t="s">
        <v>17</v>
      </c>
      <c r="C27" s="11" t="s">
        <v>217</v>
      </c>
      <c r="D27" s="245">
        <v>-503645.49</v>
      </c>
      <c r="E27" s="269">
        <f>E28-E32</f>
        <v>-949679.83000000007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283254.62</v>
      </c>
      <c r="E28" s="284">
        <f>SUM(E29:E31)</f>
        <v>5814.77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260324.99</v>
      </c>
      <c r="E29" s="286">
        <v>1950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22929.63</v>
      </c>
      <c r="E31" s="286">
        <v>3864.77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786900.11</v>
      </c>
      <c r="E32" s="284">
        <f>SUM(E33:E39)</f>
        <v>955494.60000000009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415035.31</v>
      </c>
      <c r="E33" s="286">
        <v>531995.9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5669.32</v>
      </c>
      <c r="E35" s="286">
        <v>2207.65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43569.13</v>
      </c>
      <c r="E37" s="286">
        <v>44724.54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322626.34999999998</v>
      </c>
      <c r="E39" s="288">
        <v>376566.51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127842.2</v>
      </c>
      <c r="E40" s="115">
        <v>231161.45</v>
      </c>
      <c r="G40" s="81"/>
    </row>
    <row r="41" spans="2:10" ht="13.5" thickBot="1">
      <c r="B41" s="116" t="s">
        <v>37</v>
      </c>
      <c r="C41" s="117" t="s">
        <v>38</v>
      </c>
      <c r="D41" s="249">
        <v>3052935.2199999997</v>
      </c>
      <c r="E41" s="165">
        <f>E26+E27+E40</f>
        <v>2334416.8400000003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240275.99900000001</v>
      </c>
      <c r="E47" s="166">
        <v>200455.36600000001</v>
      </c>
      <c r="G47" s="77"/>
    </row>
    <row r="48" spans="2:10">
      <c r="B48" s="222" t="s">
        <v>6</v>
      </c>
      <c r="C48" s="223" t="s">
        <v>41</v>
      </c>
      <c r="D48" s="251">
        <v>200455.36600000001</v>
      </c>
      <c r="E48" s="166">
        <v>141737.51300000001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14.27</v>
      </c>
      <c r="E50" s="166">
        <v>15.23</v>
      </c>
      <c r="G50" s="208"/>
    </row>
    <row r="51" spans="2:7">
      <c r="B51" s="220" t="s">
        <v>6</v>
      </c>
      <c r="C51" s="221" t="s">
        <v>220</v>
      </c>
      <c r="D51" s="253">
        <v>12.66</v>
      </c>
      <c r="E51" s="166">
        <v>15.23</v>
      </c>
      <c r="G51" s="208"/>
    </row>
    <row r="52" spans="2:7">
      <c r="B52" s="220" t="s">
        <v>8</v>
      </c>
      <c r="C52" s="221" t="s">
        <v>221</v>
      </c>
      <c r="D52" s="253">
        <v>15.32</v>
      </c>
      <c r="E52" s="82">
        <v>16.55</v>
      </c>
    </row>
    <row r="53" spans="2:7" ht="12.75" customHeight="1" thickBot="1">
      <c r="B53" s="224" t="s">
        <v>9</v>
      </c>
      <c r="C53" s="225" t="s">
        <v>41</v>
      </c>
      <c r="D53" s="254">
        <v>15.23</v>
      </c>
      <c r="E53" s="167">
        <v>16.47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2334416.84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2334416.84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2334416.84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2334416.84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5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1"/>
      <c r="C4" s="151"/>
      <c r="D4" s="151"/>
      <c r="E4" s="15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155</v>
      </c>
      <c r="C6" s="334"/>
      <c r="D6" s="334"/>
      <c r="E6" s="334"/>
    </row>
    <row r="7" spans="2:12" ht="14.25">
      <c r="B7" s="150"/>
      <c r="C7" s="150"/>
      <c r="D7" s="150"/>
      <c r="E7" s="150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255199.78</v>
      </c>
      <c r="E11" s="9">
        <f>E12</f>
        <v>245235.27</v>
      </c>
    </row>
    <row r="12" spans="2:12">
      <c r="B12" s="209" t="s">
        <v>4</v>
      </c>
      <c r="C12" s="210" t="s">
        <v>5</v>
      </c>
      <c r="D12" s="297">
        <v>255199.78</v>
      </c>
      <c r="E12" s="95">
        <v>245235.27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v>255199.78</v>
      </c>
      <c r="E21" s="165">
        <f>E11</f>
        <v>245235.27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1101151.2</v>
      </c>
      <c r="E26" s="112">
        <f>D21</f>
        <v>255199.78</v>
      </c>
      <c r="G26" s="81"/>
    </row>
    <row r="27" spans="2:11">
      <c r="B27" s="10" t="s">
        <v>17</v>
      </c>
      <c r="C27" s="11" t="s">
        <v>217</v>
      </c>
      <c r="D27" s="245">
        <v>-1079308.4700000002</v>
      </c>
      <c r="E27" s="269">
        <f>E28-E32</f>
        <v>-4233.9399999999996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633607.39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200000</v>
      </c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433607.39</v>
      </c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1712915.86</v>
      </c>
      <c r="E32" s="284">
        <f>SUM(E33:E39)</f>
        <v>4233.9399999999996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1091735.25</v>
      </c>
      <c r="E33" s="286"/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247.36</v>
      </c>
      <c r="E35" s="286">
        <v>173.8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13502.49</v>
      </c>
      <c r="E37" s="286">
        <v>4060.14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607430.76</v>
      </c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233357.05</v>
      </c>
      <c r="E40" s="115">
        <v>-5730.57</v>
      </c>
      <c r="G40" s="81"/>
    </row>
    <row r="41" spans="2:10" ht="13.5" thickBot="1">
      <c r="B41" s="116" t="s">
        <v>37</v>
      </c>
      <c r="C41" s="117" t="s">
        <v>38</v>
      </c>
      <c r="D41" s="249">
        <v>255199.77999999974</v>
      </c>
      <c r="E41" s="165">
        <f>E26+E27+E40</f>
        <v>245235.27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166"/>
      <c r="G46" s="77"/>
    </row>
    <row r="47" spans="2:10">
      <c r="B47" s="220" t="s">
        <v>4</v>
      </c>
      <c r="C47" s="221" t="s">
        <v>40</v>
      </c>
      <c r="D47" s="250">
        <v>182612.139</v>
      </c>
      <c r="E47" s="166">
        <v>32303.77</v>
      </c>
      <c r="G47" s="77"/>
    </row>
    <row r="48" spans="2:10">
      <c r="B48" s="222" t="s">
        <v>6</v>
      </c>
      <c r="C48" s="223" t="s">
        <v>41</v>
      </c>
      <c r="D48" s="251">
        <v>32303.77</v>
      </c>
      <c r="E48" s="166">
        <v>31725.132000000001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6.03</v>
      </c>
      <c r="E50" s="166">
        <v>7.9</v>
      </c>
      <c r="G50" s="208"/>
    </row>
    <row r="51" spans="2:7">
      <c r="B51" s="220" t="s">
        <v>6</v>
      </c>
      <c r="C51" s="221" t="s">
        <v>220</v>
      </c>
      <c r="D51" s="253">
        <v>4.9000000000000004</v>
      </c>
      <c r="E51" s="82">
        <v>6.48</v>
      </c>
      <c r="G51" s="208"/>
    </row>
    <row r="52" spans="2:7">
      <c r="B52" s="220" t="s">
        <v>8</v>
      </c>
      <c r="C52" s="221" t="s">
        <v>221</v>
      </c>
      <c r="D52" s="253">
        <v>8.2200000000000006</v>
      </c>
      <c r="E52" s="82">
        <v>8.2100000000000009</v>
      </c>
    </row>
    <row r="53" spans="2:7" ht="12.75" customHeight="1" thickBot="1">
      <c r="B53" s="224" t="s">
        <v>9</v>
      </c>
      <c r="C53" s="225" t="s">
        <v>41</v>
      </c>
      <c r="D53" s="254">
        <v>7.9</v>
      </c>
      <c r="E53" s="167">
        <v>7.73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245235.27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245235.27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245235.27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245235.27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6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1"/>
      <c r="C4" s="151"/>
      <c r="D4" s="151"/>
      <c r="E4" s="15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153</v>
      </c>
      <c r="C6" s="334"/>
      <c r="D6" s="334"/>
      <c r="E6" s="334"/>
    </row>
    <row r="7" spans="2:12" ht="14.25">
      <c r="B7" s="150"/>
      <c r="C7" s="150"/>
      <c r="D7" s="150"/>
      <c r="E7" s="150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4704124.28</v>
      </c>
      <c r="E11" s="9">
        <f>E12</f>
        <v>5264394.12</v>
      </c>
    </row>
    <row r="12" spans="2:12">
      <c r="B12" s="209" t="s">
        <v>4</v>
      </c>
      <c r="C12" s="210" t="s">
        <v>5</v>
      </c>
      <c r="D12" s="297">
        <v>4704124.28</v>
      </c>
      <c r="E12" s="95">
        <v>5264394.12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4704124.28</v>
      </c>
      <c r="E21" s="165">
        <f>E11</f>
        <v>5264394.12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4443973.5999999996</v>
      </c>
      <c r="E26" s="112">
        <f>D21</f>
        <v>4704124.28</v>
      </c>
      <c r="G26" s="81"/>
    </row>
    <row r="27" spans="2:11">
      <c r="B27" s="10" t="s">
        <v>17</v>
      </c>
      <c r="C27" s="11" t="s">
        <v>217</v>
      </c>
      <c r="D27" s="245">
        <v>388113.24999999953</v>
      </c>
      <c r="E27" s="269">
        <f>E28-E32</f>
        <v>-522809.28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2788778.42</v>
      </c>
      <c r="E28" s="284">
        <f>SUM(E29:E31)</f>
        <v>283980.11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3500</v>
      </c>
      <c r="E29" s="286">
        <v>52650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2785278.42</v>
      </c>
      <c r="E31" s="286">
        <v>231330.11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2400665.1700000004</v>
      </c>
      <c r="E32" s="284">
        <f>SUM(E33:E39)</f>
        <v>806789.39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2196661.2200000002</v>
      </c>
      <c r="E33" s="286">
        <v>671508.83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24349.56</v>
      </c>
      <c r="E35" s="286">
        <v>16930.63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56224.41</v>
      </c>
      <c r="E37" s="286">
        <v>77454.41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123429.98</v>
      </c>
      <c r="E39" s="288">
        <v>40895.519999999997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-127962.57</v>
      </c>
      <c r="E40" s="115">
        <v>1083079.1200000001</v>
      </c>
      <c r="G40" s="81"/>
    </row>
    <row r="41" spans="2:10" ht="13.5" thickBot="1">
      <c r="B41" s="116" t="s">
        <v>37</v>
      </c>
      <c r="C41" s="117" t="s">
        <v>38</v>
      </c>
      <c r="D41" s="249">
        <v>4704124.2799999993</v>
      </c>
      <c r="E41" s="165">
        <f>E26+E27+E40</f>
        <v>5264394.12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199908.84400000001</v>
      </c>
      <c r="E47" s="166">
        <v>217280.56700000001</v>
      </c>
      <c r="G47" s="77"/>
    </row>
    <row r="48" spans="2:10">
      <c r="B48" s="222" t="s">
        <v>6</v>
      </c>
      <c r="C48" s="223" t="s">
        <v>41</v>
      </c>
      <c r="D48" s="251">
        <v>217280.56700000001</v>
      </c>
      <c r="E48" s="166">
        <v>194905.37299999999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22.23</v>
      </c>
      <c r="E50" s="166">
        <v>21.65</v>
      </c>
      <c r="G50" s="208"/>
    </row>
    <row r="51" spans="2:7">
      <c r="B51" s="220" t="s">
        <v>6</v>
      </c>
      <c r="C51" s="221" t="s">
        <v>220</v>
      </c>
      <c r="D51" s="253">
        <v>18.3</v>
      </c>
      <c r="E51" s="82">
        <v>21.65</v>
      </c>
      <c r="G51" s="208"/>
    </row>
    <row r="52" spans="2:7">
      <c r="B52" s="220" t="s">
        <v>8</v>
      </c>
      <c r="C52" s="221" t="s">
        <v>221</v>
      </c>
      <c r="D52" s="253">
        <v>22.23</v>
      </c>
      <c r="E52" s="82">
        <v>27.49</v>
      </c>
    </row>
    <row r="53" spans="2:7" ht="13.5" customHeight="1" thickBot="1">
      <c r="B53" s="224" t="s">
        <v>9</v>
      </c>
      <c r="C53" s="225" t="s">
        <v>41</v>
      </c>
      <c r="D53" s="254">
        <v>21.65</v>
      </c>
      <c r="E53" s="167">
        <v>27.01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5264394.12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5264394.12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5264394.12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5264394.12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7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14.25">
      <c r="B5" s="333" t="s">
        <v>1</v>
      </c>
      <c r="C5" s="333"/>
      <c r="D5" s="333"/>
      <c r="E5" s="333"/>
    </row>
    <row r="6" spans="2:12" ht="14.25">
      <c r="B6" s="334" t="s">
        <v>248</v>
      </c>
      <c r="C6" s="334"/>
      <c r="D6" s="334"/>
      <c r="E6" s="334"/>
    </row>
    <row r="7" spans="2:12" ht="14.25">
      <c r="B7" s="196"/>
      <c r="C7" s="196"/>
      <c r="D7" s="196"/>
      <c r="E7" s="19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9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340748.63</v>
      </c>
      <c r="E11" s="9">
        <f>E12</f>
        <v>561298.48</v>
      </c>
    </row>
    <row r="12" spans="2:12">
      <c r="B12" s="209" t="s">
        <v>4</v>
      </c>
      <c r="C12" s="210" t="s">
        <v>5</v>
      </c>
      <c r="D12" s="297">
        <v>340748.63</v>
      </c>
      <c r="E12" s="95">
        <v>561298.48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340748.63</v>
      </c>
      <c r="E21" s="165">
        <f>E11</f>
        <v>561298.48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0</v>
      </c>
      <c r="E26" s="112">
        <f>D21</f>
        <v>340748.63</v>
      </c>
      <c r="G26" s="81"/>
    </row>
    <row r="27" spans="2:11">
      <c r="B27" s="10" t="s">
        <v>17</v>
      </c>
      <c r="C27" s="11" t="s">
        <v>217</v>
      </c>
      <c r="D27" s="245">
        <v>346459.04</v>
      </c>
      <c r="E27" s="269">
        <f>E28-E32</f>
        <v>185780.36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347555.87</v>
      </c>
      <c r="E28" s="284">
        <f>SUM(E29:E31)</f>
        <v>319442.15999999997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347555.87</v>
      </c>
      <c r="E31" s="286">
        <v>319442.15999999997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1096.83</v>
      </c>
      <c r="E32" s="284">
        <f>SUM(E33:E39)</f>
        <v>133661.79999999999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>
        <v>124195.83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616.72</v>
      </c>
      <c r="E35" s="286">
        <v>2324.79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480.11</v>
      </c>
      <c r="E37" s="286">
        <v>7141.18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-5710.41</v>
      </c>
      <c r="E40" s="115">
        <v>34769.49</v>
      </c>
      <c r="G40" s="81"/>
    </row>
    <row r="41" spans="2:10" ht="13.5" thickBot="1">
      <c r="B41" s="116" t="s">
        <v>37</v>
      </c>
      <c r="C41" s="117" t="s">
        <v>38</v>
      </c>
      <c r="D41" s="249">
        <v>340748.63</v>
      </c>
      <c r="E41" s="165">
        <f>E26+E27+E40</f>
        <v>561298.48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/>
      <c r="E47" s="166">
        <v>32986.315000000002</v>
      </c>
      <c r="G47" s="77"/>
    </row>
    <row r="48" spans="2:10">
      <c r="B48" s="222" t="s">
        <v>6</v>
      </c>
      <c r="C48" s="223" t="s">
        <v>41</v>
      </c>
      <c r="D48" s="251">
        <v>32986.315000000002</v>
      </c>
      <c r="E48" s="166">
        <v>50071.228999999999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/>
      <c r="E50" s="166">
        <v>10.33</v>
      </c>
      <c r="G50" s="208"/>
    </row>
    <row r="51" spans="2:7">
      <c r="B51" s="220" t="s">
        <v>6</v>
      </c>
      <c r="C51" s="221" t="s">
        <v>220</v>
      </c>
      <c r="D51" s="253">
        <v>10.11</v>
      </c>
      <c r="E51" s="82">
        <v>10.33</v>
      </c>
      <c r="G51" s="208"/>
    </row>
    <row r="52" spans="2:7">
      <c r="B52" s="220" t="s">
        <v>8</v>
      </c>
      <c r="C52" s="221" t="s">
        <v>221</v>
      </c>
      <c r="D52" s="253">
        <v>10.86</v>
      </c>
      <c r="E52" s="82">
        <v>11.33</v>
      </c>
    </row>
    <row r="53" spans="2:7" ht="13.5" thickBot="1">
      <c r="B53" s="224" t="s">
        <v>9</v>
      </c>
      <c r="C53" s="225" t="s">
        <v>41</v>
      </c>
      <c r="D53" s="254">
        <v>10.33</v>
      </c>
      <c r="E53" s="167">
        <v>11.21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561298.48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561298.48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561298.48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561298.48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8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14.25">
      <c r="B5" s="333" t="s">
        <v>1</v>
      </c>
      <c r="C5" s="333"/>
      <c r="D5" s="333"/>
      <c r="E5" s="333"/>
    </row>
    <row r="6" spans="2:12" ht="14.25">
      <c r="B6" s="334" t="s">
        <v>261</v>
      </c>
      <c r="C6" s="334"/>
      <c r="D6" s="334"/>
      <c r="E6" s="334"/>
    </row>
    <row r="7" spans="2:12" ht="14.25">
      <c r="B7" s="239"/>
      <c r="C7" s="239"/>
      <c r="D7" s="239"/>
      <c r="E7" s="239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240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/>
      <c r="E11" s="9">
        <f>E12</f>
        <v>248882.82</v>
      </c>
    </row>
    <row r="12" spans="2:12">
      <c r="B12" s="209" t="s">
        <v>4</v>
      </c>
      <c r="C12" s="210" t="s">
        <v>5</v>
      </c>
      <c r="D12" s="297"/>
      <c r="E12" s="95">
        <v>248882.82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/>
      <c r="E21" s="165">
        <f>E11</f>
        <v>248882.82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/>
      <c r="E26" s="112">
        <v>0</v>
      </c>
      <c r="G26" s="81"/>
    </row>
    <row r="27" spans="2:11">
      <c r="B27" s="10" t="s">
        <v>17</v>
      </c>
      <c r="C27" s="11" t="s">
        <v>217</v>
      </c>
      <c r="D27" s="245"/>
      <c r="E27" s="269">
        <f>E28-E32</f>
        <v>258116.84999999986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/>
      <c r="E28" s="284">
        <f>SUM(E29:E31)</f>
        <v>1725926.7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>
        <v>1725926.7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/>
      <c r="E32" s="284">
        <f>SUM(E33:E39)</f>
        <v>1467809.85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/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/>
      <c r="E35" s="286"/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/>
      <c r="E37" s="286">
        <v>13762.25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>
        <v>1454047.6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/>
      <c r="E40" s="115">
        <v>-9234.0300000000007</v>
      </c>
      <c r="G40" s="81"/>
    </row>
    <row r="41" spans="2:10" ht="13.5" thickBot="1">
      <c r="B41" s="116" t="s">
        <v>37</v>
      </c>
      <c r="C41" s="117" t="s">
        <v>38</v>
      </c>
      <c r="D41" s="249"/>
      <c r="E41" s="165">
        <f>E26+E27+E40</f>
        <v>248882.81999999986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/>
      <c r="E47" s="166"/>
      <c r="G47" s="77"/>
    </row>
    <row r="48" spans="2:10">
      <c r="B48" s="222" t="s">
        <v>6</v>
      </c>
      <c r="C48" s="223" t="s">
        <v>41</v>
      </c>
      <c r="D48" s="251"/>
      <c r="E48" s="166">
        <v>2434.538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/>
      <c r="E50" s="166"/>
      <c r="G50" s="208"/>
    </row>
    <row r="51" spans="2:7">
      <c r="B51" s="220" t="s">
        <v>6</v>
      </c>
      <c r="C51" s="221" t="s">
        <v>220</v>
      </c>
      <c r="D51" s="253"/>
      <c r="E51" s="82">
        <v>101.56</v>
      </c>
      <c r="G51" s="208"/>
    </row>
    <row r="52" spans="2:7">
      <c r="B52" s="220" t="s">
        <v>8</v>
      </c>
      <c r="C52" s="221" t="s">
        <v>221</v>
      </c>
      <c r="D52" s="253"/>
      <c r="E52" s="82">
        <v>104.62</v>
      </c>
    </row>
    <row r="53" spans="2:7" ht="13.5" thickBot="1">
      <c r="B53" s="224" t="s">
        <v>9</v>
      </c>
      <c r="C53" s="225" t="s">
        <v>41</v>
      </c>
      <c r="D53" s="254"/>
      <c r="E53" s="167">
        <v>102.23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248882.82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248882.82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248882.82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248882.82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9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1"/>
      <c r="C4" s="151"/>
      <c r="D4" s="151"/>
      <c r="E4" s="15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116</v>
      </c>
      <c r="C6" s="334"/>
      <c r="D6" s="334"/>
      <c r="E6" s="334"/>
    </row>
    <row r="7" spans="2:12" ht="14.25">
      <c r="B7" s="150"/>
      <c r="C7" s="150"/>
      <c r="D7" s="150"/>
      <c r="E7" s="150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334733.42</v>
      </c>
      <c r="E11" s="9">
        <f>E12</f>
        <v>431685.91</v>
      </c>
    </row>
    <row r="12" spans="2:12">
      <c r="B12" s="209" t="s">
        <v>4</v>
      </c>
      <c r="C12" s="210" t="s">
        <v>5</v>
      </c>
      <c r="D12" s="297">
        <v>334733.42</v>
      </c>
      <c r="E12" s="318">
        <v>431685.91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334733.42</v>
      </c>
      <c r="E21" s="165">
        <f>E11</f>
        <v>431685.91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304">
        <v>526429.51</v>
      </c>
      <c r="E26" s="112">
        <f>D21</f>
        <v>334733.42</v>
      </c>
      <c r="G26" s="81"/>
    </row>
    <row r="27" spans="2:11">
      <c r="B27" s="10" t="s">
        <v>17</v>
      </c>
      <c r="C27" s="11" t="s">
        <v>217</v>
      </c>
      <c r="D27" s="305">
        <v>-240777.9</v>
      </c>
      <c r="E27" s="269">
        <f>E28-E32</f>
        <v>-48205.509999999893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305">
        <v>15572.44</v>
      </c>
      <c r="E28" s="284">
        <f>SUM(E29:E31)</f>
        <v>966903.68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57">
        <v>3499.99</v>
      </c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57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57">
        <v>12072.45</v>
      </c>
      <c r="E31" s="286">
        <v>966903.68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305">
        <v>256350.34</v>
      </c>
      <c r="E32" s="284">
        <f>SUM(E33:E39)</f>
        <v>1015109.19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57"/>
      <c r="E33" s="286">
        <v>972548.39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57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57">
        <v>581.29999999999995</v>
      </c>
      <c r="E35" s="286">
        <v>324.45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57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57">
        <v>7935.89</v>
      </c>
      <c r="E37" s="286">
        <v>14111.97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57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306">
        <v>247833.15</v>
      </c>
      <c r="E39" s="288">
        <v>28124.38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307">
        <v>49081.81</v>
      </c>
      <c r="E40" s="115">
        <v>145158</v>
      </c>
      <c r="G40" s="81"/>
    </row>
    <row r="41" spans="2:10" ht="13.5" thickBot="1">
      <c r="B41" s="116" t="s">
        <v>37</v>
      </c>
      <c r="C41" s="117" t="s">
        <v>38</v>
      </c>
      <c r="D41" s="87">
        <v>334733.42</v>
      </c>
      <c r="E41" s="165">
        <f>E26+E27+E40</f>
        <v>431685.91000000009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302">
        <v>2481.2854000000002</v>
      </c>
      <c r="E47" s="166">
        <v>1324.8373999999999</v>
      </c>
      <c r="G47" s="77"/>
    </row>
    <row r="48" spans="2:10">
      <c r="B48" s="222" t="s">
        <v>6</v>
      </c>
      <c r="C48" s="223" t="s">
        <v>41</v>
      </c>
      <c r="D48" s="308">
        <v>1324.8373999999999</v>
      </c>
      <c r="E48" s="166">
        <v>1416.5712000000001</v>
      </c>
      <c r="G48" s="77"/>
    </row>
    <row r="49" spans="2:7">
      <c r="B49" s="137" t="s">
        <v>23</v>
      </c>
      <c r="C49" s="141" t="s">
        <v>219</v>
      </c>
      <c r="D49" s="309"/>
      <c r="E49" s="166"/>
    </row>
    <row r="50" spans="2:7">
      <c r="B50" s="220" t="s">
        <v>4</v>
      </c>
      <c r="C50" s="221" t="s">
        <v>40</v>
      </c>
      <c r="D50" s="310">
        <v>212.16</v>
      </c>
      <c r="E50" s="166">
        <v>252.66</v>
      </c>
      <c r="G50" s="208"/>
    </row>
    <row r="51" spans="2:7">
      <c r="B51" s="220" t="s">
        <v>6</v>
      </c>
      <c r="C51" s="221" t="s">
        <v>220</v>
      </c>
      <c r="D51" s="311">
        <v>184.07</v>
      </c>
      <c r="E51" s="166">
        <v>252.66</v>
      </c>
      <c r="G51" s="208"/>
    </row>
    <row r="52" spans="2:7">
      <c r="B52" s="220" t="s">
        <v>8</v>
      </c>
      <c r="C52" s="221" t="s">
        <v>221</v>
      </c>
      <c r="D52" s="311">
        <v>254.04</v>
      </c>
      <c r="E52" s="82">
        <v>309.89999999999998</v>
      </c>
    </row>
    <row r="53" spans="2:7" ht="14.25" customHeight="1" thickBot="1">
      <c r="B53" s="224" t="s">
        <v>9</v>
      </c>
      <c r="C53" s="225" t="s">
        <v>41</v>
      </c>
      <c r="D53" s="254">
        <v>252.66</v>
      </c>
      <c r="E53" s="167">
        <v>304.74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431685.91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431685.91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431685.91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431685.91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99"/>
      <c r="C4" s="99"/>
      <c r="D4" s="99"/>
      <c r="E4" s="99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88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  <c r="G9" s="236"/>
    </row>
    <row r="10" spans="2:12" ht="13.5" thickBot="1">
      <c r="B10" s="100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41631658.789999992</v>
      </c>
      <c r="E11" s="9">
        <f>E12+E13+E14</f>
        <v>46898408.069999993</v>
      </c>
    </row>
    <row r="12" spans="2:12">
      <c r="B12" s="123" t="s">
        <v>4</v>
      </c>
      <c r="C12" s="6" t="s">
        <v>5</v>
      </c>
      <c r="D12" s="297">
        <v>41495884.089999996</v>
      </c>
      <c r="E12" s="95">
        <f>47151522.58-392483.77</f>
        <v>46759038.809999995</v>
      </c>
    </row>
    <row r="13" spans="2:12">
      <c r="B13" s="123" t="s">
        <v>6</v>
      </c>
      <c r="C13" s="72" t="s">
        <v>7</v>
      </c>
      <c r="D13" s="297">
        <v>38.799999999999997</v>
      </c>
      <c r="E13" s="95"/>
    </row>
    <row r="14" spans="2:12">
      <c r="B14" s="123" t="s">
        <v>8</v>
      </c>
      <c r="C14" s="72" t="s">
        <v>10</v>
      </c>
      <c r="D14" s="297">
        <v>135735.9</v>
      </c>
      <c r="E14" s="95">
        <f>E15</f>
        <v>139369.25999999998</v>
      </c>
    </row>
    <row r="15" spans="2:12">
      <c r="B15" s="123" t="s">
        <v>212</v>
      </c>
      <c r="C15" s="72" t="s">
        <v>11</v>
      </c>
      <c r="D15" s="297">
        <v>135735.9</v>
      </c>
      <c r="E15" s="95">
        <v>139369.25999999998</v>
      </c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>
        <v>78581.710000000006</v>
      </c>
      <c r="E17" s="107">
        <f>SUM(E18:E19)</f>
        <v>109469.7</v>
      </c>
    </row>
    <row r="18" spans="2:11">
      <c r="B18" s="123" t="s">
        <v>4</v>
      </c>
      <c r="C18" s="6" t="s">
        <v>11</v>
      </c>
      <c r="D18" s="297">
        <v>78581.710000000006</v>
      </c>
      <c r="E18" s="96">
        <v>109469.7</v>
      </c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41553077.079999991</v>
      </c>
      <c r="E21" s="165">
        <f>E11-E17</f>
        <v>46788938.36999999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6.5" customHeight="1" thickBot="1">
      <c r="B24" s="335" t="s">
        <v>211</v>
      </c>
      <c r="C24" s="345"/>
      <c r="D24" s="345"/>
      <c r="E24" s="345"/>
    </row>
    <row r="25" spans="2:11" ht="13.5" thickBot="1">
      <c r="B25" s="100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38162492.269999996</v>
      </c>
      <c r="E26" s="112">
        <f>D21</f>
        <v>41553077.079999991</v>
      </c>
      <c r="G26" s="81"/>
    </row>
    <row r="27" spans="2:11">
      <c r="B27" s="10" t="s">
        <v>17</v>
      </c>
      <c r="C27" s="11" t="s">
        <v>217</v>
      </c>
      <c r="D27" s="245">
        <v>354804.92999999039</v>
      </c>
      <c r="E27" s="269">
        <f>E28-E32</f>
        <v>337545.76999999955</v>
      </c>
      <c r="F27" s="77"/>
      <c r="G27" s="81"/>
      <c r="H27" s="77"/>
      <c r="I27" s="81"/>
      <c r="J27" s="81"/>
    </row>
    <row r="28" spans="2:11">
      <c r="B28" s="10" t="s">
        <v>18</v>
      </c>
      <c r="C28" s="11" t="s">
        <v>19</v>
      </c>
      <c r="D28" s="245">
        <v>9724230.6100000013</v>
      </c>
      <c r="E28" s="284">
        <f>SUM(E29:E31)</f>
        <v>9216127.2599999998</v>
      </c>
      <c r="F28" s="77"/>
      <c r="G28" s="77"/>
      <c r="H28" s="77"/>
      <c r="I28" s="81"/>
      <c r="J28" s="81"/>
    </row>
    <row r="29" spans="2:11">
      <c r="B29" s="121" t="s">
        <v>4</v>
      </c>
      <c r="C29" s="6" t="s">
        <v>20</v>
      </c>
      <c r="D29" s="246">
        <v>9391628.8000000007</v>
      </c>
      <c r="E29" s="286">
        <v>8325755.4699999997</v>
      </c>
      <c r="F29" s="77"/>
      <c r="G29" s="77"/>
      <c r="H29" s="77"/>
      <c r="I29" s="81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81"/>
      <c r="J30" s="81"/>
    </row>
    <row r="31" spans="2:11">
      <c r="B31" s="121" t="s">
        <v>8</v>
      </c>
      <c r="C31" s="6" t="s">
        <v>22</v>
      </c>
      <c r="D31" s="246">
        <v>332601.81</v>
      </c>
      <c r="E31" s="286">
        <v>890371.79</v>
      </c>
      <c r="F31" s="77"/>
      <c r="G31" s="77"/>
      <c r="H31" s="77"/>
      <c r="I31" s="81"/>
      <c r="J31" s="81"/>
    </row>
    <row r="32" spans="2:11">
      <c r="B32" s="106" t="s">
        <v>23</v>
      </c>
      <c r="C32" s="12" t="s">
        <v>24</v>
      </c>
      <c r="D32" s="245">
        <v>9369425.6800000109</v>
      </c>
      <c r="E32" s="284">
        <f>SUM(E33:E39)</f>
        <v>8878581.4900000002</v>
      </c>
      <c r="F32" s="77"/>
      <c r="G32" s="81"/>
      <c r="H32" s="77"/>
      <c r="I32" s="81"/>
      <c r="J32" s="81"/>
    </row>
    <row r="33" spans="2:10">
      <c r="B33" s="121" t="s">
        <v>4</v>
      </c>
      <c r="C33" s="6" t="s">
        <v>25</v>
      </c>
      <c r="D33" s="246">
        <v>6302609.6400000006</v>
      </c>
      <c r="E33" s="286">
        <f>6254463.11+50445.83</f>
        <v>6304908.9400000004</v>
      </c>
      <c r="F33" s="77"/>
      <c r="G33" s="77"/>
      <c r="H33" s="77"/>
      <c r="I33" s="81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81"/>
      <c r="J34" s="81"/>
    </row>
    <row r="35" spans="2:10">
      <c r="B35" s="121" t="s">
        <v>8</v>
      </c>
      <c r="C35" s="6" t="s">
        <v>27</v>
      </c>
      <c r="D35" s="246">
        <v>1762083.87</v>
      </c>
      <c r="E35" s="286">
        <v>1598218.39</v>
      </c>
      <c r="F35" s="77"/>
      <c r="G35" s="77"/>
      <c r="H35" s="77"/>
      <c r="I35" s="81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81"/>
      <c r="J36" s="81"/>
    </row>
    <row r="37" spans="2:10" ht="25.5">
      <c r="B37" s="121" t="s">
        <v>29</v>
      </c>
      <c r="C37" s="6" t="s">
        <v>30</v>
      </c>
      <c r="D37" s="246"/>
      <c r="E37" s="286"/>
      <c r="F37" s="77"/>
      <c r="G37" s="77"/>
      <c r="H37" s="77"/>
      <c r="I37" s="81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81"/>
      <c r="J38" s="81"/>
    </row>
    <row r="39" spans="2:10">
      <c r="B39" s="122" t="s">
        <v>33</v>
      </c>
      <c r="C39" s="13" t="s">
        <v>34</v>
      </c>
      <c r="D39" s="247">
        <v>1304732.1700000095</v>
      </c>
      <c r="E39" s="288">
        <v>975454.16</v>
      </c>
      <c r="F39" s="77"/>
      <c r="G39" s="77"/>
      <c r="H39" s="77"/>
      <c r="I39" s="81"/>
      <c r="J39" s="81"/>
    </row>
    <row r="40" spans="2:10" ht="13.5" thickBot="1">
      <c r="B40" s="113" t="s">
        <v>35</v>
      </c>
      <c r="C40" s="114" t="s">
        <v>36</v>
      </c>
      <c r="D40" s="248">
        <v>3035779.88</v>
      </c>
      <c r="E40" s="115">
        <v>4898315.5199999996</v>
      </c>
      <c r="G40" s="81"/>
    </row>
    <row r="41" spans="2:10" ht="13.5" thickBot="1">
      <c r="B41" s="116" t="s">
        <v>37</v>
      </c>
      <c r="C41" s="117" t="s">
        <v>38</v>
      </c>
      <c r="D41" s="249">
        <v>41553077.079999991</v>
      </c>
      <c r="E41" s="165">
        <f>E26+E27+E40</f>
        <v>46788938.36999999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5.75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0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67"/>
      <c r="G46" s="77"/>
    </row>
    <row r="47" spans="2:10">
      <c r="B47" s="119" t="s">
        <v>4</v>
      </c>
      <c r="C47" s="16" t="s">
        <v>40</v>
      </c>
      <c r="D47" s="250">
        <v>4270161.9512999998</v>
      </c>
      <c r="E47" s="80">
        <v>4313851.9448238108</v>
      </c>
      <c r="G47" s="77"/>
    </row>
    <row r="48" spans="2:10">
      <c r="B48" s="140" t="s">
        <v>6</v>
      </c>
      <c r="C48" s="23" t="s">
        <v>41</v>
      </c>
      <c r="D48" s="251">
        <v>4313851.9448238108</v>
      </c>
      <c r="E48" s="80">
        <v>4346746.3946000002</v>
      </c>
      <c r="G48" s="231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8.9370128592855593</v>
      </c>
      <c r="E50" s="80">
        <v>9.6324764065812492</v>
      </c>
      <c r="G50" s="261"/>
    </row>
    <row r="51" spans="2:7">
      <c r="B51" s="119" t="s">
        <v>6</v>
      </c>
      <c r="C51" s="16" t="s">
        <v>220</v>
      </c>
      <c r="D51" s="256">
        <v>8.1370000000000005</v>
      </c>
      <c r="E51" s="82">
        <v>9.6325000000000003</v>
      </c>
      <c r="G51" s="208"/>
    </row>
    <row r="52" spans="2:7" ht="12.75" customHeight="1">
      <c r="B52" s="119" t="s">
        <v>8</v>
      </c>
      <c r="C52" s="16" t="s">
        <v>221</v>
      </c>
      <c r="D52" s="256">
        <v>9.6325000000000003</v>
      </c>
      <c r="E52" s="82">
        <v>11.121600000000001</v>
      </c>
    </row>
    <row r="53" spans="2:7" ht="13.5" thickBot="1">
      <c r="B53" s="120" t="s">
        <v>9</v>
      </c>
      <c r="C53" s="18" t="s">
        <v>41</v>
      </c>
      <c r="D53" s="254">
        <v>9.6324764065812492</v>
      </c>
      <c r="E53" s="167">
        <v>10.7641288729998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8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SUM(D59:D70)</f>
        <v>46759038.809999995</v>
      </c>
      <c r="E58" s="33">
        <f>D58/E21</f>
        <v>0.99936096947181075</v>
      </c>
    </row>
    <row r="59" spans="2:7" ht="25.5">
      <c r="B59" s="22" t="s">
        <v>4</v>
      </c>
      <c r="C59" s="23" t="s">
        <v>44</v>
      </c>
      <c r="D59" s="90">
        <v>0</v>
      </c>
      <c r="E59" s="91">
        <v>0</v>
      </c>
    </row>
    <row r="60" spans="2:7" ht="24" customHeight="1">
      <c r="B60" s="15" t="s">
        <v>6</v>
      </c>
      <c r="C60" s="16" t="s">
        <v>45</v>
      </c>
      <c r="D60" s="88">
        <v>0</v>
      </c>
      <c r="E60" s="89">
        <v>0</v>
      </c>
    </row>
    <row r="61" spans="2:7">
      <c r="B61" s="15" t="s">
        <v>8</v>
      </c>
      <c r="C61" s="16" t="s">
        <v>46</v>
      </c>
      <c r="D61" s="88">
        <v>0</v>
      </c>
      <c r="E61" s="89">
        <v>0</v>
      </c>
    </row>
    <row r="62" spans="2:7">
      <c r="B62" s="15" t="s">
        <v>9</v>
      </c>
      <c r="C62" s="16" t="s">
        <v>47</v>
      </c>
      <c r="D62" s="88">
        <v>0</v>
      </c>
      <c r="E62" s="89">
        <v>0</v>
      </c>
    </row>
    <row r="63" spans="2:7">
      <c r="B63" s="15" t="s">
        <v>29</v>
      </c>
      <c r="C63" s="16" t="s">
        <v>48</v>
      </c>
      <c r="D63" s="88">
        <v>0</v>
      </c>
      <c r="E63" s="89">
        <v>0</v>
      </c>
    </row>
    <row r="64" spans="2:7">
      <c r="B64" s="22" t="s">
        <v>31</v>
      </c>
      <c r="C64" s="23" t="s">
        <v>49</v>
      </c>
      <c r="D64" s="90">
        <f>47103975.46-392483.77</f>
        <v>46711491.689999998</v>
      </c>
      <c r="E64" s="91">
        <f>D64/E21</f>
        <v>0.99834476517959103</v>
      </c>
    </row>
    <row r="65" spans="2:5">
      <c r="B65" s="22" t="s">
        <v>33</v>
      </c>
      <c r="C65" s="23" t="s">
        <v>224</v>
      </c>
      <c r="D65" s="90">
        <v>0</v>
      </c>
      <c r="E65" s="91">
        <v>0</v>
      </c>
    </row>
    <row r="66" spans="2:5">
      <c r="B66" s="22" t="s">
        <v>50</v>
      </c>
      <c r="C66" s="23" t="s">
        <v>51</v>
      </c>
      <c r="D66" s="90">
        <v>0</v>
      </c>
      <c r="E66" s="91">
        <v>0</v>
      </c>
    </row>
    <row r="67" spans="2:5">
      <c r="B67" s="15" t="s">
        <v>52</v>
      </c>
      <c r="C67" s="16" t="s">
        <v>53</v>
      </c>
      <c r="D67" s="88">
        <v>0</v>
      </c>
      <c r="E67" s="89">
        <v>0</v>
      </c>
    </row>
    <row r="68" spans="2:5">
      <c r="B68" s="15" t="s">
        <v>54</v>
      </c>
      <c r="C68" s="16" t="s">
        <v>55</v>
      </c>
      <c r="D68" s="88">
        <v>0</v>
      </c>
      <c r="E68" s="89">
        <v>0</v>
      </c>
    </row>
    <row r="69" spans="2:5">
      <c r="B69" s="15" t="s">
        <v>56</v>
      </c>
      <c r="C69" s="16" t="s">
        <v>57</v>
      </c>
      <c r="D69" s="88">
        <v>47547.12</v>
      </c>
      <c r="E69" s="89">
        <f>D69/E21</f>
        <v>1.0162042922197642E-3</v>
      </c>
    </row>
    <row r="70" spans="2:5">
      <c r="B70" s="129" t="s">
        <v>58</v>
      </c>
      <c r="C70" s="130" t="s">
        <v>59</v>
      </c>
      <c r="D70" s="131">
        <v>0</v>
      </c>
      <c r="E70" s="132">
        <v>0</v>
      </c>
    </row>
    <row r="71" spans="2:5">
      <c r="B71" s="137" t="s">
        <v>23</v>
      </c>
      <c r="C71" s="138" t="s">
        <v>61</v>
      </c>
      <c r="D71" s="139">
        <f>E13</f>
        <v>0</v>
      </c>
      <c r="E71" s="70">
        <v>0</v>
      </c>
    </row>
    <row r="72" spans="2:5">
      <c r="B72" s="133" t="s">
        <v>60</v>
      </c>
      <c r="C72" s="134" t="s">
        <v>63</v>
      </c>
      <c r="D72" s="135">
        <f>E14</f>
        <v>139369.25999999998</v>
      </c>
      <c r="E72" s="136">
        <f>D72/E21</f>
        <v>2.9786796806093039E-3</v>
      </c>
    </row>
    <row r="73" spans="2:5">
      <c r="B73" s="24" t="s">
        <v>62</v>
      </c>
      <c r="C73" s="25" t="s">
        <v>65</v>
      </c>
      <c r="D73" s="26">
        <f>E17</f>
        <v>109469.7</v>
      </c>
      <c r="E73" s="27">
        <f>D73/E21</f>
        <v>2.3396491524199552E-3</v>
      </c>
    </row>
    <row r="74" spans="2:5">
      <c r="B74" s="137" t="s">
        <v>64</v>
      </c>
      <c r="C74" s="138" t="s">
        <v>66</v>
      </c>
      <c r="D74" s="139">
        <f>D58+D71+D72-D73</f>
        <v>46788938.36999999</v>
      </c>
      <c r="E74" s="70">
        <f>E58+E72-E73</f>
        <v>1.0000000000000002</v>
      </c>
    </row>
    <row r="75" spans="2:5">
      <c r="B75" s="15" t="s">
        <v>4</v>
      </c>
      <c r="C75" s="16" t="s">
        <v>67</v>
      </c>
      <c r="D75" s="88">
        <f>D74</f>
        <v>46788938.36999999</v>
      </c>
      <c r="E75" s="89">
        <f>E74</f>
        <v>1.0000000000000002</v>
      </c>
    </row>
    <row r="76" spans="2:5">
      <c r="B76" s="15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7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1" right="0.75" top="0.51" bottom="0.36" header="0.5" footer="0.5"/>
  <pageSetup paperSize="9" scale="70" orientation="portrait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0">
    <pageSetUpPr fitToPage="1"/>
  </sheetPr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1"/>
      <c r="C4" s="151"/>
      <c r="D4" s="151"/>
      <c r="E4" s="15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249</v>
      </c>
      <c r="C6" s="334"/>
      <c r="D6" s="334"/>
      <c r="E6" s="334"/>
    </row>
    <row r="7" spans="2:12" ht="14.25">
      <c r="B7" s="150"/>
      <c r="C7" s="150"/>
      <c r="D7" s="150"/>
      <c r="E7" s="150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14570.9</v>
      </c>
      <c r="E11" s="9">
        <f>E12</f>
        <v>151435.88</v>
      </c>
    </row>
    <row r="12" spans="2:12">
      <c r="B12" s="209" t="s">
        <v>4</v>
      </c>
      <c r="C12" s="210" t="s">
        <v>5</v>
      </c>
      <c r="D12" s="297">
        <v>14570.9</v>
      </c>
      <c r="E12" s="95">
        <v>151435.88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14570.9</v>
      </c>
      <c r="E21" s="165">
        <f>E11</f>
        <v>151435.88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14171.95</v>
      </c>
      <c r="E26" s="112">
        <f>D21</f>
        <v>14570.9</v>
      </c>
      <c r="G26" s="81"/>
    </row>
    <row r="27" spans="2:11">
      <c r="B27" s="10" t="s">
        <v>17</v>
      </c>
      <c r="C27" s="11" t="s">
        <v>217</v>
      </c>
      <c r="D27" s="245">
        <v>-136.99000000000024</v>
      </c>
      <c r="E27" s="269">
        <f>E28-E32</f>
        <v>122641.96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2273.2799999999997</v>
      </c>
      <c r="E28" s="284">
        <f>SUM(E29:E31)</f>
        <v>140185.73000000001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1085.1600000000001</v>
      </c>
      <c r="E29" s="286">
        <v>3320.14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1188.1199999999999</v>
      </c>
      <c r="E31" s="286">
        <v>136865.59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2410.27</v>
      </c>
      <c r="E32" s="284">
        <f>SUM(E33:E39)</f>
        <v>17543.77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1650.21</v>
      </c>
      <c r="E33" s="286">
        <v>4451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133.74</v>
      </c>
      <c r="E35" s="286">
        <v>176.81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253.8</v>
      </c>
      <c r="E37" s="286">
        <v>674.73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372.52</v>
      </c>
      <c r="E39" s="288">
        <v>12241.23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535.94000000000005</v>
      </c>
      <c r="E40" s="115">
        <v>14223.02</v>
      </c>
      <c r="G40" s="81"/>
    </row>
    <row r="41" spans="2:10" ht="13.5" thickBot="1">
      <c r="B41" s="116" t="s">
        <v>37</v>
      </c>
      <c r="C41" s="117" t="s">
        <v>38</v>
      </c>
      <c r="D41" s="249">
        <v>14570.900000000001</v>
      </c>
      <c r="E41" s="165">
        <f>E26+E27+E40</f>
        <v>151435.88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41.463900000000002</v>
      </c>
      <c r="E47" s="166">
        <v>41.057499999999997</v>
      </c>
      <c r="G47" s="77"/>
    </row>
    <row r="48" spans="2:10">
      <c r="B48" s="222" t="s">
        <v>6</v>
      </c>
      <c r="C48" s="223" t="s">
        <v>41</v>
      </c>
      <c r="D48" s="251">
        <v>41.057499999999997</v>
      </c>
      <c r="E48" s="166">
        <v>345.00360000000001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341.79</v>
      </c>
      <c r="E50" s="166">
        <v>354.89</v>
      </c>
      <c r="G50" s="208"/>
    </row>
    <row r="51" spans="2:7">
      <c r="B51" s="220" t="s">
        <v>6</v>
      </c>
      <c r="C51" s="221" t="s">
        <v>220</v>
      </c>
      <c r="D51" s="253">
        <v>298.82</v>
      </c>
      <c r="E51" s="166">
        <v>354.89</v>
      </c>
      <c r="G51" s="208"/>
    </row>
    <row r="52" spans="2:7">
      <c r="B52" s="220" t="s">
        <v>8</v>
      </c>
      <c r="C52" s="221" t="s">
        <v>221</v>
      </c>
      <c r="D52" s="253">
        <v>355.5</v>
      </c>
      <c r="E52" s="82">
        <v>445.24</v>
      </c>
    </row>
    <row r="53" spans="2:7" ht="13.5" customHeight="1" thickBot="1">
      <c r="B53" s="224" t="s">
        <v>9</v>
      </c>
      <c r="C53" s="225" t="s">
        <v>41</v>
      </c>
      <c r="D53" s="254">
        <v>354.89</v>
      </c>
      <c r="E53" s="319">
        <v>438.94</v>
      </c>
    </row>
    <row r="54" spans="2:7">
      <c r="B54" s="126"/>
      <c r="C54" s="127"/>
      <c r="D54" s="128"/>
      <c r="E54" s="241"/>
    </row>
    <row r="55" spans="2:7" ht="13.5">
      <c r="B55" s="337" t="s">
        <v>62</v>
      </c>
      <c r="C55" s="338"/>
      <c r="D55" s="338"/>
      <c r="E55" s="338"/>
    </row>
    <row r="56" spans="2:7" ht="20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151435.88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151435.88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151435.88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151435.88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1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1"/>
      <c r="C4" s="151"/>
      <c r="D4" s="151"/>
      <c r="E4" s="15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118</v>
      </c>
      <c r="C6" s="334"/>
      <c r="D6" s="334"/>
      <c r="E6" s="334"/>
    </row>
    <row r="7" spans="2:12" ht="14.25">
      <c r="B7" s="150"/>
      <c r="C7" s="150"/>
      <c r="D7" s="150"/>
      <c r="E7" s="150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245243.76</v>
      </c>
      <c r="E11" s="9">
        <f>E12</f>
        <v>323622.02</v>
      </c>
    </row>
    <row r="12" spans="2:12">
      <c r="B12" s="123" t="s">
        <v>4</v>
      </c>
      <c r="C12" s="6" t="s">
        <v>5</v>
      </c>
      <c r="D12" s="297">
        <v>245243.76</v>
      </c>
      <c r="E12" s="95">
        <f>323630.37-8.35</f>
        <v>323622.02</v>
      </c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/>
      <c r="E14" s="95"/>
      <c r="G14" s="71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123" t="s">
        <v>4</v>
      </c>
      <c r="C18" s="6" t="s">
        <v>11</v>
      </c>
      <c r="D18" s="297"/>
      <c r="E18" s="96"/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245243.76</v>
      </c>
      <c r="E21" s="165">
        <f>E11</f>
        <v>323622.02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52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155601.31</v>
      </c>
      <c r="E26" s="112">
        <f>D21</f>
        <v>245243.76</v>
      </c>
      <c r="G26" s="81"/>
    </row>
    <row r="27" spans="2:11">
      <c r="B27" s="10" t="s">
        <v>17</v>
      </c>
      <c r="C27" s="11" t="s">
        <v>217</v>
      </c>
      <c r="D27" s="245">
        <v>69639.760000000009</v>
      </c>
      <c r="E27" s="269">
        <f>E28-E32</f>
        <v>23803.039999999979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143874.14000000001</v>
      </c>
      <c r="E28" s="284">
        <f>SUM(E29:E31)</f>
        <v>395110.45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9002.36</v>
      </c>
      <c r="E29" s="286">
        <v>14269.36</v>
      </c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>
        <v>134871.78</v>
      </c>
      <c r="E31" s="286">
        <v>380841.09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74234.38</v>
      </c>
      <c r="E32" s="284">
        <f>SUM(E33:E39)</f>
        <v>371307.41000000003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4552.3500000000004</v>
      </c>
      <c r="E33" s="286">
        <f>241084+8.35</f>
        <v>241092.35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939.43</v>
      </c>
      <c r="E35" s="286">
        <v>1247.73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>
        <v>2835.22</v>
      </c>
      <c r="E37" s="286">
        <v>6798.87</v>
      </c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>
        <v>65907.38</v>
      </c>
      <c r="E39" s="288">
        <v>122168.46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20002.689999999999</v>
      </c>
      <c r="E40" s="115">
        <v>54575.22</v>
      </c>
      <c r="G40" s="81"/>
    </row>
    <row r="41" spans="2:10" ht="13.5" thickBot="1">
      <c r="B41" s="116" t="s">
        <v>37</v>
      </c>
      <c r="C41" s="117" t="s">
        <v>38</v>
      </c>
      <c r="D41" s="249">
        <v>245243.76</v>
      </c>
      <c r="E41" s="165">
        <f>E26+E27+E40</f>
        <v>323622.02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5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689.63040000000001</v>
      </c>
      <c r="E47" s="166">
        <v>972.84209999999996</v>
      </c>
      <c r="G47" s="77"/>
    </row>
    <row r="48" spans="2:10">
      <c r="B48" s="140" t="s">
        <v>6</v>
      </c>
      <c r="C48" s="23" t="s">
        <v>41</v>
      </c>
      <c r="D48" s="251">
        <v>972.84209999999996</v>
      </c>
      <c r="E48" s="166">
        <v>1100.6803</v>
      </c>
      <c r="G48" s="1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119" t="s">
        <v>4</v>
      </c>
      <c r="C50" s="16" t="s">
        <v>40</v>
      </c>
      <c r="D50" s="250">
        <v>225.63</v>
      </c>
      <c r="E50" s="166">
        <v>252.09</v>
      </c>
      <c r="G50" s="208"/>
    </row>
    <row r="51" spans="2:7">
      <c r="B51" s="119" t="s">
        <v>6</v>
      </c>
      <c r="C51" s="16" t="s">
        <v>220</v>
      </c>
      <c r="D51" s="253">
        <v>207.07</v>
      </c>
      <c r="E51" s="82">
        <v>252.09</v>
      </c>
      <c r="G51" s="208"/>
    </row>
    <row r="52" spans="2:7">
      <c r="B52" s="119" t="s">
        <v>8</v>
      </c>
      <c r="C52" s="16" t="s">
        <v>221</v>
      </c>
      <c r="D52" s="253">
        <v>257.25</v>
      </c>
      <c r="E52" s="82">
        <v>301.85000000000002</v>
      </c>
    </row>
    <row r="53" spans="2:7" ht="12.75" customHeight="1" thickBot="1">
      <c r="B53" s="120" t="s">
        <v>9</v>
      </c>
      <c r="C53" s="18" t="s">
        <v>41</v>
      </c>
      <c r="D53" s="254">
        <v>252.09</v>
      </c>
      <c r="E53" s="167">
        <v>294.02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323622.02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323622.02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323622.02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323622.02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48" right="0.75" top="0.52" bottom="0.43" header="0.5" footer="0.5"/>
  <pageSetup paperSize="9" scale="70" orientation="portrait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2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1"/>
      <c r="C4" s="151"/>
      <c r="D4" s="151"/>
      <c r="E4" s="15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123</v>
      </c>
      <c r="C6" s="334"/>
      <c r="D6" s="334"/>
      <c r="E6" s="334"/>
    </row>
    <row r="7" spans="2:12" ht="14.25">
      <c r="B7" s="150"/>
      <c r="C7" s="150"/>
      <c r="D7" s="150"/>
      <c r="E7" s="150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2770597.41</v>
      </c>
      <c r="E11" s="9">
        <f>E12</f>
        <v>1722218.72</v>
      </c>
    </row>
    <row r="12" spans="2:12">
      <c r="B12" s="209" t="s">
        <v>4</v>
      </c>
      <c r="C12" s="210" t="s">
        <v>5</v>
      </c>
      <c r="D12" s="297">
        <v>2770597.41</v>
      </c>
      <c r="E12" s="95">
        <v>1722218.72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2770597.41</v>
      </c>
      <c r="E21" s="165">
        <f>E11</f>
        <v>1722218.72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1880592.22</v>
      </c>
      <c r="E26" s="112">
        <f>D21</f>
        <v>2770597.41</v>
      </c>
      <c r="G26" s="81"/>
    </row>
    <row r="27" spans="2:11">
      <c r="B27" s="10" t="s">
        <v>17</v>
      </c>
      <c r="C27" s="11" t="s">
        <v>217</v>
      </c>
      <c r="D27" s="245">
        <v>611484.1100000001</v>
      </c>
      <c r="E27" s="269">
        <f>E28-E32</f>
        <v>-1358895.66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1223788.3500000001</v>
      </c>
      <c r="E28" s="284">
        <f>SUM(E29:E31)</f>
        <v>498583.74000000005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278946.64</v>
      </c>
      <c r="E29" s="286">
        <v>3300.03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944841.71</v>
      </c>
      <c r="E31" s="286">
        <v>495283.71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612304.24</v>
      </c>
      <c r="E32" s="284">
        <f>SUM(E33:E39)</f>
        <v>1857479.4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310049.24</v>
      </c>
      <c r="E33" s="286">
        <v>846624.3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2218.91</v>
      </c>
      <c r="E35" s="286">
        <v>1082.78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38485.120000000003</v>
      </c>
      <c r="E37" s="286">
        <v>32659.33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261550.97</v>
      </c>
      <c r="E39" s="288">
        <v>977112.99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278521.08</v>
      </c>
      <c r="E40" s="115">
        <v>310516.96999999997</v>
      </c>
      <c r="G40" s="81"/>
    </row>
    <row r="41" spans="2:10" ht="13.5" thickBot="1">
      <c r="B41" s="116" t="s">
        <v>37</v>
      </c>
      <c r="C41" s="117" t="s">
        <v>38</v>
      </c>
      <c r="D41" s="249">
        <v>2770597.41</v>
      </c>
      <c r="E41" s="165">
        <f>E26+E27+E40</f>
        <v>1722218.7200000002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4458.3869999999997</v>
      </c>
      <c r="E47" s="166">
        <v>5771.2362999999996</v>
      </c>
      <c r="G47" s="77"/>
    </row>
    <row r="48" spans="2:10">
      <c r="B48" s="222" t="s">
        <v>6</v>
      </c>
      <c r="C48" s="223" t="s">
        <v>41</v>
      </c>
      <c r="D48" s="251">
        <v>5771.2362999999996</v>
      </c>
      <c r="E48" s="166">
        <v>3028.3431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421.81</v>
      </c>
      <c r="E50" s="166">
        <v>480.07</v>
      </c>
      <c r="G50" s="208"/>
    </row>
    <row r="51" spans="2:7">
      <c r="B51" s="220" t="s">
        <v>6</v>
      </c>
      <c r="C51" s="221" t="s">
        <v>220</v>
      </c>
      <c r="D51" s="253">
        <v>384.36</v>
      </c>
      <c r="E51" s="166">
        <v>480.07</v>
      </c>
      <c r="G51" s="208"/>
    </row>
    <row r="52" spans="2:7">
      <c r="B52" s="220" t="s">
        <v>8</v>
      </c>
      <c r="C52" s="221" t="s">
        <v>221</v>
      </c>
      <c r="D52" s="253">
        <v>482.43</v>
      </c>
      <c r="E52" s="166">
        <v>573.57000000000005</v>
      </c>
    </row>
    <row r="53" spans="2:7" ht="13.5" customHeight="1" thickBot="1">
      <c r="B53" s="224" t="s">
        <v>9</v>
      </c>
      <c r="C53" s="225" t="s">
        <v>41</v>
      </c>
      <c r="D53" s="254">
        <v>480.07</v>
      </c>
      <c r="E53" s="167">
        <v>568.70000000000005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1722218.72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1722218.72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1722218.72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1722218.72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" right="0.75" top="0.62" bottom="0.61" header="0.5" footer="0.5"/>
  <pageSetup paperSize="9" scale="70" orientation="portrait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3">
    <pageSetUpPr fitToPage="1"/>
  </sheetPr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1"/>
      <c r="C4" s="151"/>
      <c r="D4" s="151"/>
      <c r="E4" s="15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119</v>
      </c>
      <c r="C6" s="334"/>
      <c r="D6" s="334"/>
      <c r="E6" s="334"/>
    </row>
    <row r="7" spans="2:12" ht="14.25">
      <c r="B7" s="150"/>
      <c r="C7" s="150"/>
      <c r="D7" s="150"/>
      <c r="E7" s="150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103421.04</v>
      </c>
      <c r="E11" s="9">
        <f>E12</f>
        <v>67733.87</v>
      </c>
    </row>
    <row r="12" spans="2:12">
      <c r="B12" s="209" t="s">
        <v>4</v>
      </c>
      <c r="C12" s="210" t="s">
        <v>5</v>
      </c>
      <c r="D12" s="297">
        <v>103421.04</v>
      </c>
      <c r="E12" s="95">
        <v>67733.87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103421.04</v>
      </c>
      <c r="E21" s="165">
        <f>E11</f>
        <v>67733.87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27934.25</v>
      </c>
      <c r="E26" s="112">
        <f>D21</f>
        <v>103421.04</v>
      </c>
      <c r="G26" s="81"/>
    </row>
    <row r="27" spans="2:11">
      <c r="B27" s="10" t="s">
        <v>17</v>
      </c>
      <c r="C27" s="11" t="s">
        <v>217</v>
      </c>
      <c r="D27" s="245">
        <v>62927.92</v>
      </c>
      <c r="E27" s="269">
        <f>E28-E32</f>
        <v>-41029.58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102591.51</v>
      </c>
      <c r="E28" s="284">
        <f>SUM(E29:E31)</f>
        <v>21074.34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32657.01</v>
      </c>
      <c r="E29" s="286">
        <v>8996.51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69934.5</v>
      </c>
      <c r="E31" s="286">
        <v>12077.83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39663.589999999997</v>
      </c>
      <c r="E32" s="284">
        <f>SUM(E33:E39)</f>
        <v>62103.920000000006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7731.45</v>
      </c>
      <c r="E33" s="286">
        <v>409.64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360.67</v>
      </c>
      <c r="E35" s="286">
        <v>415.49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800.21</v>
      </c>
      <c r="E37" s="286">
        <v>811.85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30771.26</v>
      </c>
      <c r="E39" s="288">
        <v>60466.94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12558.87</v>
      </c>
      <c r="E40" s="115">
        <v>5342.41</v>
      </c>
      <c r="G40" s="81"/>
    </row>
    <row r="41" spans="2:10" ht="13.5" thickBot="1">
      <c r="B41" s="116" t="s">
        <v>37</v>
      </c>
      <c r="C41" s="117" t="s">
        <v>38</v>
      </c>
      <c r="D41" s="249">
        <v>103421.04</v>
      </c>
      <c r="E41" s="165">
        <f>E26+E27+E40</f>
        <v>67733.87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239.69669999999999</v>
      </c>
      <c r="E47" s="166">
        <v>684.3184</v>
      </c>
      <c r="G47" s="77"/>
    </row>
    <row r="48" spans="2:10">
      <c r="B48" s="222" t="s">
        <v>6</v>
      </c>
      <c r="C48" s="223" t="s">
        <v>41</v>
      </c>
      <c r="D48" s="251">
        <v>684.3184</v>
      </c>
      <c r="E48" s="166">
        <v>420.18529999999998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116.54</v>
      </c>
      <c r="E50" s="166">
        <v>151.13</v>
      </c>
      <c r="G50" s="208"/>
    </row>
    <row r="51" spans="2:7">
      <c r="B51" s="220" t="s">
        <v>6</v>
      </c>
      <c r="C51" s="221" t="s">
        <v>220</v>
      </c>
      <c r="D51" s="253">
        <v>109.73</v>
      </c>
      <c r="E51" s="82">
        <v>140.19999999999999</v>
      </c>
      <c r="G51" s="208"/>
    </row>
    <row r="52" spans="2:7">
      <c r="B52" s="220" t="s">
        <v>8</v>
      </c>
      <c r="C52" s="221" t="s">
        <v>221</v>
      </c>
      <c r="D52" s="253">
        <v>168.74</v>
      </c>
      <c r="E52" s="82">
        <v>176</v>
      </c>
    </row>
    <row r="53" spans="2:7" ht="14.25" customHeight="1" thickBot="1">
      <c r="B53" s="224" t="s">
        <v>9</v>
      </c>
      <c r="C53" s="225" t="s">
        <v>41</v>
      </c>
      <c r="D53" s="254">
        <v>151.13</v>
      </c>
      <c r="E53" s="167">
        <v>161.19999999999999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67733.87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67733.87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67733.87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67733.87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4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21.140625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1"/>
      <c r="C4" s="151"/>
      <c r="D4" s="151"/>
      <c r="E4" s="15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120</v>
      </c>
      <c r="C6" s="334"/>
      <c r="D6" s="334"/>
      <c r="E6" s="334"/>
    </row>
    <row r="7" spans="2:12" ht="14.25">
      <c r="B7" s="150"/>
      <c r="C7" s="150"/>
      <c r="D7" s="150"/>
      <c r="E7" s="150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85717.95</v>
      </c>
      <c r="E11" s="9">
        <f>E12</f>
        <v>75110.64</v>
      </c>
    </row>
    <row r="12" spans="2:12">
      <c r="B12" s="209" t="s">
        <v>4</v>
      </c>
      <c r="C12" s="210" t="s">
        <v>5</v>
      </c>
      <c r="D12" s="297">
        <v>85717.95</v>
      </c>
      <c r="E12" s="95">
        <f>75124.87-14.23</f>
        <v>75110.64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85717.95</v>
      </c>
      <c r="E21" s="165">
        <f>E11</f>
        <v>75110.64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68998.05</v>
      </c>
      <c r="E26" s="112">
        <f>D21</f>
        <v>85717.95</v>
      </c>
      <c r="G26" s="81"/>
    </row>
    <row r="27" spans="2:11">
      <c r="B27" s="10" t="s">
        <v>17</v>
      </c>
      <c r="C27" s="11" t="s">
        <v>217</v>
      </c>
      <c r="D27" s="245">
        <v>9404.7599999999948</v>
      </c>
      <c r="E27" s="269">
        <f>E28-E32</f>
        <v>-21436.25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45432.479999999996</v>
      </c>
      <c r="E28" s="284">
        <f>SUM(E29:E31)</f>
        <v>9802.89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1996.34</v>
      </c>
      <c r="E29" s="286">
        <v>4765.1899999999996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43436.14</v>
      </c>
      <c r="E31" s="286">
        <v>5037.7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36027.72</v>
      </c>
      <c r="E32" s="284">
        <f>SUM(E33:E39)</f>
        <v>31239.14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16157.01</v>
      </c>
      <c r="E33" s="286">
        <f>13712.93+14.23</f>
        <v>13727.16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318.87</v>
      </c>
      <c r="E35" s="286">
        <v>522.45000000000005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861.58</v>
      </c>
      <c r="E37" s="286">
        <v>795.72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18690.259999999998</v>
      </c>
      <c r="E39" s="288">
        <v>16193.81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7315.14</v>
      </c>
      <c r="E40" s="115">
        <v>10828.94</v>
      </c>
      <c r="G40" s="81"/>
    </row>
    <row r="41" spans="2:10" ht="13.5" thickBot="1">
      <c r="B41" s="116" t="s">
        <v>37</v>
      </c>
      <c r="C41" s="117" t="s">
        <v>38</v>
      </c>
      <c r="D41" s="249">
        <v>85717.95</v>
      </c>
      <c r="E41" s="165">
        <f>E26+E27+E40</f>
        <v>75110.64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308">
        <v>1103.4391000000001</v>
      </c>
      <c r="E47" s="166">
        <v>1203.0589</v>
      </c>
      <c r="G47" s="77"/>
    </row>
    <row r="48" spans="2:10">
      <c r="B48" s="222" t="s">
        <v>6</v>
      </c>
      <c r="C48" s="223" t="s">
        <v>41</v>
      </c>
      <c r="D48" s="308">
        <v>1203.0589</v>
      </c>
      <c r="E48" s="166">
        <v>905.60209999999995</v>
      </c>
      <c r="G48" s="177"/>
    </row>
    <row r="49" spans="2:7">
      <c r="B49" s="137" t="s">
        <v>23</v>
      </c>
      <c r="C49" s="141" t="s">
        <v>219</v>
      </c>
      <c r="D49" s="308"/>
      <c r="E49" s="166"/>
    </row>
    <row r="50" spans="2:7">
      <c r="B50" s="220" t="s">
        <v>4</v>
      </c>
      <c r="C50" s="221" t="s">
        <v>40</v>
      </c>
      <c r="D50" s="308">
        <v>62.53</v>
      </c>
      <c r="E50" s="166">
        <v>71.25</v>
      </c>
      <c r="G50" s="208"/>
    </row>
    <row r="51" spans="2:7">
      <c r="B51" s="220" t="s">
        <v>6</v>
      </c>
      <c r="C51" s="221" t="s">
        <v>220</v>
      </c>
      <c r="D51" s="310">
        <v>52.480000000000004</v>
      </c>
      <c r="E51" s="82">
        <v>70.84</v>
      </c>
      <c r="G51" s="208"/>
    </row>
    <row r="52" spans="2:7">
      <c r="B52" s="220" t="s">
        <v>8</v>
      </c>
      <c r="C52" s="221" t="s">
        <v>221</v>
      </c>
      <c r="D52" s="310">
        <v>72.900000000000006</v>
      </c>
      <c r="E52" s="82">
        <v>84.38</v>
      </c>
    </row>
    <row r="53" spans="2:7" ht="13.5" customHeight="1" thickBot="1">
      <c r="B53" s="224" t="s">
        <v>9</v>
      </c>
      <c r="C53" s="225" t="s">
        <v>41</v>
      </c>
      <c r="D53" s="254">
        <v>71.25</v>
      </c>
      <c r="E53" s="167">
        <v>82.94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75110.64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75110.64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75110.64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75110.64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000000000000004" right="0.75" top="0.53" bottom="0.51" header="0.5" footer="0.5"/>
  <pageSetup paperSize="9" scale="70" orientation="portrait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5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1"/>
      <c r="C4" s="151"/>
      <c r="D4" s="151"/>
      <c r="E4" s="15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117</v>
      </c>
      <c r="C6" s="334"/>
      <c r="D6" s="334"/>
      <c r="E6" s="334"/>
    </row>
    <row r="7" spans="2:12" ht="14.25">
      <c r="B7" s="150"/>
      <c r="C7" s="150"/>
      <c r="D7" s="150"/>
      <c r="E7" s="150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309732.07</v>
      </c>
      <c r="E11" s="9">
        <f>E12</f>
        <v>180195.43000000002</v>
      </c>
    </row>
    <row r="12" spans="2:12">
      <c r="B12" s="123" t="s">
        <v>4</v>
      </c>
      <c r="C12" s="6" t="s">
        <v>5</v>
      </c>
      <c r="D12" s="297">
        <v>309732.07</v>
      </c>
      <c r="E12" s="95">
        <f>180430.89-235.46</f>
        <v>180195.43000000002</v>
      </c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/>
      <c r="E14" s="95"/>
      <c r="G14" s="71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123" t="s">
        <v>4</v>
      </c>
      <c r="C18" s="6" t="s">
        <v>11</v>
      </c>
      <c r="D18" s="297"/>
      <c r="E18" s="96"/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309732.07</v>
      </c>
      <c r="E21" s="165">
        <f>E11-E17</f>
        <v>180195.43000000002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52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402895.6</v>
      </c>
      <c r="E26" s="112">
        <f>D21</f>
        <v>309732.07</v>
      </c>
      <c r="G26" s="81"/>
    </row>
    <row r="27" spans="2:11">
      <c r="B27" s="10" t="s">
        <v>17</v>
      </c>
      <c r="C27" s="11" t="s">
        <v>217</v>
      </c>
      <c r="D27" s="245">
        <v>-133733.44</v>
      </c>
      <c r="E27" s="269">
        <f>E28-E32</f>
        <v>-132624.29999999999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435317.91</v>
      </c>
      <c r="E28" s="284">
        <f>SUM(E29:E31)</f>
        <v>85698.72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45332.62</v>
      </c>
      <c r="E29" s="286">
        <v>14469.72</v>
      </c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>
        <v>389985.29</v>
      </c>
      <c r="E31" s="286">
        <v>71229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569051.35</v>
      </c>
      <c r="E32" s="284">
        <f>SUM(E33:E39)</f>
        <v>218323.02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80872.42</v>
      </c>
      <c r="E33" s="286">
        <f>43437.77+1.84</f>
        <v>43439.609999999993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2249.61</v>
      </c>
      <c r="E35" s="286">
        <v>1903.64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>
        <v>4588.38</v>
      </c>
      <c r="E37" s="286">
        <v>3233.78</v>
      </c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>
        <v>481340.94</v>
      </c>
      <c r="E39" s="288">
        <v>169745.99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40569.910000000003</v>
      </c>
      <c r="E40" s="115">
        <v>3087.66</v>
      </c>
      <c r="G40" s="81"/>
    </row>
    <row r="41" spans="2:10" ht="13.5" thickBot="1">
      <c r="B41" s="116" t="s">
        <v>37</v>
      </c>
      <c r="C41" s="117" t="s">
        <v>38</v>
      </c>
      <c r="D41" s="249">
        <v>309732.06999999995</v>
      </c>
      <c r="E41" s="165">
        <f>E26+E27+E40</f>
        <v>180195.43000000002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5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3170.6587</v>
      </c>
      <c r="E47" s="166">
        <v>2154.9576999999999</v>
      </c>
      <c r="G47" s="77"/>
    </row>
    <row r="48" spans="2:10">
      <c r="B48" s="140" t="s">
        <v>6</v>
      </c>
      <c r="C48" s="23" t="s">
        <v>41</v>
      </c>
      <c r="D48" s="251">
        <v>2154.9576999999999</v>
      </c>
      <c r="E48" s="166">
        <v>1243.92814</v>
      </c>
      <c r="G48" s="228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119" t="s">
        <v>4</v>
      </c>
      <c r="C50" s="16" t="s">
        <v>40</v>
      </c>
      <c r="D50" s="250">
        <v>127.07</v>
      </c>
      <c r="E50" s="166">
        <v>143.72999999999999</v>
      </c>
      <c r="G50" s="208"/>
    </row>
    <row r="51" spans="2:7">
      <c r="B51" s="119" t="s">
        <v>6</v>
      </c>
      <c r="C51" s="16" t="s">
        <v>220</v>
      </c>
      <c r="D51" s="253">
        <v>127.07000000000001</v>
      </c>
      <c r="E51" s="166">
        <v>138.83000000000001</v>
      </c>
      <c r="G51" s="208"/>
    </row>
    <row r="52" spans="2:7">
      <c r="B52" s="119" t="s">
        <v>8</v>
      </c>
      <c r="C52" s="16" t="s">
        <v>221</v>
      </c>
      <c r="D52" s="253">
        <v>167.94</v>
      </c>
      <c r="E52" s="82">
        <v>155.35</v>
      </c>
    </row>
    <row r="53" spans="2:7" ht="12.75" customHeight="1" thickBot="1">
      <c r="B53" s="120" t="s">
        <v>9</v>
      </c>
      <c r="C53" s="18" t="s">
        <v>41</v>
      </c>
      <c r="D53" s="254">
        <v>143.72999999999999</v>
      </c>
      <c r="E53" s="167">
        <v>144.86000000000001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180195.43000000002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E12</f>
        <v>180195.43000000002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47" t="s">
        <v>64</v>
      </c>
      <c r="C74" s="138" t="s">
        <v>66</v>
      </c>
      <c r="D74" s="139">
        <f>D58-D73</f>
        <v>180195.43000000002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180195.43000000002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3" right="0.75" top="0.53" bottom="0.67" header="0.5" footer="0.5"/>
  <pageSetup paperSize="9" scale="70" orientation="portrait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6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1"/>
      <c r="C4" s="151"/>
      <c r="D4" s="151"/>
      <c r="E4" s="15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206</v>
      </c>
      <c r="C6" s="334"/>
      <c r="D6" s="334"/>
      <c r="E6" s="334"/>
    </row>
    <row r="7" spans="2:12" ht="14.25">
      <c r="B7" s="150"/>
      <c r="C7" s="150"/>
      <c r="D7" s="150"/>
      <c r="E7" s="150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260732.79999999999</v>
      </c>
      <c r="E11" s="9">
        <f>E12</f>
        <v>261740.12</v>
      </c>
    </row>
    <row r="12" spans="2:12">
      <c r="B12" s="123" t="s">
        <v>4</v>
      </c>
      <c r="C12" s="6" t="s">
        <v>5</v>
      </c>
      <c r="D12" s="297">
        <v>260732.79999999999</v>
      </c>
      <c r="E12" s="95">
        <v>261740.12</v>
      </c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/>
      <c r="E14" s="95"/>
      <c r="G14" s="71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123" t="s">
        <v>4</v>
      </c>
      <c r="C18" s="6" t="s">
        <v>11</v>
      </c>
      <c r="D18" s="297"/>
      <c r="E18" s="96"/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260732.79999999999</v>
      </c>
      <c r="E21" s="165">
        <f>E11</f>
        <v>261740.12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52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258694.37</v>
      </c>
      <c r="E26" s="112">
        <f>D21</f>
        <v>260732.79999999999</v>
      </c>
      <c r="G26" s="81"/>
    </row>
    <row r="27" spans="2:11">
      <c r="B27" s="10" t="s">
        <v>17</v>
      </c>
      <c r="C27" s="11" t="s">
        <v>217</v>
      </c>
      <c r="D27" s="245">
        <v>37.770000000004075</v>
      </c>
      <c r="E27" s="269">
        <f>E28-E32</f>
        <v>-6568.6999999999971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19881.440000000002</v>
      </c>
      <c r="E28" s="284">
        <f>SUM(E29:E31)</f>
        <v>62016.520000000004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6099.59</v>
      </c>
      <c r="E29" s="286">
        <v>5178.22</v>
      </c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>
        <v>13781.85</v>
      </c>
      <c r="E31" s="286">
        <v>56838.3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19843.669999999998</v>
      </c>
      <c r="E32" s="284">
        <f>SUM(E33:E39)</f>
        <v>68585.22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1676.34</v>
      </c>
      <c r="E33" s="286">
        <v>56281.64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823.48</v>
      </c>
      <c r="E35" s="286">
        <v>560.39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>
        <v>4624.0200000000004</v>
      </c>
      <c r="E37" s="286">
        <v>4567.88</v>
      </c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>
        <v>12719.83</v>
      </c>
      <c r="E39" s="288">
        <v>7175.31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2000.66</v>
      </c>
      <c r="E40" s="115">
        <v>7576.02</v>
      </c>
      <c r="G40" s="81"/>
    </row>
    <row r="41" spans="2:10" ht="13.5" thickBot="1">
      <c r="B41" s="116" t="s">
        <v>37</v>
      </c>
      <c r="C41" s="117" t="s">
        <v>38</v>
      </c>
      <c r="D41" s="249">
        <v>260732.80000000002</v>
      </c>
      <c r="E41" s="165">
        <f>E26+E27+E40</f>
        <v>261740.11999999997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5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2002.5884000000001</v>
      </c>
      <c r="E47" s="166">
        <v>2003.0175999999999</v>
      </c>
      <c r="G47" s="77"/>
    </row>
    <row r="48" spans="2:10">
      <c r="B48" s="140" t="s">
        <v>6</v>
      </c>
      <c r="C48" s="23" t="s">
        <v>41</v>
      </c>
      <c r="D48" s="251">
        <v>2003.0175999999999</v>
      </c>
      <c r="E48" s="166">
        <v>1957.3744999999999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119" t="s">
        <v>4</v>
      </c>
      <c r="C50" s="16" t="s">
        <v>40</v>
      </c>
      <c r="D50" s="250">
        <v>129.18</v>
      </c>
      <c r="E50" s="166">
        <v>130.16999999999999</v>
      </c>
      <c r="G50" s="208"/>
    </row>
    <row r="51" spans="2:7">
      <c r="B51" s="119" t="s">
        <v>6</v>
      </c>
      <c r="C51" s="16" t="s">
        <v>220</v>
      </c>
      <c r="D51" s="253">
        <v>129.13</v>
      </c>
      <c r="E51" s="82">
        <v>130.07</v>
      </c>
      <c r="G51" s="208"/>
    </row>
    <row r="52" spans="2:7">
      <c r="B52" s="119" t="s">
        <v>8</v>
      </c>
      <c r="C52" s="16" t="s">
        <v>221</v>
      </c>
      <c r="D52" s="253">
        <v>130.27000000000001</v>
      </c>
      <c r="E52" s="82">
        <v>133.75</v>
      </c>
    </row>
    <row r="53" spans="2:7" ht="13.5" customHeight="1" thickBot="1">
      <c r="B53" s="120" t="s">
        <v>9</v>
      </c>
      <c r="C53" s="18" t="s">
        <v>41</v>
      </c>
      <c r="D53" s="254">
        <v>130.16999999999999</v>
      </c>
      <c r="E53" s="167">
        <v>133.72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8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261740.12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261740.12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261740.12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261740.12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000000000000005" right="0.75" top="0.53" bottom="0.49" header="0.5" footer="0.5"/>
  <pageSetup paperSize="9" scale="70" orientation="portrait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7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1"/>
      <c r="C4" s="151"/>
      <c r="D4" s="151"/>
      <c r="E4" s="15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121</v>
      </c>
      <c r="C6" s="334"/>
      <c r="D6" s="334"/>
      <c r="E6" s="334"/>
    </row>
    <row r="7" spans="2:12" ht="14.25">
      <c r="B7" s="150"/>
      <c r="C7" s="150"/>
      <c r="D7" s="150"/>
      <c r="E7" s="150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259327.86</v>
      </c>
      <c r="E11" s="9">
        <f>E12</f>
        <v>284556.46999999997</v>
      </c>
    </row>
    <row r="12" spans="2:12">
      <c r="B12" s="123" t="s">
        <v>4</v>
      </c>
      <c r="C12" s="6" t="s">
        <v>5</v>
      </c>
      <c r="D12" s="297">
        <v>259327.86</v>
      </c>
      <c r="E12" s="95">
        <v>284556.46999999997</v>
      </c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/>
      <c r="E14" s="95"/>
      <c r="G14" s="71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123" t="s">
        <v>4</v>
      </c>
      <c r="C18" s="6" t="s">
        <v>11</v>
      </c>
      <c r="D18" s="297"/>
      <c r="E18" s="96"/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259327.86</v>
      </c>
      <c r="E21" s="165">
        <f>E11</f>
        <v>284556.46999999997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52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196324.54</v>
      </c>
      <c r="E26" s="112">
        <f>D21</f>
        <v>259327.86</v>
      </c>
      <c r="G26" s="81"/>
    </row>
    <row r="27" spans="2:11">
      <c r="B27" s="10" t="s">
        <v>17</v>
      </c>
      <c r="C27" s="11" t="s">
        <v>217</v>
      </c>
      <c r="D27" s="245">
        <v>55807.06</v>
      </c>
      <c r="E27" s="269">
        <f>E28-E32</f>
        <v>35.510000000009313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87686.09</v>
      </c>
      <c r="E28" s="284">
        <f>SUM(E29:E31)</f>
        <v>137235.14000000001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31092.19</v>
      </c>
      <c r="E29" s="286">
        <v>20403.87</v>
      </c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>
        <v>56593.9</v>
      </c>
      <c r="E31" s="286">
        <v>116831.27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31879.03</v>
      </c>
      <c r="E32" s="284">
        <f>SUM(E33:E39)</f>
        <v>137199.63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2886.72</v>
      </c>
      <c r="E33" s="286">
        <v>31828.67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3120.57</v>
      </c>
      <c r="E35" s="286">
        <v>2470.46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>
        <v>2012.67</v>
      </c>
      <c r="E37" s="286">
        <v>2168.8200000000002</v>
      </c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>
        <v>23859.07</v>
      </c>
      <c r="E39" s="288">
        <v>100731.68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7196.26</v>
      </c>
      <c r="E40" s="115">
        <v>25193.1</v>
      </c>
      <c r="G40" s="81"/>
    </row>
    <row r="41" spans="2:10" ht="13.5" thickBot="1">
      <c r="B41" s="116" t="s">
        <v>37</v>
      </c>
      <c r="C41" s="117" t="s">
        <v>38</v>
      </c>
      <c r="D41" s="249">
        <v>259327.86000000002</v>
      </c>
      <c r="E41" s="165">
        <f>E26+E27+E40</f>
        <v>284556.46999999997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5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974.75070000000005</v>
      </c>
      <c r="E47" s="166">
        <v>1245.5708999999999</v>
      </c>
      <c r="G47" s="77"/>
    </row>
    <row r="48" spans="2:10">
      <c r="B48" s="140" t="s">
        <v>6</v>
      </c>
      <c r="C48" s="23" t="s">
        <v>41</v>
      </c>
      <c r="D48" s="251">
        <v>1245.5708999999999</v>
      </c>
      <c r="E48" s="166">
        <v>1207.0264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119" t="s">
        <v>4</v>
      </c>
      <c r="C50" s="16" t="s">
        <v>40</v>
      </c>
      <c r="D50" s="250">
        <v>201.41</v>
      </c>
      <c r="E50" s="166">
        <v>208.2</v>
      </c>
      <c r="G50" s="208"/>
    </row>
    <row r="51" spans="2:7">
      <c r="B51" s="119" t="s">
        <v>6</v>
      </c>
      <c r="C51" s="16" t="s">
        <v>220</v>
      </c>
      <c r="D51" s="253">
        <v>170.46</v>
      </c>
      <c r="E51" s="82">
        <v>208.2</v>
      </c>
      <c r="G51" s="208"/>
    </row>
    <row r="52" spans="2:7">
      <c r="B52" s="119" t="s">
        <v>8</v>
      </c>
      <c r="C52" s="16" t="s">
        <v>221</v>
      </c>
      <c r="D52" s="253">
        <v>215.78</v>
      </c>
      <c r="E52" s="82">
        <v>243.85</v>
      </c>
    </row>
    <row r="53" spans="2:7" ht="12.75" customHeight="1" thickBot="1">
      <c r="B53" s="120" t="s">
        <v>9</v>
      </c>
      <c r="C53" s="18" t="s">
        <v>41</v>
      </c>
      <c r="D53" s="254">
        <v>208.2</v>
      </c>
      <c r="E53" s="167">
        <v>235.75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284556.46999999997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284556.46999999997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284556.46999999997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284556.46999999997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8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1"/>
      <c r="C4" s="151"/>
      <c r="D4" s="151"/>
      <c r="E4" s="15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122</v>
      </c>
      <c r="C6" s="334"/>
      <c r="D6" s="334"/>
      <c r="E6" s="334"/>
    </row>
    <row r="7" spans="2:12" ht="14.25">
      <c r="B7" s="150"/>
      <c r="C7" s="150"/>
      <c r="D7" s="150"/>
      <c r="E7" s="150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94240.53</v>
      </c>
      <c r="E11" s="9">
        <f>E12</f>
        <v>150953.80000000002</v>
      </c>
    </row>
    <row r="12" spans="2:12">
      <c r="B12" s="123" t="s">
        <v>4</v>
      </c>
      <c r="C12" s="6" t="s">
        <v>5</v>
      </c>
      <c r="D12" s="297">
        <v>94240.53</v>
      </c>
      <c r="E12" s="95">
        <f>164513.63-13559.83</f>
        <v>150953.80000000002</v>
      </c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/>
      <c r="E14" s="95"/>
      <c r="G14" s="71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123" t="s">
        <v>4</v>
      </c>
      <c r="C18" s="6" t="s">
        <v>11</v>
      </c>
      <c r="D18" s="297"/>
      <c r="E18" s="96"/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94240.53</v>
      </c>
      <c r="E21" s="165">
        <f>E11</f>
        <v>150953.80000000002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52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183189.68</v>
      </c>
      <c r="E26" s="112">
        <f>D21</f>
        <v>94240.53</v>
      </c>
      <c r="G26" s="81"/>
    </row>
    <row r="27" spans="2:11">
      <c r="B27" s="10" t="s">
        <v>17</v>
      </c>
      <c r="C27" s="11" t="s">
        <v>217</v>
      </c>
      <c r="D27" s="245">
        <v>-86992.43</v>
      </c>
      <c r="E27" s="269">
        <f>E28-E32</f>
        <v>17766.74000000002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145358.57</v>
      </c>
      <c r="E28" s="284">
        <f>SUM(E29:E31)</f>
        <v>195311.15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>
        <v>145358.57</v>
      </c>
      <c r="E31" s="286">
        <v>195311.15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232351</v>
      </c>
      <c r="E32" s="284">
        <f>SUM(E33:E39)</f>
        <v>177544.40999999997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/>
      <c r="E33" s="286">
        <f>128366.5+13559.83</f>
        <v>141926.32999999999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>
        <v>259.36</v>
      </c>
      <c r="E35" s="286">
        <v>173.8</v>
      </c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>
        <v>3166.39</v>
      </c>
      <c r="E37" s="286">
        <v>4005.85</v>
      </c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>
        <v>228925.25</v>
      </c>
      <c r="E39" s="288">
        <v>31438.43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-1956.72</v>
      </c>
      <c r="E40" s="115">
        <v>38946.53</v>
      </c>
      <c r="G40" s="81"/>
    </row>
    <row r="41" spans="2:10" ht="13.5" thickBot="1">
      <c r="B41" s="116" t="s">
        <v>37</v>
      </c>
      <c r="C41" s="117" t="s">
        <v>38</v>
      </c>
      <c r="D41" s="249">
        <v>94240.53</v>
      </c>
      <c r="E41" s="165">
        <f>E26+E27+E40</f>
        <v>150953.80000000002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52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1125.3820000000001</v>
      </c>
      <c r="E47" s="166">
        <v>620.00350000000003</v>
      </c>
      <c r="G47" s="77"/>
    </row>
    <row r="48" spans="2:10">
      <c r="B48" s="140" t="s">
        <v>6</v>
      </c>
      <c r="C48" s="23" t="s">
        <v>41</v>
      </c>
      <c r="D48" s="251">
        <v>620.00350000000003</v>
      </c>
      <c r="E48" s="166">
        <v>885.6712</v>
      </c>
      <c r="G48" s="1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119" t="s">
        <v>4</v>
      </c>
      <c r="C50" s="16" t="s">
        <v>40</v>
      </c>
      <c r="D50" s="250">
        <v>162.78</v>
      </c>
      <c r="E50" s="166">
        <v>152</v>
      </c>
      <c r="G50" s="208"/>
    </row>
    <row r="51" spans="2:7">
      <c r="B51" s="119" t="s">
        <v>6</v>
      </c>
      <c r="C51" s="16" t="s">
        <v>220</v>
      </c>
      <c r="D51" s="253">
        <v>143.6</v>
      </c>
      <c r="E51" s="82">
        <v>136.65</v>
      </c>
      <c r="G51" s="208"/>
    </row>
    <row r="52" spans="2:7">
      <c r="B52" s="119" t="s">
        <v>8</v>
      </c>
      <c r="C52" s="16" t="s">
        <v>221</v>
      </c>
      <c r="D52" s="253">
        <v>193.23000000000002</v>
      </c>
      <c r="E52" s="82">
        <v>186.53</v>
      </c>
    </row>
    <row r="53" spans="2:7" ht="13.5" customHeight="1" thickBot="1">
      <c r="B53" s="120" t="s">
        <v>9</v>
      </c>
      <c r="C53" s="18" t="s">
        <v>41</v>
      </c>
      <c r="D53" s="254">
        <v>152</v>
      </c>
      <c r="E53" s="167">
        <v>170.44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150953.80000000002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150953.80000000002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150953.80000000002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150953.80000000002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" right="0.75" top="0.61" bottom="0.61" header="0.5" footer="0.5"/>
  <pageSetup paperSize="9" scale="70" orientation="portrait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9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14.25">
      <c r="B5" s="333" t="s">
        <v>1</v>
      </c>
      <c r="C5" s="333"/>
      <c r="D5" s="333"/>
      <c r="E5" s="333"/>
    </row>
    <row r="6" spans="2:12" ht="14.25">
      <c r="B6" s="334" t="s">
        <v>250</v>
      </c>
      <c r="C6" s="334"/>
      <c r="D6" s="334"/>
      <c r="E6" s="334"/>
    </row>
    <row r="7" spans="2:12" ht="14.25">
      <c r="B7" s="196"/>
      <c r="C7" s="196"/>
      <c r="D7" s="196"/>
      <c r="E7" s="196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97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36210.639999999999</v>
      </c>
      <c r="E11" s="9">
        <f>E12</f>
        <v>24047.09</v>
      </c>
    </row>
    <row r="12" spans="2:12">
      <c r="B12" s="209" t="s">
        <v>4</v>
      </c>
      <c r="C12" s="210" t="s">
        <v>5</v>
      </c>
      <c r="D12" s="297">
        <v>36210.639999999999</v>
      </c>
      <c r="E12" s="95">
        <v>24047.09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36210.639999999999</v>
      </c>
      <c r="E21" s="165">
        <f>E11</f>
        <v>24047.09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 t="s">
        <v>246</v>
      </c>
      <c r="E26" s="112">
        <f>D21</f>
        <v>36210.639999999999</v>
      </c>
      <c r="G26" s="81"/>
    </row>
    <row r="27" spans="2:11">
      <c r="B27" s="10" t="s">
        <v>17</v>
      </c>
      <c r="C27" s="11" t="s">
        <v>217</v>
      </c>
      <c r="D27" s="245">
        <v>36015</v>
      </c>
      <c r="E27" s="269">
        <f>E28-E32</f>
        <v>-12607.13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36015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36015</v>
      </c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0</v>
      </c>
      <c r="E32" s="284">
        <f>SUM(E33:E39)</f>
        <v>12607.13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>
        <v>12415.07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/>
      <c r="E35" s="286">
        <v>192.06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/>
      <c r="E37" s="286"/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195.64</v>
      </c>
      <c r="E40" s="115">
        <v>443.58</v>
      </c>
      <c r="G40" s="81"/>
    </row>
    <row r="41" spans="2:10" ht="13.5" thickBot="1">
      <c r="B41" s="116" t="s">
        <v>37</v>
      </c>
      <c r="C41" s="117" t="s">
        <v>38</v>
      </c>
      <c r="D41" s="249">
        <v>36210.639999999999</v>
      </c>
      <c r="E41" s="165">
        <f>E26+E27+E40</f>
        <v>24047.090000000004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/>
      <c r="E47" s="166">
        <v>359.23250000000002</v>
      </c>
      <c r="G47" s="77"/>
    </row>
    <row r="48" spans="2:10">
      <c r="B48" s="222" t="s">
        <v>6</v>
      </c>
      <c r="C48" s="223" t="s">
        <v>41</v>
      </c>
      <c r="D48" s="251">
        <v>359.23250000000002</v>
      </c>
      <c r="E48" s="166">
        <v>235.5018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/>
      <c r="E50" s="166">
        <v>100.8</v>
      </c>
      <c r="G50" s="208"/>
    </row>
    <row r="51" spans="2:7">
      <c r="B51" s="220" t="s">
        <v>6</v>
      </c>
      <c r="C51" s="221" t="s">
        <v>220</v>
      </c>
      <c r="D51" s="253">
        <v>98.31</v>
      </c>
      <c r="E51" s="82">
        <v>100.44</v>
      </c>
      <c r="G51" s="208"/>
    </row>
    <row r="52" spans="2:7">
      <c r="B52" s="220" t="s">
        <v>8</v>
      </c>
      <c r="C52" s="221" t="s">
        <v>221</v>
      </c>
      <c r="D52" s="253">
        <v>100.92</v>
      </c>
      <c r="E52" s="82">
        <v>102.16</v>
      </c>
    </row>
    <row r="53" spans="2:7" ht="13.5" thickBot="1">
      <c r="B53" s="224" t="s">
        <v>9</v>
      </c>
      <c r="C53" s="225" t="s">
        <v>41</v>
      </c>
      <c r="D53" s="254">
        <v>100.8</v>
      </c>
      <c r="E53" s="167">
        <v>102.11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24047.09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24047.09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24047.09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24047.09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1" max="11" width="9.28515625" customWidth="1"/>
    <col min="12" max="12" width="13.140625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99"/>
      <c r="C4" s="99"/>
      <c r="D4" s="99"/>
      <c r="E4" s="99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89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0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48430498.169999994</v>
      </c>
      <c r="E11" s="9">
        <f>E12+E13+E14</f>
        <v>53357668.25</v>
      </c>
    </row>
    <row r="12" spans="2:12">
      <c r="B12" s="123" t="s">
        <v>4</v>
      </c>
      <c r="C12" s="6" t="s">
        <v>5</v>
      </c>
      <c r="D12" s="297">
        <v>48255648.129999995</v>
      </c>
      <c r="E12" s="95">
        <f>53527038.08-334881.41</f>
        <v>53192156.670000002</v>
      </c>
    </row>
    <row r="13" spans="2:12">
      <c r="B13" s="123" t="s">
        <v>6</v>
      </c>
      <c r="C13" s="72" t="s">
        <v>7</v>
      </c>
      <c r="D13" s="297">
        <v>22.58</v>
      </c>
      <c r="E13" s="95"/>
    </row>
    <row r="14" spans="2:12">
      <c r="B14" s="123" t="s">
        <v>8</v>
      </c>
      <c r="C14" s="72" t="s">
        <v>10</v>
      </c>
      <c r="D14" s="297">
        <v>174827.46000000002</v>
      </c>
      <c r="E14" s="95">
        <f>E15</f>
        <v>165511.58000000002</v>
      </c>
    </row>
    <row r="15" spans="2:12">
      <c r="B15" s="123" t="s">
        <v>212</v>
      </c>
      <c r="C15" s="72" t="s">
        <v>11</v>
      </c>
      <c r="D15" s="297">
        <v>174827.46000000002</v>
      </c>
      <c r="E15" s="95">
        <v>165511.58000000002</v>
      </c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>
        <v>101195.88</v>
      </c>
      <c r="E17" s="107">
        <f>SUM(E18:E19)</f>
        <v>121110.16</v>
      </c>
    </row>
    <row r="18" spans="2:11">
      <c r="B18" s="123" t="s">
        <v>4</v>
      </c>
      <c r="C18" s="6" t="s">
        <v>11</v>
      </c>
      <c r="D18" s="297">
        <v>101195.88</v>
      </c>
      <c r="E18" s="96">
        <v>121110.16</v>
      </c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48329302.289999992</v>
      </c>
      <c r="E21" s="258">
        <f>E11-E17</f>
        <v>53236558.090000004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5.75">
      <c r="B23" s="336"/>
      <c r="C23" s="344"/>
      <c r="D23" s="344"/>
      <c r="E23" s="344"/>
      <c r="G23" s="77"/>
    </row>
    <row r="24" spans="2:11" ht="17.25" customHeight="1" thickBot="1">
      <c r="B24" s="335" t="s">
        <v>211</v>
      </c>
      <c r="C24" s="345"/>
      <c r="D24" s="345"/>
      <c r="E24" s="345"/>
    </row>
    <row r="25" spans="2:11" ht="13.5" thickBot="1">
      <c r="B25" s="100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41964678.099999994</v>
      </c>
      <c r="E26" s="112">
        <f>D21</f>
        <v>48329302.289999992</v>
      </c>
      <c r="G26" s="81"/>
    </row>
    <row r="27" spans="2:11">
      <c r="B27" s="10" t="s">
        <v>17</v>
      </c>
      <c r="C27" s="11" t="s">
        <v>217</v>
      </c>
      <c r="D27" s="245">
        <v>1894254.7299999967</v>
      </c>
      <c r="E27" s="269">
        <f>E28-E32</f>
        <v>546813.99999999814</v>
      </c>
      <c r="F27" s="77"/>
      <c r="G27" s="81"/>
      <c r="H27" s="77"/>
      <c r="I27" s="81"/>
      <c r="J27" s="81"/>
    </row>
    <row r="28" spans="2:11">
      <c r="B28" s="10" t="s">
        <v>18</v>
      </c>
      <c r="C28" s="11" t="s">
        <v>19</v>
      </c>
      <c r="D28" s="245">
        <v>13572805.32</v>
      </c>
      <c r="E28" s="284">
        <f>SUM(E29:E31)</f>
        <v>13557957.35</v>
      </c>
      <c r="F28" s="77"/>
      <c r="G28" s="77"/>
      <c r="H28" s="77"/>
      <c r="I28" s="81"/>
      <c r="J28" s="81"/>
    </row>
    <row r="29" spans="2:11">
      <c r="B29" s="121" t="s">
        <v>4</v>
      </c>
      <c r="C29" s="6" t="s">
        <v>20</v>
      </c>
      <c r="D29" s="246">
        <v>10851771.960000001</v>
      </c>
      <c r="E29" s="286">
        <v>11164174.51</v>
      </c>
      <c r="F29" s="77"/>
      <c r="G29" s="77"/>
      <c r="H29" s="77"/>
      <c r="I29" s="81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81"/>
      <c r="J30" s="81"/>
    </row>
    <row r="31" spans="2:11">
      <c r="B31" s="121" t="s">
        <v>8</v>
      </c>
      <c r="C31" s="6" t="s">
        <v>22</v>
      </c>
      <c r="D31" s="246">
        <v>2721033.36</v>
      </c>
      <c r="E31" s="286">
        <v>2393782.84</v>
      </c>
      <c r="F31" s="77"/>
      <c r="G31" s="77"/>
      <c r="H31" s="77"/>
      <c r="I31" s="81"/>
      <c r="J31" s="81"/>
    </row>
    <row r="32" spans="2:11">
      <c r="B32" s="106" t="s">
        <v>23</v>
      </c>
      <c r="C32" s="12" t="s">
        <v>24</v>
      </c>
      <c r="D32" s="245">
        <v>11678550.590000004</v>
      </c>
      <c r="E32" s="284">
        <f>SUM(E33:E39)</f>
        <v>13011143.350000001</v>
      </c>
      <c r="F32" s="77"/>
      <c r="G32" s="81"/>
      <c r="H32" s="77"/>
      <c r="I32" s="81"/>
      <c r="J32" s="81"/>
    </row>
    <row r="33" spans="2:10">
      <c r="B33" s="121" t="s">
        <v>4</v>
      </c>
      <c r="C33" s="6" t="s">
        <v>25</v>
      </c>
      <c r="D33" s="246">
        <v>6932488.9999999991</v>
      </c>
      <c r="E33" s="286">
        <f>9147230.11+10169.56</f>
        <v>9157399.6699999999</v>
      </c>
      <c r="F33" s="77"/>
      <c r="G33" s="77"/>
      <c r="H33" s="77"/>
      <c r="I33" s="81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81"/>
      <c r="J34" s="81"/>
    </row>
    <row r="35" spans="2:10">
      <c r="B35" s="121" t="s">
        <v>8</v>
      </c>
      <c r="C35" s="6" t="s">
        <v>27</v>
      </c>
      <c r="D35" s="246">
        <v>1521345.87</v>
      </c>
      <c r="E35" s="286">
        <v>1421802.05</v>
      </c>
      <c r="F35" s="77"/>
      <c r="G35" s="77"/>
      <c r="H35" s="77"/>
      <c r="I35" s="81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81"/>
      <c r="J36" s="81"/>
    </row>
    <row r="37" spans="2:10" ht="25.5">
      <c r="B37" s="121" t="s">
        <v>29</v>
      </c>
      <c r="C37" s="6" t="s">
        <v>30</v>
      </c>
      <c r="D37" s="246"/>
      <c r="E37" s="286"/>
      <c r="F37" s="77"/>
      <c r="G37" s="77"/>
      <c r="H37" s="77"/>
      <c r="I37" s="81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81"/>
      <c r="J38" s="81"/>
    </row>
    <row r="39" spans="2:10">
      <c r="B39" s="122" t="s">
        <v>33</v>
      </c>
      <c r="C39" s="13" t="s">
        <v>34</v>
      </c>
      <c r="D39" s="247">
        <v>3224715.7200000053</v>
      </c>
      <c r="E39" s="288">
        <v>2431941.63</v>
      </c>
      <c r="F39" s="77"/>
      <c r="G39" s="77"/>
      <c r="H39" s="77"/>
      <c r="I39" s="81"/>
      <c r="J39" s="81"/>
    </row>
    <row r="40" spans="2:10" ht="13.5" thickBot="1">
      <c r="B40" s="113" t="s">
        <v>35</v>
      </c>
      <c r="C40" s="114" t="s">
        <v>36</v>
      </c>
      <c r="D40" s="248">
        <v>4470369.46</v>
      </c>
      <c r="E40" s="115">
        <v>4360441.8</v>
      </c>
      <c r="G40" s="81"/>
    </row>
    <row r="41" spans="2:10" ht="13.5" thickBot="1">
      <c r="B41" s="116" t="s">
        <v>37</v>
      </c>
      <c r="C41" s="117" t="s">
        <v>38</v>
      </c>
      <c r="D41" s="249">
        <v>48329302.289999992</v>
      </c>
      <c r="E41" s="165">
        <f>E26+E27+E40</f>
        <v>53236558.089999989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7.25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0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3654172.2042999999</v>
      </c>
      <c r="E47" s="80">
        <v>3817170.7087205527</v>
      </c>
      <c r="G47" s="229"/>
    </row>
    <row r="48" spans="2:10">
      <c r="B48" s="140" t="s">
        <v>6</v>
      </c>
      <c r="C48" s="23" t="s">
        <v>41</v>
      </c>
      <c r="D48" s="251">
        <v>3817170.7087205527</v>
      </c>
      <c r="E48" s="80">
        <v>3853115.5855999999</v>
      </c>
      <c r="G48" s="231"/>
    </row>
    <row r="49" spans="2:7">
      <c r="B49" s="137" t="s">
        <v>23</v>
      </c>
      <c r="C49" s="141" t="s">
        <v>219</v>
      </c>
      <c r="D49" s="252"/>
      <c r="E49" s="80"/>
    </row>
    <row r="50" spans="2:7">
      <c r="B50" s="119" t="s">
        <v>4</v>
      </c>
      <c r="C50" s="16" t="s">
        <v>40</v>
      </c>
      <c r="D50" s="250">
        <v>11.484045018627899</v>
      </c>
      <c r="E50" s="80">
        <v>12.661027231396501</v>
      </c>
      <c r="G50" s="261"/>
    </row>
    <row r="51" spans="2:7">
      <c r="B51" s="119" t="s">
        <v>6</v>
      </c>
      <c r="C51" s="16" t="s">
        <v>220</v>
      </c>
      <c r="D51" s="256">
        <v>10.388299999999999</v>
      </c>
      <c r="E51" s="80">
        <v>12.6327</v>
      </c>
      <c r="G51" s="208"/>
    </row>
    <row r="52" spans="2:7">
      <c r="B52" s="119" t="s">
        <v>8</v>
      </c>
      <c r="C52" s="16" t="s">
        <v>221</v>
      </c>
      <c r="D52" s="256">
        <v>12.661</v>
      </c>
      <c r="E52" s="80">
        <v>14.785500000000001</v>
      </c>
    </row>
    <row r="53" spans="2:7" ht="13.5" thickBot="1">
      <c r="B53" s="120" t="s">
        <v>9</v>
      </c>
      <c r="C53" s="18" t="s">
        <v>41</v>
      </c>
      <c r="D53" s="254">
        <v>12.661027231396501</v>
      </c>
      <c r="E53" s="167">
        <v>13.8164965226125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8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SUM(D59:D70)</f>
        <v>53192156.670000002</v>
      </c>
      <c r="E58" s="33">
        <f>D58/E21</f>
        <v>0.99916595997951374</v>
      </c>
    </row>
    <row r="59" spans="2:7" ht="25.5">
      <c r="B59" s="22" t="s">
        <v>4</v>
      </c>
      <c r="C59" s="23" t="s">
        <v>44</v>
      </c>
      <c r="D59" s="90">
        <v>0</v>
      </c>
      <c r="E59" s="91">
        <v>0</v>
      </c>
    </row>
    <row r="60" spans="2:7" ht="24" customHeight="1">
      <c r="B60" s="15" t="s">
        <v>6</v>
      </c>
      <c r="C60" s="16" t="s">
        <v>45</v>
      </c>
      <c r="D60" s="88">
        <v>0</v>
      </c>
      <c r="E60" s="89">
        <v>0</v>
      </c>
    </row>
    <row r="61" spans="2:7">
      <c r="B61" s="15" t="s">
        <v>8</v>
      </c>
      <c r="C61" s="16" t="s">
        <v>46</v>
      </c>
      <c r="D61" s="88">
        <v>0</v>
      </c>
      <c r="E61" s="89">
        <v>0</v>
      </c>
    </row>
    <row r="62" spans="2:7">
      <c r="B62" s="15" t="s">
        <v>9</v>
      </c>
      <c r="C62" s="16" t="s">
        <v>47</v>
      </c>
      <c r="D62" s="88">
        <v>0</v>
      </c>
      <c r="E62" s="89">
        <v>0</v>
      </c>
    </row>
    <row r="63" spans="2:7">
      <c r="B63" s="15" t="s">
        <v>29</v>
      </c>
      <c r="C63" s="16" t="s">
        <v>48</v>
      </c>
      <c r="D63" s="88">
        <v>0</v>
      </c>
      <c r="E63" s="89">
        <v>0</v>
      </c>
    </row>
    <row r="64" spans="2:7">
      <c r="B64" s="22" t="s">
        <v>31</v>
      </c>
      <c r="C64" s="23" t="s">
        <v>49</v>
      </c>
      <c r="D64" s="90">
        <f>53002361-334881.41</f>
        <v>52667479.590000004</v>
      </c>
      <c r="E64" s="91">
        <f>D64/E21</f>
        <v>0.98931038142928152</v>
      </c>
    </row>
    <row r="65" spans="2:5">
      <c r="B65" s="22" t="s">
        <v>33</v>
      </c>
      <c r="C65" s="23" t="s">
        <v>224</v>
      </c>
      <c r="D65" s="90">
        <v>0</v>
      </c>
      <c r="E65" s="91">
        <v>0</v>
      </c>
    </row>
    <row r="66" spans="2:5">
      <c r="B66" s="22" t="s">
        <v>50</v>
      </c>
      <c r="C66" s="23" t="s">
        <v>51</v>
      </c>
      <c r="D66" s="90">
        <v>0</v>
      </c>
      <c r="E66" s="91">
        <v>0</v>
      </c>
    </row>
    <row r="67" spans="2:5">
      <c r="B67" s="15" t="s">
        <v>52</v>
      </c>
      <c r="C67" s="16" t="s">
        <v>53</v>
      </c>
      <c r="D67" s="88">
        <v>0</v>
      </c>
      <c r="E67" s="89">
        <v>0</v>
      </c>
    </row>
    <row r="68" spans="2:5">
      <c r="B68" s="15" t="s">
        <v>54</v>
      </c>
      <c r="C68" s="16" t="s">
        <v>55</v>
      </c>
      <c r="D68" s="88">
        <v>0</v>
      </c>
      <c r="E68" s="89">
        <v>0</v>
      </c>
    </row>
    <row r="69" spans="2:5">
      <c r="B69" s="15" t="s">
        <v>56</v>
      </c>
      <c r="C69" s="16" t="s">
        <v>57</v>
      </c>
      <c r="D69" s="88">
        <v>524677.07999999996</v>
      </c>
      <c r="E69" s="89">
        <f>D69/E21</f>
        <v>9.8555785502323027E-3</v>
      </c>
    </row>
    <row r="70" spans="2:5">
      <c r="B70" s="129" t="s">
        <v>58</v>
      </c>
      <c r="C70" s="130" t="s">
        <v>59</v>
      </c>
      <c r="D70" s="131">
        <v>0</v>
      </c>
      <c r="E70" s="132">
        <v>0</v>
      </c>
    </row>
    <row r="71" spans="2:5">
      <c r="B71" s="137" t="s">
        <v>23</v>
      </c>
      <c r="C71" s="138" t="s">
        <v>61</v>
      </c>
      <c r="D71" s="139">
        <f>E13</f>
        <v>0</v>
      </c>
      <c r="E71" s="70">
        <v>0</v>
      </c>
    </row>
    <row r="72" spans="2:5">
      <c r="B72" s="133" t="s">
        <v>60</v>
      </c>
      <c r="C72" s="134" t="s">
        <v>63</v>
      </c>
      <c r="D72" s="135">
        <f>E14</f>
        <v>165511.58000000002</v>
      </c>
      <c r="E72" s="136">
        <f>D72/E21</f>
        <v>3.1089834868774104E-3</v>
      </c>
    </row>
    <row r="73" spans="2:5">
      <c r="B73" s="24" t="s">
        <v>62</v>
      </c>
      <c r="C73" s="25" t="s">
        <v>65</v>
      </c>
      <c r="D73" s="26">
        <f>E17</f>
        <v>121110.16</v>
      </c>
      <c r="E73" s="27">
        <f>D73/E21</f>
        <v>2.2749434663911798E-3</v>
      </c>
    </row>
    <row r="74" spans="2:5">
      <c r="B74" s="137" t="s">
        <v>64</v>
      </c>
      <c r="C74" s="138" t="s">
        <v>66</v>
      </c>
      <c r="D74" s="139">
        <f>D58+D71+D72-D73</f>
        <v>53236558.090000004</v>
      </c>
      <c r="E74" s="70">
        <f>E58+E72-E73</f>
        <v>0.99999999999999989</v>
      </c>
    </row>
    <row r="75" spans="2:5">
      <c r="B75" s="15" t="s">
        <v>4</v>
      </c>
      <c r="C75" s="16" t="s">
        <v>67</v>
      </c>
      <c r="D75" s="88">
        <f>D74</f>
        <v>53236558.090000004</v>
      </c>
      <c r="E75" s="89">
        <f>E74</f>
        <v>0.99999999999999989</v>
      </c>
    </row>
    <row r="76" spans="2:5">
      <c r="B76" s="15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7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2" right="0.75" top="0.52" bottom="0.47" header="0.5" footer="0.5"/>
  <pageSetup paperSize="9" scale="70" orientation="portrait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0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14.25">
      <c r="B5" s="333" t="s">
        <v>1</v>
      </c>
      <c r="C5" s="333"/>
      <c r="D5" s="333"/>
      <c r="E5" s="333"/>
    </row>
    <row r="6" spans="2:12" ht="14.25">
      <c r="B6" s="334" t="s">
        <v>238</v>
      </c>
      <c r="C6" s="334"/>
      <c r="D6" s="334"/>
      <c r="E6" s="334"/>
    </row>
    <row r="7" spans="2:12" ht="14.25">
      <c r="B7" s="173"/>
      <c r="C7" s="173"/>
      <c r="D7" s="173"/>
      <c r="E7" s="17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74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429073.22</v>
      </c>
      <c r="E11" s="9">
        <f>E12</f>
        <v>329200.03999999998</v>
      </c>
    </row>
    <row r="12" spans="2:12">
      <c r="B12" s="209" t="s">
        <v>4</v>
      </c>
      <c r="C12" s="210" t="s">
        <v>5</v>
      </c>
      <c r="D12" s="297">
        <v>429073.22</v>
      </c>
      <c r="E12" s="95">
        <v>329200.03999999998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429073.22</v>
      </c>
      <c r="E21" s="165">
        <f>E11</f>
        <v>329200.03999999998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0</v>
      </c>
      <c r="E26" s="112">
        <f>D21</f>
        <v>429073.22</v>
      </c>
      <c r="G26" s="81"/>
    </row>
    <row r="27" spans="2:11">
      <c r="B27" s="10" t="s">
        <v>17</v>
      </c>
      <c r="C27" s="11" t="s">
        <v>217</v>
      </c>
      <c r="D27" s="245">
        <v>422581.15</v>
      </c>
      <c r="E27" s="269">
        <f>E28-E32</f>
        <v>-111886.97000000003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549880.49</v>
      </c>
      <c r="E28" s="284">
        <f>SUM(E29:E31)</f>
        <v>85306.87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549880.49</v>
      </c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>
        <v>85306.87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127299.34</v>
      </c>
      <c r="E32" s="284">
        <f>SUM(E33:E39)</f>
        <v>197193.84000000003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126600.51</v>
      </c>
      <c r="E33" s="286">
        <v>166157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698.83</v>
      </c>
      <c r="E35" s="286">
        <v>1184.23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/>
      <c r="E37" s="286"/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>
        <v>29852.61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6492.07</v>
      </c>
      <c r="E40" s="115">
        <v>12013.79</v>
      </c>
      <c r="G40" s="81"/>
    </row>
    <row r="41" spans="2:10" ht="13.5" thickBot="1">
      <c r="B41" s="116" t="s">
        <v>37</v>
      </c>
      <c r="C41" s="117" t="s">
        <v>38</v>
      </c>
      <c r="D41" s="249">
        <v>429073.22000000003</v>
      </c>
      <c r="E41" s="165">
        <f>E26+E27+E40</f>
        <v>329200.03999999992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/>
      <c r="E47" s="166">
        <v>1781.1998000000001</v>
      </c>
      <c r="G47" s="77"/>
    </row>
    <row r="48" spans="2:10">
      <c r="B48" s="222" t="s">
        <v>6</v>
      </c>
      <c r="C48" s="223" t="s">
        <v>41</v>
      </c>
      <c r="D48" s="251">
        <v>1781.1998000000001</v>
      </c>
      <c r="E48" s="166">
        <v>1325.4954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/>
      <c r="E50" s="166">
        <v>240.89</v>
      </c>
      <c r="G50" s="208"/>
    </row>
    <row r="51" spans="2:7">
      <c r="B51" s="220" t="s">
        <v>6</v>
      </c>
      <c r="C51" s="221" t="s">
        <v>220</v>
      </c>
      <c r="D51" s="253">
        <v>234.72</v>
      </c>
      <c r="E51" s="82">
        <v>240.67</v>
      </c>
      <c r="G51" s="208"/>
    </row>
    <row r="52" spans="2:7">
      <c r="B52" s="220" t="s">
        <v>8</v>
      </c>
      <c r="C52" s="221" t="s">
        <v>221</v>
      </c>
      <c r="D52" s="253">
        <v>240.89</v>
      </c>
      <c r="E52" s="82">
        <v>248.36</v>
      </c>
    </row>
    <row r="53" spans="2:7" ht="13.5" thickBot="1">
      <c r="B53" s="224" t="s">
        <v>9</v>
      </c>
      <c r="C53" s="225" t="s">
        <v>41</v>
      </c>
      <c r="D53" s="254">
        <v>240.89</v>
      </c>
      <c r="E53" s="167">
        <v>248.36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329200.03999999998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329200.03999999998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329200.03999999998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329200.03999999998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1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 customFormat="1">
      <c r="B1" s="1"/>
      <c r="C1" s="1"/>
      <c r="D1" s="2"/>
      <c r="E1" s="2"/>
    </row>
    <row r="2" spans="2:12" customFormat="1" ht="15.75">
      <c r="B2" s="332" t="s">
        <v>0</v>
      </c>
      <c r="C2" s="332"/>
      <c r="D2" s="332"/>
      <c r="E2" s="332"/>
      <c r="L2" s="77"/>
    </row>
    <row r="3" spans="2:12" customFormat="1" ht="15.75">
      <c r="B3" s="332" t="s">
        <v>272</v>
      </c>
      <c r="C3" s="332"/>
      <c r="D3" s="332"/>
      <c r="E3" s="332"/>
    </row>
    <row r="4" spans="2:12" customFormat="1" ht="15">
      <c r="B4" s="164"/>
      <c r="C4" s="164"/>
      <c r="D4" s="164"/>
      <c r="E4" s="164"/>
    </row>
    <row r="5" spans="2:12" customFormat="1" ht="14.25">
      <c r="B5" s="333" t="s">
        <v>1</v>
      </c>
      <c r="C5" s="333"/>
      <c r="D5" s="333"/>
      <c r="E5" s="333"/>
    </row>
    <row r="6" spans="2:12" customFormat="1" ht="14.25" customHeight="1">
      <c r="B6" s="334" t="s">
        <v>239</v>
      </c>
      <c r="C6" s="334"/>
      <c r="D6" s="334"/>
      <c r="E6" s="334"/>
    </row>
    <row r="7" spans="2:12" customFormat="1" ht="14.25">
      <c r="B7" s="173"/>
      <c r="C7" s="173"/>
      <c r="D7" s="173"/>
      <c r="E7" s="173"/>
    </row>
    <row r="8" spans="2:12" customFormat="1" ht="13.5">
      <c r="B8" s="336" t="s">
        <v>18</v>
      </c>
      <c r="C8" s="338"/>
      <c r="D8" s="338"/>
      <c r="E8" s="338"/>
    </row>
    <row r="9" spans="2:12" customFormat="1" ht="16.5" thickBot="1">
      <c r="B9" s="335" t="s">
        <v>209</v>
      </c>
      <c r="C9" s="335"/>
      <c r="D9" s="335"/>
      <c r="E9" s="335"/>
    </row>
    <row r="10" spans="2:12" customFormat="1" ht="13.5" thickBot="1">
      <c r="B10" s="174"/>
      <c r="C10" s="85" t="s">
        <v>2</v>
      </c>
      <c r="D10" s="74" t="s">
        <v>245</v>
      </c>
      <c r="E10" s="30" t="s">
        <v>268</v>
      </c>
    </row>
    <row r="11" spans="2:12" customFormat="1">
      <c r="B11" s="104" t="s">
        <v>3</v>
      </c>
      <c r="C11" s="145" t="s">
        <v>215</v>
      </c>
      <c r="D11" s="292">
        <v>141464.54999999999</v>
      </c>
      <c r="E11" s="9">
        <f>E12</f>
        <v>69905.100000000006</v>
      </c>
    </row>
    <row r="12" spans="2:12" customFormat="1">
      <c r="B12" s="209" t="s">
        <v>4</v>
      </c>
      <c r="C12" s="210" t="s">
        <v>5</v>
      </c>
      <c r="D12" s="297">
        <v>141464.54999999999</v>
      </c>
      <c r="E12" s="95">
        <v>69905.100000000006</v>
      </c>
    </row>
    <row r="13" spans="2:12" customFormat="1">
      <c r="B13" s="209" t="s">
        <v>6</v>
      </c>
      <c r="C13" s="211" t="s">
        <v>7</v>
      </c>
      <c r="D13" s="297"/>
      <c r="E13" s="95"/>
    </row>
    <row r="14" spans="2:12" customFormat="1">
      <c r="B14" s="209" t="s">
        <v>8</v>
      </c>
      <c r="C14" s="211" t="s">
        <v>10</v>
      </c>
      <c r="D14" s="297"/>
      <c r="E14" s="95"/>
      <c r="G14" s="71"/>
    </row>
    <row r="15" spans="2:12" customFormat="1">
      <c r="B15" s="209" t="s">
        <v>212</v>
      </c>
      <c r="C15" s="211" t="s">
        <v>11</v>
      </c>
      <c r="D15" s="297"/>
      <c r="E15" s="95"/>
    </row>
    <row r="16" spans="2:12" customFormat="1">
      <c r="B16" s="212" t="s">
        <v>213</v>
      </c>
      <c r="C16" s="213" t="s">
        <v>12</v>
      </c>
      <c r="D16" s="298"/>
      <c r="E16" s="96"/>
    </row>
    <row r="17" spans="2:11" customFormat="1">
      <c r="B17" s="10" t="s">
        <v>13</v>
      </c>
      <c r="C17" s="12" t="s">
        <v>65</v>
      </c>
      <c r="D17" s="299"/>
      <c r="E17" s="107"/>
    </row>
    <row r="18" spans="2:11" customFormat="1">
      <c r="B18" s="209" t="s">
        <v>4</v>
      </c>
      <c r="C18" s="210" t="s">
        <v>11</v>
      </c>
      <c r="D18" s="297"/>
      <c r="E18" s="96"/>
    </row>
    <row r="19" spans="2:11" customFormat="1" ht="15" customHeight="1">
      <c r="B19" s="209" t="s">
        <v>6</v>
      </c>
      <c r="C19" s="211" t="s">
        <v>214</v>
      </c>
      <c r="D19" s="297"/>
      <c r="E19" s="95"/>
    </row>
    <row r="20" spans="2:11" customFormat="1" ht="13.5" thickBot="1">
      <c r="B20" s="214" t="s">
        <v>8</v>
      </c>
      <c r="C20" s="215" t="s">
        <v>14</v>
      </c>
      <c r="D20" s="296"/>
      <c r="E20" s="97"/>
    </row>
    <row r="21" spans="2:11" customFormat="1" ht="13.5" thickBot="1">
      <c r="B21" s="342" t="s">
        <v>216</v>
      </c>
      <c r="C21" s="343"/>
      <c r="D21" s="87">
        <f>D11</f>
        <v>141464.54999999999</v>
      </c>
      <c r="E21" s="165">
        <f>E11</f>
        <v>69905.100000000006</v>
      </c>
      <c r="F21" s="86"/>
      <c r="G21" s="86"/>
      <c r="H21" s="188"/>
      <c r="J21" s="71"/>
      <c r="K21" s="71">
        <f>E21-E41</f>
        <v>0</v>
      </c>
    </row>
    <row r="22" spans="2:11" customFormat="1">
      <c r="B22" s="3"/>
      <c r="C22" s="7"/>
      <c r="D22" s="8"/>
      <c r="E22" s="8"/>
      <c r="G22" s="77"/>
    </row>
    <row r="23" spans="2:11" customFormat="1" ht="13.5">
      <c r="B23" s="336" t="s">
        <v>210</v>
      </c>
      <c r="C23" s="348"/>
      <c r="D23" s="348"/>
      <c r="E23" s="348"/>
      <c r="G23" s="77"/>
    </row>
    <row r="24" spans="2:11" customFormat="1" ht="15.75" customHeight="1" thickBot="1">
      <c r="B24" s="335" t="s">
        <v>211</v>
      </c>
      <c r="C24" s="349"/>
      <c r="D24" s="349"/>
      <c r="E24" s="349"/>
    </row>
    <row r="25" spans="2:11" customFormat="1" ht="13.5" thickBot="1">
      <c r="B25" s="266"/>
      <c r="C25" s="216" t="s">
        <v>2</v>
      </c>
      <c r="D25" s="74" t="s">
        <v>245</v>
      </c>
      <c r="E25" s="30" t="s">
        <v>268</v>
      </c>
    </row>
    <row r="26" spans="2:11" customFormat="1">
      <c r="B26" s="110" t="s">
        <v>15</v>
      </c>
      <c r="C26" s="111" t="s">
        <v>16</v>
      </c>
      <c r="D26" s="244">
        <v>0</v>
      </c>
      <c r="E26" s="112">
        <f>D21</f>
        <v>141464.54999999999</v>
      </c>
      <c r="G26" s="81"/>
    </row>
    <row r="27" spans="2:11" customFormat="1">
      <c r="B27" s="10" t="s">
        <v>17</v>
      </c>
      <c r="C27" s="11" t="s">
        <v>217</v>
      </c>
      <c r="D27" s="245">
        <v>128702.73</v>
      </c>
      <c r="E27" s="269">
        <f>E28-E32</f>
        <v>-81033.080000000016</v>
      </c>
      <c r="F27" s="77"/>
      <c r="G27" s="81"/>
      <c r="H27" s="77"/>
      <c r="I27" s="77"/>
      <c r="J27" s="81"/>
    </row>
    <row r="28" spans="2:11" customFormat="1">
      <c r="B28" s="10" t="s">
        <v>18</v>
      </c>
      <c r="C28" s="11" t="s">
        <v>19</v>
      </c>
      <c r="D28" s="245">
        <v>161059.87</v>
      </c>
      <c r="E28" s="284">
        <f>SUM(E29:E31)</f>
        <v>0</v>
      </c>
      <c r="F28" s="77"/>
      <c r="G28" s="77"/>
      <c r="H28" s="77"/>
      <c r="I28" s="77"/>
      <c r="J28" s="81"/>
    </row>
    <row r="29" spans="2:11" customFormat="1">
      <c r="B29" s="217" t="s">
        <v>4</v>
      </c>
      <c r="C29" s="210" t="s">
        <v>20</v>
      </c>
      <c r="D29" s="246">
        <v>153942.32</v>
      </c>
      <c r="E29" s="286"/>
      <c r="F29" s="77"/>
      <c r="G29" s="77"/>
      <c r="H29" s="77"/>
      <c r="I29" s="77"/>
      <c r="J29" s="81"/>
    </row>
    <row r="30" spans="2:11" customFormat="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 customFormat="1">
      <c r="B31" s="217" t="s">
        <v>8</v>
      </c>
      <c r="C31" s="210" t="s">
        <v>22</v>
      </c>
      <c r="D31" s="246">
        <v>7117.55</v>
      </c>
      <c r="E31" s="286"/>
      <c r="F31" s="77"/>
      <c r="G31" s="77"/>
      <c r="H31" s="77"/>
      <c r="I31" s="77"/>
      <c r="J31" s="81"/>
    </row>
    <row r="32" spans="2:11" customFormat="1">
      <c r="B32" s="106" t="s">
        <v>23</v>
      </c>
      <c r="C32" s="12" t="s">
        <v>24</v>
      </c>
      <c r="D32" s="245">
        <v>32357.14</v>
      </c>
      <c r="E32" s="284">
        <f>SUM(E33:E39)</f>
        <v>81033.080000000016</v>
      </c>
      <c r="F32" s="77"/>
      <c r="G32" s="81"/>
      <c r="H32" s="77"/>
      <c r="I32" s="77"/>
      <c r="J32" s="81"/>
    </row>
    <row r="33" spans="2:10" customFormat="1">
      <c r="B33" s="217" t="s">
        <v>4</v>
      </c>
      <c r="C33" s="210" t="s">
        <v>25</v>
      </c>
      <c r="D33" s="246">
        <v>30543.68</v>
      </c>
      <c r="E33" s="286">
        <v>79150.880000000005</v>
      </c>
      <c r="F33" s="77"/>
      <c r="G33" s="77"/>
      <c r="H33" s="77"/>
      <c r="I33" s="77"/>
      <c r="J33" s="81"/>
    </row>
    <row r="34" spans="2:10" customFormat="1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 customFormat="1">
      <c r="B35" s="217" t="s">
        <v>8</v>
      </c>
      <c r="C35" s="210" t="s">
        <v>27</v>
      </c>
      <c r="D35" s="246">
        <v>227.78</v>
      </c>
      <c r="E35" s="286">
        <v>330.07</v>
      </c>
      <c r="F35" s="77"/>
      <c r="G35" s="77"/>
      <c r="H35" s="77"/>
      <c r="I35" s="77"/>
      <c r="J35" s="81"/>
    </row>
    <row r="36" spans="2:10" customFormat="1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customFormat="1" ht="25.5">
      <c r="B37" s="217" t="s">
        <v>29</v>
      </c>
      <c r="C37" s="210" t="s">
        <v>30</v>
      </c>
      <c r="D37" s="246">
        <v>1428.18</v>
      </c>
      <c r="E37" s="286">
        <v>1552.13</v>
      </c>
      <c r="F37" s="77"/>
      <c r="G37" s="77"/>
      <c r="H37" s="77"/>
      <c r="I37" s="77"/>
      <c r="J37" s="81"/>
    </row>
    <row r="38" spans="2:10" customFormat="1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 customFormat="1">
      <c r="B39" s="218" t="s">
        <v>33</v>
      </c>
      <c r="C39" s="219" t="s">
        <v>34</v>
      </c>
      <c r="D39" s="247">
        <v>157.5</v>
      </c>
      <c r="E39" s="288"/>
      <c r="F39" s="77"/>
      <c r="G39" s="77"/>
      <c r="H39" s="77"/>
      <c r="I39" s="77"/>
      <c r="J39" s="81"/>
    </row>
    <row r="40" spans="2:10" customFormat="1" ht="13.5" thickBot="1">
      <c r="B40" s="113" t="s">
        <v>35</v>
      </c>
      <c r="C40" s="114" t="s">
        <v>36</v>
      </c>
      <c r="D40" s="248">
        <v>12761.82</v>
      </c>
      <c r="E40" s="115">
        <v>9473.6299999999992</v>
      </c>
      <c r="G40" s="81"/>
    </row>
    <row r="41" spans="2:10" customFormat="1" ht="13.5" thickBot="1">
      <c r="B41" s="116" t="s">
        <v>37</v>
      </c>
      <c r="C41" s="117" t="s">
        <v>38</v>
      </c>
      <c r="D41" s="249">
        <v>141464.54999999999</v>
      </c>
      <c r="E41" s="165">
        <f>E26+E27+E40</f>
        <v>69905.099999999977</v>
      </c>
      <c r="F41" s="86"/>
      <c r="G41" s="81"/>
    </row>
    <row r="42" spans="2:10" customFormat="1">
      <c r="B42" s="108"/>
      <c r="C42" s="108"/>
      <c r="D42" s="109"/>
      <c r="E42" s="109"/>
      <c r="F42" s="86"/>
      <c r="G42" s="71"/>
    </row>
    <row r="43" spans="2:10" customFormat="1" ht="13.5">
      <c r="B43" s="337" t="s">
        <v>60</v>
      </c>
      <c r="C43" s="347"/>
      <c r="D43" s="347"/>
      <c r="E43" s="347"/>
      <c r="G43" s="77"/>
    </row>
    <row r="44" spans="2:10" customFormat="1" ht="18" customHeight="1" thickBot="1">
      <c r="B44" s="335" t="s">
        <v>243</v>
      </c>
      <c r="C44" s="346"/>
      <c r="D44" s="346"/>
      <c r="E44" s="346"/>
      <c r="G44" s="77"/>
    </row>
    <row r="45" spans="2:10" customFormat="1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 customFormat="1">
      <c r="B46" s="14" t="s">
        <v>18</v>
      </c>
      <c r="C46" s="32" t="s">
        <v>218</v>
      </c>
      <c r="D46" s="118"/>
      <c r="E46" s="29"/>
      <c r="G46" s="77"/>
    </row>
    <row r="47" spans="2:10" customFormat="1">
      <c r="B47" s="220" t="s">
        <v>4</v>
      </c>
      <c r="C47" s="221" t="s">
        <v>40</v>
      </c>
      <c r="D47" s="250"/>
      <c r="E47" s="166">
        <v>4613.9773999999998</v>
      </c>
      <c r="G47" s="77"/>
    </row>
    <row r="48" spans="2:10" customFormat="1">
      <c r="B48" s="222" t="s">
        <v>6</v>
      </c>
      <c r="C48" s="223" t="s">
        <v>41</v>
      </c>
      <c r="D48" s="251">
        <v>4613.9773999999998</v>
      </c>
      <c r="E48" s="166">
        <v>2059.6671000000001</v>
      </c>
      <c r="G48" s="77"/>
    </row>
    <row r="49" spans="2:7" customFormat="1">
      <c r="B49" s="137" t="s">
        <v>23</v>
      </c>
      <c r="C49" s="141" t="s">
        <v>219</v>
      </c>
      <c r="D49" s="252"/>
      <c r="E49" s="166"/>
    </row>
    <row r="50" spans="2:7" customFormat="1">
      <c r="B50" s="220" t="s">
        <v>4</v>
      </c>
      <c r="C50" s="221" t="s">
        <v>40</v>
      </c>
      <c r="D50" s="250"/>
      <c r="E50" s="166">
        <v>30.66</v>
      </c>
      <c r="G50" s="208"/>
    </row>
    <row r="51" spans="2:7" customFormat="1">
      <c r="B51" s="220" t="s">
        <v>6</v>
      </c>
      <c r="C51" s="221" t="s">
        <v>220</v>
      </c>
      <c r="D51" s="253">
        <v>26.42</v>
      </c>
      <c r="E51" s="82">
        <v>30.66</v>
      </c>
      <c r="G51" s="208"/>
    </row>
    <row r="52" spans="2:7" customFormat="1">
      <c r="B52" s="220" t="s">
        <v>8</v>
      </c>
      <c r="C52" s="221" t="s">
        <v>221</v>
      </c>
      <c r="D52" s="253">
        <v>30.79</v>
      </c>
      <c r="E52" s="82">
        <v>34.090000000000003</v>
      </c>
    </row>
    <row r="53" spans="2:7" customFormat="1" ht="13.5" thickBot="1">
      <c r="B53" s="224" t="s">
        <v>9</v>
      </c>
      <c r="C53" s="225" t="s">
        <v>41</v>
      </c>
      <c r="D53" s="254">
        <v>30.66</v>
      </c>
      <c r="E53" s="167">
        <v>33.94</v>
      </c>
    </row>
    <row r="54" spans="2:7" customFormat="1">
      <c r="B54" s="126"/>
      <c r="C54" s="127"/>
      <c r="D54" s="128"/>
      <c r="E54" s="128"/>
    </row>
    <row r="55" spans="2:7" customFormat="1" ht="13.5">
      <c r="B55" s="337" t="s">
        <v>62</v>
      </c>
      <c r="C55" s="338"/>
      <c r="D55" s="338"/>
      <c r="E55" s="338"/>
    </row>
    <row r="56" spans="2:7" customFormat="1" ht="14.25" thickBot="1">
      <c r="B56" s="335" t="s">
        <v>222</v>
      </c>
      <c r="C56" s="339"/>
      <c r="D56" s="339"/>
      <c r="E56" s="339"/>
    </row>
    <row r="57" spans="2:7" customFormat="1" ht="23.25" thickBot="1">
      <c r="B57" s="330" t="s">
        <v>42</v>
      </c>
      <c r="C57" s="331"/>
      <c r="D57" s="19" t="s">
        <v>244</v>
      </c>
      <c r="E57" s="20" t="s">
        <v>223</v>
      </c>
    </row>
    <row r="58" spans="2:7" customFormat="1">
      <c r="B58" s="21" t="s">
        <v>18</v>
      </c>
      <c r="C58" s="143" t="s">
        <v>43</v>
      </c>
      <c r="D58" s="144">
        <f>D64</f>
        <v>69905.100000000006</v>
      </c>
      <c r="E58" s="33">
        <f>D58/E21</f>
        <v>1</v>
      </c>
    </row>
    <row r="59" spans="2:7" customFormat="1" ht="25.5">
      <c r="B59" s="140" t="s">
        <v>4</v>
      </c>
      <c r="C59" s="23" t="s">
        <v>44</v>
      </c>
      <c r="D59" s="90">
        <v>0</v>
      </c>
      <c r="E59" s="91">
        <v>0</v>
      </c>
    </row>
    <row r="60" spans="2:7" customFormat="1" ht="25.5">
      <c r="B60" s="119" t="s">
        <v>6</v>
      </c>
      <c r="C60" s="16" t="s">
        <v>45</v>
      </c>
      <c r="D60" s="88">
        <v>0</v>
      </c>
      <c r="E60" s="89">
        <v>0</v>
      </c>
    </row>
    <row r="61" spans="2:7" customFormat="1">
      <c r="B61" s="119" t="s">
        <v>8</v>
      </c>
      <c r="C61" s="16" t="s">
        <v>46</v>
      </c>
      <c r="D61" s="88">
        <v>0</v>
      </c>
      <c r="E61" s="89">
        <v>0</v>
      </c>
    </row>
    <row r="62" spans="2:7" customFormat="1">
      <c r="B62" s="119" t="s">
        <v>9</v>
      </c>
      <c r="C62" s="16" t="s">
        <v>47</v>
      </c>
      <c r="D62" s="88">
        <v>0</v>
      </c>
      <c r="E62" s="89">
        <v>0</v>
      </c>
    </row>
    <row r="63" spans="2:7" customFormat="1">
      <c r="B63" s="119" t="s">
        <v>29</v>
      </c>
      <c r="C63" s="16" t="s">
        <v>48</v>
      </c>
      <c r="D63" s="88">
        <v>0</v>
      </c>
      <c r="E63" s="89">
        <v>0</v>
      </c>
    </row>
    <row r="64" spans="2:7" customFormat="1">
      <c r="B64" s="140" t="s">
        <v>31</v>
      </c>
      <c r="C64" s="23" t="s">
        <v>49</v>
      </c>
      <c r="D64" s="90">
        <f>E21</f>
        <v>69905.100000000006</v>
      </c>
      <c r="E64" s="91">
        <f>E58</f>
        <v>1</v>
      </c>
    </row>
    <row r="65" spans="2:5" customFormat="1">
      <c r="B65" s="140" t="s">
        <v>33</v>
      </c>
      <c r="C65" s="23" t="s">
        <v>224</v>
      </c>
      <c r="D65" s="90">
        <v>0</v>
      </c>
      <c r="E65" s="91">
        <v>0</v>
      </c>
    </row>
    <row r="66" spans="2:5" customFormat="1">
      <c r="B66" s="140" t="s">
        <v>50</v>
      </c>
      <c r="C66" s="23" t="s">
        <v>51</v>
      </c>
      <c r="D66" s="90">
        <v>0</v>
      </c>
      <c r="E66" s="91">
        <v>0</v>
      </c>
    </row>
    <row r="67" spans="2:5" customFormat="1">
      <c r="B67" s="119" t="s">
        <v>52</v>
      </c>
      <c r="C67" s="16" t="s">
        <v>53</v>
      </c>
      <c r="D67" s="88">
        <v>0</v>
      </c>
      <c r="E67" s="89">
        <v>0</v>
      </c>
    </row>
    <row r="68" spans="2:5" customFormat="1">
      <c r="B68" s="119" t="s">
        <v>54</v>
      </c>
      <c r="C68" s="16" t="s">
        <v>55</v>
      </c>
      <c r="D68" s="88">
        <v>0</v>
      </c>
      <c r="E68" s="89">
        <v>0</v>
      </c>
    </row>
    <row r="69" spans="2:5" customFormat="1">
      <c r="B69" s="119" t="s">
        <v>56</v>
      </c>
      <c r="C69" s="16" t="s">
        <v>57</v>
      </c>
      <c r="D69" s="88">
        <v>0</v>
      </c>
      <c r="E69" s="89">
        <v>0</v>
      </c>
    </row>
    <row r="70" spans="2:5" customFormat="1">
      <c r="B70" s="146" t="s">
        <v>58</v>
      </c>
      <c r="C70" s="130" t="s">
        <v>59</v>
      </c>
      <c r="D70" s="131">
        <v>0</v>
      </c>
      <c r="E70" s="132">
        <v>0</v>
      </c>
    </row>
    <row r="71" spans="2:5" customFormat="1">
      <c r="B71" s="147" t="s">
        <v>23</v>
      </c>
      <c r="C71" s="138" t="s">
        <v>61</v>
      </c>
      <c r="D71" s="139">
        <v>0</v>
      </c>
      <c r="E71" s="70">
        <v>0</v>
      </c>
    </row>
    <row r="72" spans="2:5" customFormat="1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 customFormat="1">
      <c r="B73" s="149" t="s">
        <v>62</v>
      </c>
      <c r="C73" s="25" t="s">
        <v>65</v>
      </c>
      <c r="D73" s="26">
        <v>0</v>
      </c>
      <c r="E73" s="27">
        <v>0</v>
      </c>
    </row>
    <row r="74" spans="2:5" customFormat="1">
      <c r="B74" s="147" t="s">
        <v>64</v>
      </c>
      <c r="C74" s="138" t="s">
        <v>66</v>
      </c>
      <c r="D74" s="139">
        <f>D58</f>
        <v>69905.100000000006</v>
      </c>
      <c r="E74" s="70">
        <f>E58+E72-E73</f>
        <v>1</v>
      </c>
    </row>
    <row r="75" spans="2:5" customFormat="1">
      <c r="B75" s="119" t="s">
        <v>4</v>
      </c>
      <c r="C75" s="16" t="s">
        <v>67</v>
      </c>
      <c r="D75" s="88">
        <f>D74</f>
        <v>69905.100000000006</v>
      </c>
      <c r="E75" s="89">
        <f>E74</f>
        <v>1</v>
      </c>
    </row>
    <row r="76" spans="2:5" customFormat="1">
      <c r="B76" s="119" t="s">
        <v>6</v>
      </c>
      <c r="C76" s="16" t="s">
        <v>225</v>
      </c>
      <c r="D76" s="88">
        <v>0</v>
      </c>
      <c r="E76" s="89">
        <v>0</v>
      </c>
    </row>
    <row r="77" spans="2:5" customFormat="1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 customFormat="1">
      <c r="B78" s="1"/>
      <c r="C78" s="1"/>
      <c r="D78" s="2"/>
      <c r="E78" s="2"/>
    </row>
    <row r="79" spans="2:5" customFormat="1">
      <c r="B79" s="1"/>
      <c r="C79" s="1"/>
      <c r="D79" s="2"/>
      <c r="E79" s="2"/>
    </row>
    <row r="80" spans="2:5" customFormat="1">
      <c r="B80" s="1"/>
      <c r="C80" s="1"/>
      <c r="D80" s="2"/>
      <c r="E80" s="2"/>
    </row>
    <row r="81" spans="2:5" customFormat="1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 customFormat="1">
      <c r="B1" s="1"/>
      <c r="C1" s="1"/>
      <c r="D1" s="2"/>
      <c r="E1" s="2"/>
    </row>
    <row r="2" spans="2:12" customFormat="1" ht="15.75">
      <c r="B2" s="332" t="s">
        <v>0</v>
      </c>
      <c r="C2" s="332"/>
      <c r="D2" s="332"/>
      <c r="E2" s="332"/>
      <c r="L2" s="77"/>
    </row>
    <row r="3" spans="2:12" customFormat="1" ht="15.75">
      <c r="B3" s="332" t="s">
        <v>272</v>
      </c>
      <c r="C3" s="332"/>
      <c r="D3" s="332"/>
      <c r="E3" s="332"/>
    </row>
    <row r="4" spans="2:12" customFormat="1" ht="15">
      <c r="B4" s="164"/>
      <c r="C4" s="164"/>
      <c r="D4" s="164"/>
      <c r="E4" s="164"/>
    </row>
    <row r="5" spans="2:12" customFormat="1" ht="14.25">
      <c r="B5" s="333" t="s">
        <v>1</v>
      </c>
      <c r="C5" s="333"/>
      <c r="D5" s="333"/>
      <c r="E5" s="333"/>
    </row>
    <row r="6" spans="2:12" customFormat="1" ht="14.25">
      <c r="B6" s="334" t="s">
        <v>270</v>
      </c>
      <c r="C6" s="334"/>
      <c r="D6" s="334"/>
      <c r="E6" s="334"/>
    </row>
    <row r="7" spans="2:12" customFormat="1" ht="14.25">
      <c r="B7" s="264"/>
      <c r="C7" s="264"/>
      <c r="D7" s="264"/>
      <c r="E7" s="264"/>
    </row>
    <row r="8" spans="2:12" customFormat="1" ht="13.5">
      <c r="B8" s="336" t="s">
        <v>18</v>
      </c>
      <c r="C8" s="338"/>
      <c r="D8" s="338"/>
      <c r="E8" s="338"/>
    </row>
    <row r="9" spans="2:12" customFormat="1" ht="16.5" thickBot="1">
      <c r="B9" s="335" t="s">
        <v>209</v>
      </c>
      <c r="C9" s="335"/>
      <c r="D9" s="335"/>
      <c r="E9" s="335"/>
      <c r="G9" s="178"/>
    </row>
    <row r="10" spans="2:12" customFormat="1" ht="13.5" thickBot="1">
      <c r="B10" s="263"/>
      <c r="C10" s="85" t="s">
        <v>2</v>
      </c>
      <c r="D10" s="74" t="s">
        <v>245</v>
      </c>
      <c r="E10" s="30" t="s">
        <v>268</v>
      </c>
    </row>
    <row r="11" spans="2:12" customFormat="1">
      <c r="B11" s="104" t="s">
        <v>3</v>
      </c>
      <c r="C11" s="145" t="s">
        <v>215</v>
      </c>
      <c r="D11" s="292" t="str">
        <f>D12</f>
        <v>-</v>
      </c>
      <c r="E11" s="9">
        <f>E12</f>
        <v>30289.21</v>
      </c>
    </row>
    <row r="12" spans="2:12" customFormat="1">
      <c r="B12" s="209" t="s">
        <v>4</v>
      </c>
      <c r="C12" s="210" t="s">
        <v>5</v>
      </c>
      <c r="D12" s="297" t="s">
        <v>246</v>
      </c>
      <c r="E12" s="95">
        <v>30289.21</v>
      </c>
    </row>
    <row r="13" spans="2:12" customFormat="1">
      <c r="B13" s="209" t="s">
        <v>6</v>
      </c>
      <c r="C13" s="211" t="s">
        <v>7</v>
      </c>
      <c r="D13" s="297"/>
      <c r="E13" s="95"/>
    </row>
    <row r="14" spans="2:12" customFormat="1">
      <c r="B14" s="209" t="s">
        <v>8</v>
      </c>
      <c r="C14" s="211" t="s">
        <v>10</v>
      </c>
      <c r="D14" s="297"/>
      <c r="E14" s="95"/>
      <c r="G14" s="71"/>
    </row>
    <row r="15" spans="2:12" customFormat="1">
      <c r="B15" s="209" t="s">
        <v>212</v>
      </c>
      <c r="C15" s="211" t="s">
        <v>11</v>
      </c>
      <c r="D15" s="297"/>
      <c r="E15" s="95"/>
    </row>
    <row r="16" spans="2:12" customFormat="1">
      <c r="B16" s="212" t="s">
        <v>213</v>
      </c>
      <c r="C16" s="213" t="s">
        <v>12</v>
      </c>
      <c r="D16" s="298"/>
      <c r="E16" s="96"/>
    </row>
    <row r="17" spans="2:11" customFormat="1">
      <c r="B17" s="10" t="s">
        <v>13</v>
      </c>
      <c r="C17" s="12" t="s">
        <v>65</v>
      </c>
      <c r="D17" s="299"/>
      <c r="E17" s="107"/>
    </row>
    <row r="18" spans="2:11" customFormat="1">
      <c r="B18" s="209" t="s">
        <v>4</v>
      </c>
      <c r="C18" s="210" t="s">
        <v>11</v>
      </c>
      <c r="D18" s="297"/>
      <c r="E18" s="96"/>
    </row>
    <row r="19" spans="2:11" customFormat="1" ht="15" customHeight="1">
      <c r="B19" s="209" t="s">
        <v>6</v>
      </c>
      <c r="C19" s="211" t="s">
        <v>214</v>
      </c>
      <c r="D19" s="297"/>
      <c r="E19" s="95"/>
    </row>
    <row r="20" spans="2:11" customFormat="1" ht="13.5" thickBot="1">
      <c r="B20" s="214" t="s">
        <v>8</v>
      </c>
      <c r="C20" s="215" t="s">
        <v>14</v>
      </c>
      <c r="D20" s="296"/>
      <c r="E20" s="97"/>
    </row>
    <row r="21" spans="2:11" customFormat="1" ht="13.5" thickBot="1">
      <c r="B21" s="342" t="s">
        <v>216</v>
      </c>
      <c r="C21" s="343"/>
      <c r="D21" s="87" t="str">
        <f>D11</f>
        <v>-</v>
      </c>
      <c r="E21" s="165">
        <f>E11</f>
        <v>30289.21</v>
      </c>
      <c r="F21" s="86"/>
      <c r="G21" s="86"/>
      <c r="H21" s="188"/>
      <c r="J21" s="71"/>
      <c r="K21" s="71">
        <f>E21-E41</f>
        <v>0</v>
      </c>
    </row>
    <row r="22" spans="2:11" customFormat="1">
      <c r="B22" s="3"/>
      <c r="C22" s="7"/>
      <c r="D22" s="8"/>
      <c r="E22" s="8"/>
      <c r="G22" s="77"/>
    </row>
    <row r="23" spans="2:11" customFormat="1" ht="13.5">
      <c r="B23" s="336" t="s">
        <v>210</v>
      </c>
      <c r="C23" s="348"/>
      <c r="D23" s="348"/>
      <c r="E23" s="348"/>
      <c r="G23" s="77"/>
    </row>
    <row r="24" spans="2:11" customFormat="1" ht="15.75" customHeight="1" thickBot="1">
      <c r="B24" s="335" t="s">
        <v>211</v>
      </c>
      <c r="C24" s="349"/>
      <c r="D24" s="349"/>
      <c r="E24" s="349"/>
    </row>
    <row r="25" spans="2:11" customFormat="1" ht="13.5" thickBot="1">
      <c r="B25" s="266"/>
      <c r="C25" s="216" t="s">
        <v>2</v>
      </c>
      <c r="D25" s="74" t="s">
        <v>245</v>
      </c>
      <c r="E25" s="30" t="s">
        <v>268</v>
      </c>
    </row>
    <row r="26" spans="2:11" customFormat="1">
      <c r="B26" s="110" t="s">
        <v>15</v>
      </c>
      <c r="C26" s="111" t="s">
        <v>16</v>
      </c>
      <c r="D26" s="244"/>
      <c r="E26" s="112" t="str">
        <f>D21</f>
        <v>-</v>
      </c>
      <c r="G26" s="81"/>
    </row>
    <row r="27" spans="2:11" customFormat="1">
      <c r="B27" s="10" t="s">
        <v>17</v>
      </c>
      <c r="C27" s="11" t="s">
        <v>217</v>
      </c>
      <c r="D27" s="245"/>
      <c r="E27" s="269">
        <f>E28</f>
        <v>29852.6</v>
      </c>
      <c r="F27" s="77"/>
      <c r="G27" s="81"/>
      <c r="H27" s="77"/>
      <c r="I27" s="77"/>
      <c r="J27" s="81"/>
    </row>
    <row r="28" spans="2:11" customFormat="1">
      <c r="B28" s="10" t="s">
        <v>18</v>
      </c>
      <c r="C28" s="11" t="s">
        <v>19</v>
      </c>
      <c r="D28" s="245"/>
      <c r="E28" s="284">
        <f>SUM(E29:E31)</f>
        <v>29852.6</v>
      </c>
      <c r="F28" s="77"/>
      <c r="G28" s="77"/>
      <c r="H28" s="77"/>
      <c r="I28" s="77"/>
      <c r="J28" s="81"/>
    </row>
    <row r="29" spans="2:11" customFormat="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 customFormat="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 customFormat="1">
      <c r="B31" s="217" t="s">
        <v>8</v>
      </c>
      <c r="C31" s="210" t="s">
        <v>22</v>
      </c>
      <c r="D31" s="246"/>
      <c r="E31" s="286">
        <v>29852.6</v>
      </c>
      <c r="F31" s="77"/>
      <c r="G31" s="77"/>
      <c r="H31" s="77"/>
      <c r="I31" s="77"/>
      <c r="J31" s="81"/>
    </row>
    <row r="32" spans="2:11" customFormat="1">
      <c r="B32" s="106" t="s">
        <v>23</v>
      </c>
      <c r="C32" s="12" t="s">
        <v>24</v>
      </c>
      <c r="D32" s="245"/>
      <c r="E32" s="284" t="s">
        <v>246</v>
      </c>
      <c r="F32" s="77"/>
      <c r="G32" s="81"/>
      <c r="H32" s="77"/>
      <c r="I32" s="77"/>
      <c r="J32" s="81"/>
    </row>
    <row r="33" spans="2:10" customFormat="1">
      <c r="B33" s="217" t="s">
        <v>4</v>
      </c>
      <c r="C33" s="210" t="s">
        <v>25</v>
      </c>
      <c r="D33" s="246"/>
      <c r="E33" s="286"/>
      <c r="F33" s="77"/>
      <c r="G33" s="77"/>
      <c r="H33" s="77"/>
      <c r="I33" s="77"/>
      <c r="J33" s="81"/>
    </row>
    <row r="34" spans="2:10" customFormat="1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 customFormat="1">
      <c r="B35" s="217" t="s">
        <v>8</v>
      </c>
      <c r="C35" s="210" t="s">
        <v>27</v>
      </c>
      <c r="D35" s="246"/>
      <c r="E35" s="286"/>
      <c r="F35" s="77"/>
      <c r="G35" s="77"/>
      <c r="H35" s="77"/>
      <c r="I35" s="77"/>
      <c r="J35" s="81"/>
    </row>
    <row r="36" spans="2:10" customFormat="1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customFormat="1" ht="25.5">
      <c r="B37" s="217" t="s">
        <v>29</v>
      </c>
      <c r="C37" s="210" t="s">
        <v>30</v>
      </c>
      <c r="D37" s="246"/>
      <c r="E37" s="286"/>
      <c r="F37" s="77"/>
      <c r="G37" s="77"/>
      <c r="H37" s="77"/>
      <c r="I37" s="77"/>
      <c r="J37" s="81"/>
    </row>
    <row r="38" spans="2:10" customFormat="1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 customFormat="1">
      <c r="B39" s="218" t="s">
        <v>33</v>
      </c>
      <c r="C39" s="219" t="s">
        <v>34</v>
      </c>
      <c r="D39" s="247"/>
      <c r="E39" s="288"/>
      <c r="F39" s="77"/>
      <c r="G39" s="77"/>
      <c r="H39" s="77"/>
      <c r="I39" s="77"/>
      <c r="J39" s="81"/>
    </row>
    <row r="40" spans="2:10" customFormat="1" ht="13.5" thickBot="1">
      <c r="B40" s="113" t="s">
        <v>35</v>
      </c>
      <c r="C40" s="114" t="s">
        <v>36</v>
      </c>
      <c r="D40" s="248"/>
      <c r="E40" s="115">
        <v>436.61</v>
      </c>
      <c r="G40" s="81"/>
    </row>
    <row r="41" spans="2:10" customFormat="1" ht="13.5" thickBot="1">
      <c r="B41" s="116" t="s">
        <v>37</v>
      </c>
      <c r="C41" s="117" t="s">
        <v>38</v>
      </c>
      <c r="D41" s="249"/>
      <c r="E41" s="165">
        <f>E27+E40</f>
        <v>30289.21</v>
      </c>
      <c r="F41" s="86"/>
      <c r="G41" s="81"/>
    </row>
    <row r="42" spans="2:10" customFormat="1">
      <c r="B42" s="108"/>
      <c r="C42" s="108"/>
      <c r="D42" s="109"/>
      <c r="E42" s="109"/>
      <c r="F42" s="86"/>
      <c r="G42" s="71"/>
    </row>
    <row r="43" spans="2:10" customFormat="1" ht="13.5">
      <c r="B43" s="337" t="s">
        <v>60</v>
      </c>
      <c r="C43" s="347"/>
      <c r="D43" s="347"/>
      <c r="E43" s="347"/>
      <c r="G43" s="77"/>
    </row>
    <row r="44" spans="2:10" customFormat="1" ht="18" customHeight="1" thickBot="1">
      <c r="B44" s="335" t="s">
        <v>243</v>
      </c>
      <c r="C44" s="346"/>
      <c r="D44" s="346"/>
      <c r="E44" s="346"/>
      <c r="G44" s="77"/>
    </row>
    <row r="45" spans="2:10" customFormat="1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 customFormat="1">
      <c r="B46" s="14" t="s">
        <v>18</v>
      </c>
      <c r="C46" s="32" t="s">
        <v>218</v>
      </c>
      <c r="D46" s="118"/>
      <c r="E46" s="29"/>
      <c r="G46" s="77"/>
    </row>
    <row r="47" spans="2:10" customFormat="1">
      <c r="B47" s="220" t="s">
        <v>4</v>
      </c>
      <c r="C47" s="221" t="s">
        <v>40</v>
      </c>
      <c r="D47" s="250"/>
      <c r="E47" s="166"/>
      <c r="G47" s="77"/>
    </row>
    <row r="48" spans="2:10" customFormat="1">
      <c r="B48" s="222" t="s">
        <v>6</v>
      </c>
      <c r="C48" s="223" t="s">
        <v>41</v>
      </c>
      <c r="D48" s="251"/>
      <c r="E48" s="166">
        <v>239.8955</v>
      </c>
      <c r="G48" s="77"/>
    </row>
    <row r="49" spans="2:7" customFormat="1">
      <c r="B49" s="137" t="s">
        <v>23</v>
      </c>
      <c r="C49" s="141" t="s">
        <v>219</v>
      </c>
      <c r="D49" s="252"/>
      <c r="E49" s="166"/>
    </row>
    <row r="50" spans="2:7" customFormat="1">
      <c r="B50" s="220" t="s">
        <v>4</v>
      </c>
      <c r="C50" s="221" t="s">
        <v>40</v>
      </c>
      <c r="D50" s="250"/>
      <c r="E50" s="166"/>
      <c r="G50" s="208"/>
    </row>
    <row r="51" spans="2:7" customFormat="1">
      <c r="B51" s="220" t="s">
        <v>6</v>
      </c>
      <c r="C51" s="221" t="s">
        <v>220</v>
      </c>
      <c r="D51" s="253"/>
      <c r="E51" s="82">
        <v>106.17</v>
      </c>
      <c r="G51" s="208"/>
    </row>
    <row r="52" spans="2:7" customFormat="1">
      <c r="B52" s="220" t="s">
        <v>8</v>
      </c>
      <c r="C52" s="221" t="s">
        <v>221</v>
      </c>
      <c r="D52" s="253"/>
      <c r="E52" s="82">
        <v>128.4</v>
      </c>
    </row>
    <row r="53" spans="2:7" customFormat="1" ht="13.5" thickBot="1">
      <c r="B53" s="224" t="s">
        <v>9</v>
      </c>
      <c r="C53" s="225" t="s">
        <v>41</v>
      </c>
      <c r="D53" s="254"/>
      <c r="E53" s="167">
        <v>126.26</v>
      </c>
    </row>
    <row r="54" spans="2:7" customFormat="1">
      <c r="B54" s="126"/>
      <c r="C54" s="127"/>
      <c r="D54" s="128"/>
      <c r="E54" s="128"/>
    </row>
    <row r="55" spans="2:7" customFormat="1" ht="13.5">
      <c r="B55" s="337" t="s">
        <v>62</v>
      </c>
      <c r="C55" s="338"/>
      <c r="D55" s="338"/>
      <c r="E55" s="338"/>
    </row>
    <row r="56" spans="2:7" customFormat="1" ht="14.25" thickBot="1">
      <c r="B56" s="335" t="s">
        <v>222</v>
      </c>
      <c r="C56" s="339"/>
      <c r="D56" s="339"/>
      <c r="E56" s="339"/>
    </row>
    <row r="57" spans="2:7" customFormat="1" ht="23.25" thickBot="1">
      <c r="B57" s="330" t="s">
        <v>42</v>
      </c>
      <c r="C57" s="331"/>
      <c r="D57" s="19" t="s">
        <v>244</v>
      </c>
      <c r="E57" s="20" t="s">
        <v>223</v>
      </c>
    </row>
    <row r="58" spans="2:7" customFormat="1">
      <c r="B58" s="21" t="s">
        <v>18</v>
      </c>
      <c r="C58" s="143" t="s">
        <v>43</v>
      </c>
      <c r="D58" s="144">
        <f>D64</f>
        <v>30289.21</v>
      </c>
      <c r="E58" s="33">
        <f>D58/E21</f>
        <v>1</v>
      </c>
    </row>
    <row r="59" spans="2:7" customFormat="1" ht="25.5">
      <c r="B59" s="140" t="s">
        <v>4</v>
      </c>
      <c r="C59" s="23" t="s">
        <v>44</v>
      </c>
      <c r="D59" s="90">
        <v>0</v>
      </c>
      <c r="E59" s="91">
        <v>0</v>
      </c>
    </row>
    <row r="60" spans="2:7" customFormat="1" ht="25.5">
      <c r="B60" s="119" t="s">
        <v>6</v>
      </c>
      <c r="C60" s="16" t="s">
        <v>45</v>
      </c>
      <c r="D60" s="88">
        <v>0</v>
      </c>
      <c r="E60" s="89">
        <v>0</v>
      </c>
    </row>
    <row r="61" spans="2:7" customFormat="1">
      <c r="B61" s="119" t="s">
        <v>8</v>
      </c>
      <c r="C61" s="16" t="s">
        <v>46</v>
      </c>
      <c r="D61" s="88">
        <v>0</v>
      </c>
      <c r="E61" s="89">
        <v>0</v>
      </c>
    </row>
    <row r="62" spans="2:7" customFormat="1">
      <c r="B62" s="119" t="s">
        <v>9</v>
      </c>
      <c r="C62" s="16" t="s">
        <v>47</v>
      </c>
      <c r="D62" s="88">
        <v>0</v>
      </c>
      <c r="E62" s="89">
        <v>0</v>
      </c>
    </row>
    <row r="63" spans="2:7" customFormat="1">
      <c r="B63" s="119" t="s">
        <v>29</v>
      </c>
      <c r="C63" s="16" t="s">
        <v>48</v>
      </c>
      <c r="D63" s="88">
        <v>0</v>
      </c>
      <c r="E63" s="89">
        <v>0</v>
      </c>
    </row>
    <row r="64" spans="2:7" customFormat="1">
      <c r="B64" s="140" t="s">
        <v>31</v>
      </c>
      <c r="C64" s="23" t="s">
        <v>49</v>
      </c>
      <c r="D64" s="90">
        <f>E21</f>
        <v>30289.21</v>
      </c>
      <c r="E64" s="91">
        <f>E58</f>
        <v>1</v>
      </c>
    </row>
    <row r="65" spans="2:5" customFormat="1">
      <c r="B65" s="140" t="s">
        <v>33</v>
      </c>
      <c r="C65" s="23" t="s">
        <v>224</v>
      </c>
      <c r="D65" s="90">
        <v>0</v>
      </c>
      <c r="E65" s="91">
        <v>0</v>
      </c>
    </row>
    <row r="66" spans="2:5" customFormat="1">
      <c r="B66" s="140" t="s">
        <v>50</v>
      </c>
      <c r="C66" s="23" t="s">
        <v>51</v>
      </c>
      <c r="D66" s="90">
        <v>0</v>
      </c>
      <c r="E66" s="91">
        <v>0</v>
      </c>
    </row>
    <row r="67" spans="2:5" customFormat="1">
      <c r="B67" s="119" t="s">
        <v>52</v>
      </c>
      <c r="C67" s="16" t="s">
        <v>53</v>
      </c>
      <c r="D67" s="88">
        <v>0</v>
      </c>
      <c r="E67" s="89">
        <v>0</v>
      </c>
    </row>
    <row r="68" spans="2:5" customFormat="1">
      <c r="B68" s="119" t="s">
        <v>54</v>
      </c>
      <c r="C68" s="16" t="s">
        <v>55</v>
      </c>
      <c r="D68" s="88">
        <v>0</v>
      </c>
      <c r="E68" s="89">
        <v>0</v>
      </c>
    </row>
    <row r="69" spans="2:5" customFormat="1">
      <c r="B69" s="119" t="s">
        <v>56</v>
      </c>
      <c r="C69" s="16" t="s">
        <v>57</v>
      </c>
      <c r="D69" s="88">
        <v>0</v>
      </c>
      <c r="E69" s="89">
        <v>0</v>
      </c>
    </row>
    <row r="70" spans="2:5" customFormat="1">
      <c r="B70" s="146" t="s">
        <v>58</v>
      </c>
      <c r="C70" s="130" t="s">
        <v>59</v>
      </c>
      <c r="D70" s="131">
        <v>0</v>
      </c>
      <c r="E70" s="132">
        <v>0</v>
      </c>
    </row>
    <row r="71" spans="2:5" customFormat="1">
      <c r="B71" s="147" t="s">
        <v>23</v>
      </c>
      <c r="C71" s="138" t="s">
        <v>61</v>
      </c>
      <c r="D71" s="139">
        <v>0</v>
      </c>
      <c r="E71" s="70">
        <v>0</v>
      </c>
    </row>
    <row r="72" spans="2:5" customFormat="1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 customFormat="1">
      <c r="B73" s="149" t="s">
        <v>62</v>
      </c>
      <c r="C73" s="25" t="s">
        <v>65</v>
      </c>
      <c r="D73" s="26">
        <v>0</v>
      </c>
      <c r="E73" s="27">
        <v>0</v>
      </c>
    </row>
    <row r="74" spans="2:5" customFormat="1">
      <c r="B74" s="147" t="s">
        <v>64</v>
      </c>
      <c r="C74" s="138" t="s">
        <v>66</v>
      </c>
      <c r="D74" s="139">
        <f>D58</f>
        <v>30289.21</v>
      </c>
      <c r="E74" s="70">
        <f>E58+E72-E73</f>
        <v>1</v>
      </c>
    </row>
    <row r="75" spans="2:5" customFormat="1">
      <c r="B75" s="119" t="s">
        <v>4</v>
      </c>
      <c r="C75" s="16" t="s">
        <v>67</v>
      </c>
      <c r="D75" s="88">
        <f>D74</f>
        <v>30289.21</v>
      </c>
      <c r="E75" s="89">
        <f>E74</f>
        <v>1</v>
      </c>
    </row>
    <row r="76" spans="2:5" customFormat="1">
      <c r="B76" s="119" t="s">
        <v>6</v>
      </c>
      <c r="C76" s="16" t="s">
        <v>225</v>
      </c>
      <c r="D76" s="88">
        <v>0</v>
      </c>
      <c r="E76" s="89">
        <v>0</v>
      </c>
    </row>
    <row r="77" spans="2:5" customFormat="1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 customFormat="1">
      <c r="B78" s="1"/>
      <c r="C78" s="1"/>
      <c r="D78" s="2"/>
      <c r="E78" s="2"/>
    </row>
    <row r="79" spans="2:5" customFormat="1">
      <c r="B79" s="1"/>
      <c r="C79" s="1"/>
      <c r="D79" s="2"/>
      <c r="E79" s="2"/>
    </row>
    <row r="80" spans="2:5" customFormat="1">
      <c r="B80" s="1"/>
      <c r="C80" s="1"/>
      <c r="D80" s="2"/>
      <c r="E80" s="2"/>
    </row>
    <row r="81" spans="2:5" customFormat="1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2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14.25">
      <c r="B5" s="333" t="s">
        <v>1</v>
      </c>
      <c r="C5" s="333"/>
      <c r="D5" s="333"/>
      <c r="E5" s="333"/>
    </row>
    <row r="6" spans="2:12" ht="14.25">
      <c r="B6" s="334" t="s">
        <v>242</v>
      </c>
      <c r="C6" s="334"/>
      <c r="D6" s="334"/>
      <c r="E6" s="334"/>
    </row>
    <row r="7" spans="2:12" ht="14.25">
      <c r="B7" s="173"/>
      <c r="C7" s="173"/>
      <c r="D7" s="173"/>
      <c r="E7" s="17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74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3492.57</v>
      </c>
      <c r="E11" s="9">
        <f>E12</f>
        <v>3796.47</v>
      </c>
    </row>
    <row r="12" spans="2:12">
      <c r="B12" s="209" t="s">
        <v>4</v>
      </c>
      <c r="C12" s="210" t="s">
        <v>5</v>
      </c>
      <c r="D12" s="297">
        <v>3492.57</v>
      </c>
      <c r="E12" s="95">
        <v>3796.47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3492.57</v>
      </c>
      <c r="E21" s="165">
        <f>E11</f>
        <v>3796.47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 t="s">
        <v>246</v>
      </c>
      <c r="E26" s="112">
        <f>D21</f>
        <v>3492.57</v>
      </c>
      <c r="G26" s="81"/>
    </row>
    <row r="27" spans="2:11">
      <c r="B27" s="10" t="s">
        <v>17</v>
      </c>
      <c r="C27" s="11" t="s">
        <v>217</v>
      </c>
      <c r="D27" s="245">
        <v>3211.39</v>
      </c>
      <c r="E27" s="269">
        <f>E28-E32</f>
        <v>0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3211.39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3211.39</v>
      </c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0</v>
      </c>
      <c r="E32" s="284">
        <f>SUM(E33:E39)</f>
        <v>0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/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/>
      <c r="E35" s="286"/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/>
      <c r="E37" s="286"/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281.18</v>
      </c>
      <c r="E40" s="115">
        <v>303.89999999999998</v>
      </c>
      <c r="G40" s="81"/>
    </row>
    <row r="41" spans="2:10" ht="13.5" thickBot="1">
      <c r="B41" s="116" t="s">
        <v>37</v>
      </c>
      <c r="C41" s="117" t="s">
        <v>38</v>
      </c>
      <c r="D41" s="249">
        <v>3492.5699999999997</v>
      </c>
      <c r="E41" s="165">
        <f>E26+E27+E40</f>
        <v>3796.4700000000003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/>
      <c r="E47" s="166">
        <v>29.533000000000001</v>
      </c>
      <c r="G47" s="77"/>
    </row>
    <row r="48" spans="2:10">
      <c r="B48" s="222" t="s">
        <v>6</v>
      </c>
      <c r="C48" s="223" t="s">
        <v>41</v>
      </c>
      <c r="D48" s="251">
        <v>29.533000000000001</v>
      </c>
      <c r="E48" s="166">
        <v>29.533000000000001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/>
      <c r="E50" s="166">
        <v>118.26</v>
      </c>
      <c r="G50" s="208"/>
    </row>
    <row r="51" spans="2:7">
      <c r="B51" s="220" t="s">
        <v>6</v>
      </c>
      <c r="C51" s="221" t="s">
        <v>220</v>
      </c>
      <c r="D51" s="253">
        <v>97.34</v>
      </c>
      <c r="E51" s="82">
        <v>118.26</v>
      </c>
      <c r="G51" s="208"/>
    </row>
    <row r="52" spans="2:7">
      <c r="B52" s="220" t="s">
        <v>8</v>
      </c>
      <c r="C52" s="221" t="s">
        <v>221</v>
      </c>
      <c r="D52" s="253">
        <v>118.26</v>
      </c>
      <c r="E52" s="82">
        <v>135.68</v>
      </c>
    </row>
    <row r="53" spans="2:7" ht="13.5" thickBot="1">
      <c r="B53" s="224" t="s">
        <v>9</v>
      </c>
      <c r="C53" s="225" t="s">
        <v>41</v>
      </c>
      <c r="D53" s="254">
        <v>118.26</v>
      </c>
      <c r="E53" s="167">
        <v>128.55000000000001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3796.47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3796.47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3796.47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3796.47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  <pageSetup paperSize="9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3">
    <pageSetUpPr fitToPage="1"/>
  </sheetPr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1"/>
      <c r="C4" s="151"/>
      <c r="D4" s="151"/>
      <c r="E4" s="15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172</v>
      </c>
      <c r="C6" s="334"/>
      <c r="D6" s="334"/>
      <c r="E6" s="334"/>
    </row>
    <row r="7" spans="2:12" ht="14.25">
      <c r="B7" s="150"/>
      <c r="C7" s="150"/>
      <c r="D7" s="150"/>
      <c r="E7" s="150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2133646.2599999998</v>
      </c>
      <c r="E11" s="9">
        <f>E12</f>
        <v>3374933.59</v>
      </c>
    </row>
    <row r="12" spans="2:12">
      <c r="B12" s="209" t="s">
        <v>4</v>
      </c>
      <c r="C12" s="210" t="s">
        <v>5</v>
      </c>
      <c r="D12" s="297">
        <v>2133646.2599999998</v>
      </c>
      <c r="E12" s="95">
        <v>3374933.59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2133646.2599999998</v>
      </c>
      <c r="E21" s="165">
        <f>E11</f>
        <v>3374933.59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1885933.75</v>
      </c>
      <c r="E26" s="112">
        <f>D21</f>
        <v>2133646.2599999998</v>
      </c>
      <c r="G26" s="81"/>
    </row>
    <row r="27" spans="2:11">
      <c r="B27" s="10" t="s">
        <v>17</v>
      </c>
      <c r="C27" s="11" t="s">
        <v>217</v>
      </c>
      <c r="D27" s="245">
        <v>-41061.56</v>
      </c>
      <c r="E27" s="269">
        <f>E28-E32</f>
        <v>772760.67999999993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7336.53</v>
      </c>
      <c r="E28" s="284">
        <f>SUM(E29:E31)</f>
        <v>867159.05999999994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>
        <v>50115.199999999997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7336.53</v>
      </c>
      <c r="E31" s="286">
        <v>817043.86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48398.09</v>
      </c>
      <c r="E32" s="284">
        <f>SUM(E33:E39)</f>
        <v>94398.38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7129.91</v>
      </c>
      <c r="E33" s="286">
        <v>50636.49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12527.65</v>
      </c>
      <c r="E35" s="286">
        <v>2602.12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25574.62</v>
      </c>
      <c r="E37" s="286">
        <v>41159.769999999997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3165.91</v>
      </c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288774.07</v>
      </c>
      <c r="E40" s="115">
        <v>468526.65</v>
      </c>
      <c r="G40" s="81"/>
    </row>
    <row r="41" spans="2:10" ht="13.5" thickBot="1">
      <c r="B41" s="116" t="s">
        <v>37</v>
      </c>
      <c r="C41" s="117" t="s">
        <v>38</v>
      </c>
      <c r="D41" s="249">
        <v>2133646.2599999998</v>
      </c>
      <c r="E41" s="165">
        <f>E26+E27+E40</f>
        <v>3374933.5899999994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5322.6850000000004</v>
      </c>
      <c r="E47" s="166">
        <v>5206.4279999999999</v>
      </c>
      <c r="G47" s="77"/>
    </row>
    <row r="48" spans="2:10">
      <c r="B48" s="222" t="s">
        <v>6</v>
      </c>
      <c r="C48" s="223" t="s">
        <v>41</v>
      </c>
      <c r="D48" s="251">
        <v>5206.4279999999999</v>
      </c>
      <c r="E48" s="166">
        <v>6830.0519999999997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354.32</v>
      </c>
      <c r="E50" s="166">
        <v>409.81</v>
      </c>
      <c r="G50" s="208"/>
    </row>
    <row r="51" spans="2:7">
      <c r="B51" s="220" t="s">
        <v>6</v>
      </c>
      <c r="C51" s="221" t="s">
        <v>220</v>
      </c>
      <c r="D51" s="253">
        <v>306.04000000000002</v>
      </c>
      <c r="E51" s="82">
        <v>409.81</v>
      </c>
      <c r="G51" s="208"/>
    </row>
    <row r="52" spans="2:7">
      <c r="B52" s="220" t="s">
        <v>8</v>
      </c>
      <c r="C52" s="221" t="s">
        <v>221</v>
      </c>
      <c r="D52" s="253">
        <v>420.25</v>
      </c>
      <c r="E52" s="82">
        <v>513.6</v>
      </c>
    </row>
    <row r="53" spans="2:7" ht="12.75" customHeight="1" thickBot="1">
      <c r="B53" s="224" t="s">
        <v>9</v>
      </c>
      <c r="C53" s="225" t="s">
        <v>41</v>
      </c>
      <c r="D53" s="254">
        <v>409.81</v>
      </c>
      <c r="E53" s="167">
        <v>494.13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8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3374933.59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3374933.59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3374933.59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3374933.59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055118110236227" right="0.74803149606299213" top="0.55118110236220474" bottom="0.6692913385826772" header="0.51181102362204722" footer="0.51181102362204722"/>
  <pageSetup paperSize="9" scale="68" orientation="portrait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4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1"/>
      <c r="C4" s="151"/>
      <c r="D4" s="151"/>
      <c r="E4" s="15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173</v>
      </c>
      <c r="C6" s="334"/>
      <c r="D6" s="334"/>
      <c r="E6" s="334"/>
    </row>
    <row r="7" spans="2:12" ht="14.25">
      <c r="B7" s="150"/>
      <c r="C7" s="150"/>
      <c r="D7" s="150"/>
      <c r="E7" s="150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14810064.869999999</v>
      </c>
      <c r="E11" s="9">
        <f>E12</f>
        <v>13141202.960000001</v>
      </c>
    </row>
    <row r="12" spans="2:12">
      <c r="B12" s="209" t="s">
        <v>4</v>
      </c>
      <c r="C12" s="210" t="s">
        <v>5</v>
      </c>
      <c r="D12" s="297">
        <v>14810064.869999999</v>
      </c>
      <c r="E12" s="95">
        <v>13141202.960000001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14810064.869999999</v>
      </c>
      <c r="E21" s="165">
        <f>E11</f>
        <v>13141202.960000001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30560046.07</v>
      </c>
      <c r="E26" s="112">
        <f>D21</f>
        <v>14810064.869999999</v>
      </c>
      <c r="G26" s="81"/>
    </row>
    <row r="27" spans="2:11">
      <c r="B27" s="10" t="s">
        <v>17</v>
      </c>
      <c r="C27" s="11" t="s">
        <v>217</v>
      </c>
      <c r="D27" s="245">
        <v>-11545249.609999999</v>
      </c>
      <c r="E27" s="269">
        <f>E28-E32</f>
        <v>-3923742.59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907.35</v>
      </c>
      <c r="E28" s="284">
        <f>SUM(E29:E31)</f>
        <v>249885.08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907.35</v>
      </c>
      <c r="E31" s="286">
        <v>249885.08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11546156.959999999</v>
      </c>
      <c r="E32" s="284">
        <f>SUM(E33:E39)</f>
        <v>4173627.67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8128260.3399999999</v>
      </c>
      <c r="E33" s="286">
        <v>1292324.72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28679.85</v>
      </c>
      <c r="E35" s="286">
        <v>11980.28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308369.28999999998</v>
      </c>
      <c r="E37" s="286">
        <v>230620.01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3080847.48</v>
      </c>
      <c r="E39" s="288">
        <v>2638702.66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-4204731.59</v>
      </c>
      <c r="E40" s="115">
        <v>2254880.6800000002</v>
      </c>
      <c r="G40" s="81"/>
    </row>
    <row r="41" spans="2:10" ht="13.5" thickBot="1">
      <c r="B41" s="116" t="s">
        <v>37</v>
      </c>
      <c r="C41" s="117" t="s">
        <v>38</v>
      </c>
      <c r="D41" s="249">
        <v>14810064.870000001</v>
      </c>
      <c r="E41" s="165">
        <f>E26+E27+E40</f>
        <v>13141202.959999999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81685.144</v>
      </c>
      <c r="E47" s="166">
        <v>46656.160000000003</v>
      </c>
      <c r="G47" s="77"/>
    </row>
    <row r="48" spans="2:10">
      <c r="B48" s="222" t="s">
        <v>6</v>
      </c>
      <c r="C48" s="223" t="s">
        <v>41</v>
      </c>
      <c r="D48" s="251">
        <v>46656.160000000003</v>
      </c>
      <c r="E48" s="166">
        <v>35443.004999999997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374.12</v>
      </c>
      <c r="E50" s="166">
        <v>317.43</v>
      </c>
      <c r="G50" s="208"/>
    </row>
    <row r="51" spans="2:7">
      <c r="B51" s="220" t="s">
        <v>6</v>
      </c>
      <c r="C51" s="221" t="s">
        <v>220</v>
      </c>
      <c r="D51" s="253">
        <v>299.88</v>
      </c>
      <c r="E51" s="82">
        <v>317.37</v>
      </c>
      <c r="G51" s="208"/>
    </row>
    <row r="52" spans="2:7">
      <c r="B52" s="220" t="s">
        <v>8</v>
      </c>
      <c r="C52" s="221" t="s">
        <v>221</v>
      </c>
      <c r="D52" s="253">
        <v>374.12</v>
      </c>
      <c r="E52" s="82">
        <v>379.01</v>
      </c>
    </row>
    <row r="53" spans="2:7" ht="14.25" customHeight="1" thickBot="1">
      <c r="B53" s="224" t="s">
        <v>9</v>
      </c>
      <c r="C53" s="225" t="s">
        <v>41</v>
      </c>
      <c r="D53" s="254">
        <v>317.43</v>
      </c>
      <c r="E53" s="167">
        <v>370.77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8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13141202.960000001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13141202.960000001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13141202.960000001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13141202.960000001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5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1"/>
      <c r="C4" s="151"/>
      <c r="D4" s="151"/>
      <c r="E4" s="15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193</v>
      </c>
      <c r="C6" s="334"/>
      <c r="D6" s="334"/>
      <c r="E6" s="334"/>
    </row>
    <row r="7" spans="2:12" ht="14.25">
      <c r="B7" s="150"/>
      <c r="C7" s="150"/>
      <c r="D7" s="150"/>
      <c r="E7" s="150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3624941.58</v>
      </c>
      <c r="E11" s="9">
        <f>E12</f>
        <v>4299565.83</v>
      </c>
    </row>
    <row r="12" spans="2:12">
      <c r="B12" s="209" t="s">
        <v>4</v>
      </c>
      <c r="C12" s="210" t="s">
        <v>5</v>
      </c>
      <c r="D12" s="297">
        <v>3624941.58</v>
      </c>
      <c r="E12" s="95">
        <v>4299565.83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3624941.58</v>
      </c>
      <c r="E21" s="165">
        <f>E11</f>
        <v>4299565.83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853810.54</v>
      </c>
      <c r="E26" s="112">
        <f>D21</f>
        <v>3624941.58</v>
      </c>
      <c r="G26" s="81"/>
    </row>
    <row r="27" spans="2:11">
      <c r="B27" s="10" t="s">
        <v>17</v>
      </c>
      <c r="C27" s="11" t="s">
        <v>217</v>
      </c>
      <c r="D27" s="245">
        <v>2713593.28</v>
      </c>
      <c r="E27" s="269">
        <f>E28-E32</f>
        <v>586034.86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2747599.59</v>
      </c>
      <c r="E28" s="284">
        <f>SUM(E29:E31)</f>
        <v>648666.09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>
        <v>49979.96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2747599.59</v>
      </c>
      <c r="E31" s="286">
        <v>598686.13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34006.31</v>
      </c>
      <c r="E32" s="284">
        <f>SUM(E33:E39)</f>
        <v>62631.229999999996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/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11.24</v>
      </c>
      <c r="E35" s="286">
        <v>273.38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33995.07</v>
      </c>
      <c r="E37" s="286">
        <v>62357.85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57537.760000000002</v>
      </c>
      <c r="E40" s="115">
        <v>88589.39</v>
      </c>
      <c r="G40" s="81"/>
    </row>
    <row r="41" spans="2:10" ht="13.5" thickBot="1">
      <c r="B41" s="116" t="s">
        <v>37</v>
      </c>
      <c r="C41" s="117" t="s">
        <v>38</v>
      </c>
      <c r="D41" s="249">
        <v>3624941.5799999996</v>
      </c>
      <c r="E41" s="165">
        <f>E26+E27+E40</f>
        <v>4299565.83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2149.8440000000001</v>
      </c>
      <c r="E47" s="166">
        <v>8778.1610000000001</v>
      </c>
      <c r="G47" s="77"/>
    </row>
    <row r="48" spans="2:10">
      <c r="B48" s="222" t="s">
        <v>6</v>
      </c>
      <c r="C48" s="223" t="s">
        <v>41</v>
      </c>
      <c r="D48" s="251">
        <v>8778.1610000000001</v>
      </c>
      <c r="E48" s="166">
        <v>10169.987999999999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397.15</v>
      </c>
      <c r="E50" s="166">
        <v>412.95</v>
      </c>
      <c r="G50" s="208"/>
    </row>
    <row r="51" spans="2:7">
      <c r="B51" s="220" t="s">
        <v>6</v>
      </c>
      <c r="C51" s="221" t="s">
        <v>220</v>
      </c>
      <c r="D51" s="253">
        <v>389.25</v>
      </c>
      <c r="E51" s="82">
        <v>412.95</v>
      </c>
      <c r="G51" s="208"/>
    </row>
    <row r="52" spans="2:7">
      <c r="B52" s="220" t="s">
        <v>8</v>
      </c>
      <c r="C52" s="221" t="s">
        <v>221</v>
      </c>
      <c r="D52" s="253">
        <v>415.72</v>
      </c>
      <c r="E52" s="82">
        <v>423.21</v>
      </c>
    </row>
    <row r="53" spans="2:7" ht="13.5" customHeight="1" thickBot="1">
      <c r="B53" s="224" t="s">
        <v>9</v>
      </c>
      <c r="C53" s="225" t="s">
        <v>41</v>
      </c>
      <c r="D53" s="254">
        <v>412.95</v>
      </c>
      <c r="E53" s="167">
        <v>422.77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4299565.83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4299565.83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4299565.83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4299565.83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64"/>
      <c r="C4" s="164"/>
      <c r="D4" s="164"/>
      <c r="E4" s="164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271</v>
      </c>
      <c r="C6" s="334"/>
      <c r="D6" s="334"/>
      <c r="E6" s="334"/>
    </row>
    <row r="7" spans="2:12" ht="14.25">
      <c r="B7" s="264"/>
      <c r="C7" s="264"/>
      <c r="D7" s="264"/>
      <c r="E7" s="264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  <c r="G9" s="178"/>
    </row>
    <row r="10" spans="2:12" ht="13.5" thickBot="1">
      <c r="B10" s="263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 t="str">
        <f>D12</f>
        <v>-</v>
      </c>
      <c r="E11" s="9">
        <f>E12</f>
        <v>18128.2</v>
      </c>
    </row>
    <row r="12" spans="2:12">
      <c r="B12" s="209" t="s">
        <v>4</v>
      </c>
      <c r="C12" s="210" t="s">
        <v>5</v>
      </c>
      <c r="D12" s="297" t="s">
        <v>246</v>
      </c>
      <c r="E12" s="95">
        <v>18128.2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 t="str">
        <f>D11</f>
        <v>-</v>
      </c>
      <c r="E21" s="165">
        <f>E11</f>
        <v>18128.2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/>
      <c r="E26" s="112" t="str">
        <f>D21</f>
        <v>-</v>
      </c>
      <c r="G26" s="81"/>
    </row>
    <row r="27" spans="2:11">
      <c r="B27" s="10" t="s">
        <v>17</v>
      </c>
      <c r="C27" s="11" t="s">
        <v>217</v>
      </c>
      <c r="D27" s="245"/>
      <c r="E27" s="269">
        <f>E28-E32</f>
        <v>18374.400000000001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/>
      <c r="E28" s="284">
        <f>SUM(E29:E31)</f>
        <v>18374.400000000001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>
        <v>18374.400000000001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/>
      <c r="E32" s="284">
        <f>SUM(E33:E39)</f>
        <v>0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/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/>
      <c r="E35" s="286"/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/>
      <c r="E37" s="286"/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/>
      <c r="E40" s="115">
        <v>-246.2</v>
      </c>
      <c r="G40" s="81"/>
    </row>
    <row r="41" spans="2:10" ht="13.5" thickBot="1">
      <c r="B41" s="116" t="s">
        <v>37</v>
      </c>
      <c r="C41" s="117" t="s">
        <v>38</v>
      </c>
      <c r="D41" s="249"/>
      <c r="E41" s="165">
        <f>E27+E40</f>
        <v>18128.2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/>
      <c r="E47" s="166"/>
      <c r="G47" s="77"/>
    </row>
    <row r="48" spans="2:10">
      <c r="B48" s="222" t="s">
        <v>6</v>
      </c>
      <c r="C48" s="223" t="s">
        <v>41</v>
      </c>
      <c r="D48" s="251"/>
      <c r="E48" s="166">
        <v>16.233000000000001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/>
      <c r="E50" s="166"/>
      <c r="G50" s="208"/>
    </row>
    <row r="51" spans="2:7">
      <c r="B51" s="220" t="s">
        <v>6</v>
      </c>
      <c r="C51" s="221" t="s">
        <v>220</v>
      </c>
      <c r="D51" s="253"/>
      <c r="E51" s="82">
        <v>930.35</v>
      </c>
      <c r="G51" s="208"/>
    </row>
    <row r="52" spans="2:7">
      <c r="B52" s="220" t="s">
        <v>8</v>
      </c>
      <c r="C52" s="221" t="s">
        <v>221</v>
      </c>
      <c r="D52" s="253"/>
      <c r="E52" s="82">
        <v>1157.25</v>
      </c>
    </row>
    <row r="53" spans="2:7" ht="13.5" customHeight="1" thickBot="1">
      <c r="B53" s="224" t="s">
        <v>9</v>
      </c>
      <c r="C53" s="225" t="s">
        <v>41</v>
      </c>
      <c r="D53" s="254"/>
      <c r="E53" s="167">
        <v>1116.75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18128.2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18128.2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18128.2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18128.2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6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1"/>
      <c r="C4" s="151"/>
      <c r="D4" s="151"/>
      <c r="E4" s="15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262</v>
      </c>
      <c r="C6" s="334"/>
      <c r="D6" s="334"/>
      <c r="E6" s="334"/>
    </row>
    <row r="7" spans="2:12" ht="14.25">
      <c r="B7" s="150"/>
      <c r="C7" s="150"/>
      <c r="D7" s="150"/>
      <c r="E7" s="150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371176.07</v>
      </c>
      <c r="E11" s="9">
        <f>E12</f>
        <v>430340.52</v>
      </c>
    </row>
    <row r="12" spans="2:12">
      <c r="B12" s="209" t="s">
        <v>4</v>
      </c>
      <c r="C12" s="210" t="s">
        <v>5</v>
      </c>
      <c r="D12" s="297">
        <v>371176.07</v>
      </c>
      <c r="E12" s="95">
        <f>430342.56-2.04</f>
        <v>430340.52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371176.07</v>
      </c>
      <c r="E21" s="165">
        <f>E11</f>
        <v>430340.52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372867.73</v>
      </c>
      <c r="E26" s="112">
        <f>D21</f>
        <v>371176.07</v>
      </c>
      <c r="G26" s="81"/>
    </row>
    <row r="27" spans="2:11">
      <c r="B27" s="10" t="s">
        <v>17</v>
      </c>
      <c r="C27" s="11" t="s">
        <v>217</v>
      </c>
      <c r="D27" s="245">
        <v>-22318.510000000009</v>
      </c>
      <c r="E27" s="269">
        <f>E28-E32</f>
        <v>-14425.529999999999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146350.31</v>
      </c>
      <c r="E28" s="284">
        <f>SUM(E29:E31)</f>
        <v>139223.91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16648.57</v>
      </c>
      <c r="E29" s="286">
        <v>17710.79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129701.74</v>
      </c>
      <c r="E31" s="286">
        <v>121513.12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168668.82</v>
      </c>
      <c r="E32" s="284">
        <f>SUM(E33:E39)</f>
        <v>153649.44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48388.94</v>
      </c>
      <c r="E33" s="286">
        <f>111181.62+2.04</f>
        <v>111183.65999999999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1483.29</v>
      </c>
      <c r="E35" s="286">
        <v>1115.49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7503.94</v>
      </c>
      <c r="E37" s="286">
        <v>7193.15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111292.65</v>
      </c>
      <c r="E39" s="288">
        <v>34157.14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20626.849999999999</v>
      </c>
      <c r="E40" s="115">
        <v>73589.98</v>
      </c>
      <c r="G40" s="81"/>
    </row>
    <row r="41" spans="2:10" ht="13.5" thickBot="1">
      <c r="B41" s="116" t="s">
        <v>37</v>
      </c>
      <c r="C41" s="117" t="s">
        <v>38</v>
      </c>
      <c r="D41" s="249">
        <v>371176.06999999995</v>
      </c>
      <c r="E41" s="165">
        <f>E26+E27+E40</f>
        <v>430340.52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1158.586</v>
      </c>
      <c r="E47" s="166">
        <v>1079.942</v>
      </c>
      <c r="G47" s="77"/>
    </row>
    <row r="48" spans="2:10">
      <c r="B48" s="222" t="s">
        <v>6</v>
      </c>
      <c r="C48" s="223" t="s">
        <v>41</v>
      </c>
      <c r="D48" s="251">
        <v>1079.942</v>
      </c>
      <c r="E48" s="166">
        <v>1055.37699</v>
      </c>
      <c r="G48" s="228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321.83</v>
      </c>
      <c r="E50" s="166">
        <v>343.7</v>
      </c>
      <c r="G50" s="208"/>
    </row>
    <row r="51" spans="2:7">
      <c r="B51" s="220" t="s">
        <v>6</v>
      </c>
      <c r="C51" s="221" t="s">
        <v>220</v>
      </c>
      <c r="D51" s="253">
        <v>295.76</v>
      </c>
      <c r="E51" s="166">
        <v>343.7</v>
      </c>
      <c r="G51" s="208"/>
    </row>
    <row r="52" spans="2:7">
      <c r="B52" s="220" t="s">
        <v>8</v>
      </c>
      <c r="C52" s="221" t="s">
        <v>221</v>
      </c>
      <c r="D52" s="253">
        <v>344.17</v>
      </c>
      <c r="E52" s="82">
        <v>410.55</v>
      </c>
    </row>
    <row r="53" spans="2:7" ht="13.5" customHeight="1" thickBot="1">
      <c r="B53" s="224" t="s">
        <v>9</v>
      </c>
      <c r="C53" s="225" t="s">
        <v>41</v>
      </c>
      <c r="D53" s="254">
        <v>343.7</v>
      </c>
      <c r="E53" s="167">
        <v>407.76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430340.52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430340.52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430340.52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430340.52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7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1"/>
      <c r="C4" s="151"/>
      <c r="D4" s="151"/>
      <c r="E4" s="151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263</v>
      </c>
      <c r="C6" s="334"/>
      <c r="D6" s="334"/>
      <c r="E6" s="334"/>
    </row>
    <row r="7" spans="2:12" ht="14.25">
      <c r="B7" s="150"/>
      <c r="C7" s="150"/>
      <c r="D7" s="150"/>
      <c r="E7" s="150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2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2657924.13</v>
      </c>
      <c r="E11" s="9">
        <f>E12</f>
        <v>1745381.86</v>
      </c>
    </row>
    <row r="12" spans="2:12">
      <c r="B12" s="209" t="s">
        <v>4</v>
      </c>
      <c r="C12" s="210" t="s">
        <v>5</v>
      </c>
      <c r="D12" s="297">
        <v>2657924.13</v>
      </c>
      <c r="E12" s="95">
        <v>1745381.86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2657924.13</v>
      </c>
      <c r="E21" s="165">
        <f>E11</f>
        <v>1745381.86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2775927.2</v>
      </c>
      <c r="E26" s="112">
        <f>D21</f>
        <v>2657924.13</v>
      </c>
      <c r="G26" s="81"/>
    </row>
    <row r="27" spans="2:11">
      <c r="B27" s="10" t="s">
        <v>17</v>
      </c>
      <c r="C27" s="11" t="s">
        <v>217</v>
      </c>
      <c r="D27" s="245">
        <v>-74651.949999999953</v>
      </c>
      <c r="E27" s="269">
        <f>E28-E32</f>
        <v>-971225.24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383057.95</v>
      </c>
      <c r="E28" s="284">
        <f>SUM(E29:E31)</f>
        <v>46588.789999999994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338033.82</v>
      </c>
      <c r="E29" s="286">
        <v>11228.66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45024.13</v>
      </c>
      <c r="E31" s="286">
        <v>35360.129999999997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457709.89999999997</v>
      </c>
      <c r="E32" s="284">
        <f>SUM(E33:E39)</f>
        <v>1017814.03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311185.61</v>
      </c>
      <c r="E33" s="286">
        <v>104912.78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1900.92</v>
      </c>
      <c r="E35" s="286">
        <v>2128.11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53090.43</v>
      </c>
      <c r="E37" s="286">
        <v>35720.230000000003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91532.94</v>
      </c>
      <c r="E39" s="288">
        <v>875052.91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-43351.12</v>
      </c>
      <c r="E40" s="115">
        <v>58682.97</v>
      </c>
      <c r="G40" s="81"/>
    </row>
    <row r="41" spans="2:10" ht="13.5" thickBot="1">
      <c r="B41" s="116" t="s">
        <v>37</v>
      </c>
      <c r="C41" s="117" t="s">
        <v>38</v>
      </c>
      <c r="D41" s="249">
        <v>2657924.13</v>
      </c>
      <c r="E41" s="165">
        <f>E26+E27+E40</f>
        <v>1745381.8599999999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9983.1949999999997</v>
      </c>
      <c r="E47" s="166">
        <v>9696.9140000000007</v>
      </c>
      <c r="G47" s="77"/>
    </row>
    <row r="48" spans="2:10">
      <c r="B48" s="222" t="s">
        <v>6</v>
      </c>
      <c r="C48" s="223" t="s">
        <v>41</v>
      </c>
      <c r="D48" s="251">
        <v>9696.9140000000007</v>
      </c>
      <c r="E48" s="166">
        <v>6167.6450000000004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278.06</v>
      </c>
      <c r="E50" s="166">
        <v>274.10000000000002</v>
      </c>
      <c r="G50" s="208"/>
    </row>
    <row r="51" spans="2:7">
      <c r="B51" s="220" t="s">
        <v>6</v>
      </c>
      <c r="C51" s="221" t="s">
        <v>220</v>
      </c>
      <c r="D51" s="253">
        <v>272.52</v>
      </c>
      <c r="E51" s="82">
        <v>273.12</v>
      </c>
      <c r="G51" s="208"/>
    </row>
    <row r="52" spans="2:7">
      <c r="B52" s="220" t="s">
        <v>8</v>
      </c>
      <c r="C52" s="221" t="s">
        <v>221</v>
      </c>
      <c r="D52" s="253">
        <v>283.82</v>
      </c>
      <c r="E52" s="82">
        <v>283.17</v>
      </c>
    </row>
    <row r="53" spans="2:7" ht="14.25" customHeight="1" thickBot="1">
      <c r="B53" s="224" t="s">
        <v>9</v>
      </c>
      <c r="C53" s="225" t="s">
        <v>41</v>
      </c>
      <c r="D53" s="254">
        <v>274.10000000000002</v>
      </c>
      <c r="E53" s="167">
        <v>282.99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1745381.86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1745381.86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1745381.86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1745381.86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000000000000004" right="0.75" top="0.56000000000000005" bottom="0.47" header="0.5" footer="0.5"/>
  <pageSetup paperSize="9" scale="7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20.7109375" customWidth="1"/>
    <col min="9" max="9" width="13.28515625" customWidth="1"/>
    <col min="10" max="10" width="14.140625" customWidth="1"/>
    <col min="11" max="11" width="7.7109375" customWidth="1"/>
    <col min="12" max="12" width="12.42578125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99"/>
      <c r="C4" s="99"/>
      <c r="D4" s="99"/>
      <c r="E4" s="99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100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0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47370249.57</v>
      </c>
      <c r="E11" s="9">
        <f>E12+E13+E14</f>
        <v>63431122.060000002</v>
      </c>
    </row>
    <row r="12" spans="2:12">
      <c r="B12" s="123" t="s">
        <v>4</v>
      </c>
      <c r="C12" s="6" t="s">
        <v>5</v>
      </c>
      <c r="D12" s="297">
        <v>47130782.640000001</v>
      </c>
      <c r="E12" s="95">
        <f>63768234.49-508236.08</f>
        <v>63259998.410000004</v>
      </c>
    </row>
    <row r="13" spans="2:12">
      <c r="B13" s="123" t="s">
        <v>6</v>
      </c>
      <c r="C13" s="72" t="s">
        <v>7</v>
      </c>
      <c r="D13" s="297">
        <v>71.91</v>
      </c>
      <c r="E13" s="95"/>
    </row>
    <row r="14" spans="2:12">
      <c r="B14" s="123" t="s">
        <v>8</v>
      </c>
      <c r="C14" s="72" t="s">
        <v>10</v>
      </c>
      <c r="D14" s="297">
        <v>239395.02</v>
      </c>
      <c r="E14" s="95">
        <f>E15</f>
        <v>171123.65000000002</v>
      </c>
    </row>
    <row r="15" spans="2:12">
      <c r="B15" s="123" t="s">
        <v>212</v>
      </c>
      <c r="C15" s="72" t="s">
        <v>11</v>
      </c>
      <c r="D15" s="297">
        <v>239395.02</v>
      </c>
      <c r="E15" s="95">
        <v>171123.65000000002</v>
      </c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>
        <v>19902.04</v>
      </c>
      <c r="E17" s="107">
        <f>SUM(E18:E19)</f>
        <v>31619.93</v>
      </c>
    </row>
    <row r="18" spans="2:11">
      <c r="B18" s="123" t="s">
        <v>4</v>
      </c>
      <c r="C18" s="6" t="s">
        <v>11</v>
      </c>
      <c r="D18" s="297">
        <v>19902.04</v>
      </c>
      <c r="E18" s="96">
        <v>31619.93</v>
      </c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47350347.530000001</v>
      </c>
      <c r="E21" s="165">
        <f>E11-E17</f>
        <v>63399502.130000003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7.25" customHeight="1" thickBot="1">
      <c r="B24" s="335" t="s">
        <v>211</v>
      </c>
      <c r="C24" s="345"/>
      <c r="D24" s="345"/>
      <c r="E24" s="345"/>
    </row>
    <row r="25" spans="2:11" ht="13.5" thickBot="1">
      <c r="B25" s="100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20723782.070000004</v>
      </c>
      <c r="E26" s="112">
        <f>D21</f>
        <v>47350347.530000001</v>
      </c>
      <c r="G26" s="81"/>
    </row>
    <row r="27" spans="2:11">
      <c r="B27" s="10" t="s">
        <v>17</v>
      </c>
      <c r="C27" s="11" t="s">
        <v>217</v>
      </c>
      <c r="D27" s="245">
        <v>26023541.379999999</v>
      </c>
      <c r="E27" s="269">
        <f>E28-E32</f>
        <v>14618603.360000001</v>
      </c>
      <c r="F27" s="77"/>
      <c r="G27" s="81"/>
      <c r="H27" s="77"/>
      <c r="I27" s="81"/>
      <c r="J27" s="81"/>
    </row>
    <row r="28" spans="2:11">
      <c r="B28" s="10" t="s">
        <v>18</v>
      </c>
      <c r="C28" s="11" t="s">
        <v>19</v>
      </c>
      <c r="D28" s="245">
        <v>34936100.609999999</v>
      </c>
      <c r="E28" s="284">
        <f>SUM(E29:E31)</f>
        <v>26232462.440000001</v>
      </c>
      <c r="F28" s="77"/>
      <c r="G28" s="77"/>
      <c r="H28" s="77"/>
      <c r="I28" s="81"/>
      <c r="J28" s="81"/>
    </row>
    <row r="29" spans="2:11">
      <c r="B29" s="121" t="s">
        <v>4</v>
      </c>
      <c r="C29" s="6" t="s">
        <v>20</v>
      </c>
      <c r="D29" s="246">
        <v>24161188.5</v>
      </c>
      <c r="E29" s="286">
        <v>21540522.990000002</v>
      </c>
      <c r="F29" s="77"/>
      <c r="G29" s="77"/>
      <c r="H29" s="77"/>
      <c r="I29" s="81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81"/>
      <c r="J30" s="81"/>
    </row>
    <row r="31" spans="2:11">
      <c r="B31" s="121" t="s">
        <v>8</v>
      </c>
      <c r="C31" s="6" t="s">
        <v>22</v>
      </c>
      <c r="D31" s="246">
        <v>10774912.110000001</v>
      </c>
      <c r="E31" s="286">
        <v>4691939.45</v>
      </c>
      <c r="F31" s="77"/>
      <c r="G31" s="77"/>
      <c r="H31" s="77"/>
      <c r="I31" s="81"/>
      <c r="J31" s="81"/>
    </row>
    <row r="32" spans="2:11">
      <c r="B32" s="106" t="s">
        <v>23</v>
      </c>
      <c r="C32" s="12" t="s">
        <v>24</v>
      </c>
      <c r="D32" s="245">
        <v>8912559.2300000004</v>
      </c>
      <c r="E32" s="284">
        <f>SUM(E33:E39)</f>
        <v>11613859.08</v>
      </c>
      <c r="F32" s="77"/>
      <c r="G32" s="81"/>
      <c r="H32" s="77"/>
      <c r="I32" s="81"/>
      <c r="J32" s="81"/>
    </row>
    <row r="33" spans="2:10">
      <c r="B33" s="121" t="s">
        <v>4</v>
      </c>
      <c r="C33" s="6" t="s">
        <v>25</v>
      </c>
      <c r="D33" s="246">
        <v>6035068.7999999998</v>
      </c>
      <c r="E33" s="286">
        <f>8134106.13+325920.01</f>
        <v>8460026.1400000006</v>
      </c>
      <c r="F33" s="77"/>
      <c r="G33" s="77"/>
      <c r="H33" s="77"/>
      <c r="I33" s="81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81"/>
      <c r="J34" s="81"/>
    </row>
    <row r="35" spans="2:10">
      <c r="B35" s="121" t="s">
        <v>8</v>
      </c>
      <c r="C35" s="6" t="s">
        <v>27</v>
      </c>
      <c r="D35" s="246">
        <v>877433.10000000009</v>
      </c>
      <c r="E35" s="286">
        <v>1200920.8399999999</v>
      </c>
      <c r="F35" s="77"/>
      <c r="G35" s="77"/>
      <c r="H35" s="77"/>
      <c r="I35" s="81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81"/>
      <c r="J36" s="81"/>
    </row>
    <row r="37" spans="2:10" ht="25.5">
      <c r="B37" s="121" t="s">
        <v>29</v>
      </c>
      <c r="C37" s="6" t="s">
        <v>30</v>
      </c>
      <c r="D37" s="246"/>
      <c r="E37" s="286"/>
      <c r="F37" s="77"/>
      <c r="G37" s="77"/>
      <c r="H37" s="77"/>
      <c r="I37" s="81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81"/>
      <c r="J38" s="81"/>
    </row>
    <row r="39" spans="2:10">
      <c r="B39" s="122" t="s">
        <v>33</v>
      </c>
      <c r="C39" s="13" t="s">
        <v>34</v>
      </c>
      <c r="D39" s="247">
        <v>2000057.33</v>
      </c>
      <c r="E39" s="288">
        <v>1952912.1</v>
      </c>
      <c r="F39" s="77"/>
      <c r="G39" s="77"/>
      <c r="H39" s="77"/>
      <c r="I39" s="81"/>
      <c r="J39" s="81"/>
    </row>
    <row r="40" spans="2:10" ht="13.5" thickBot="1">
      <c r="B40" s="113" t="s">
        <v>35</v>
      </c>
      <c r="C40" s="114" t="s">
        <v>36</v>
      </c>
      <c r="D40" s="248">
        <v>603024.08000000007</v>
      </c>
      <c r="E40" s="115">
        <v>1430551.24</v>
      </c>
      <c r="G40" s="81"/>
    </row>
    <row r="41" spans="2:10" ht="13.5" thickBot="1">
      <c r="B41" s="116" t="s">
        <v>37</v>
      </c>
      <c r="C41" s="117" t="s">
        <v>38</v>
      </c>
      <c r="D41" s="249">
        <v>47350347.530000001</v>
      </c>
      <c r="E41" s="165">
        <f>E26+E27+E40</f>
        <v>63399502.130000003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7.25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0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1929194.7215</v>
      </c>
      <c r="E47" s="80">
        <v>4327373.3824351626</v>
      </c>
      <c r="G47" s="228"/>
    </row>
    <row r="48" spans="2:10">
      <c r="B48" s="140" t="s">
        <v>6</v>
      </c>
      <c r="C48" s="23" t="s">
        <v>41</v>
      </c>
      <c r="D48" s="251">
        <v>4327373.3824351626</v>
      </c>
      <c r="E48" s="80">
        <v>5647151.1624999996</v>
      </c>
      <c r="G48" s="231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10.742193019213</v>
      </c>
      <c r="E50" s="80">
        <v>10.9420526830884</v>
      </c>
      <c r="G50" s="261"/>
    </row>
    <row r="51" spans="2:7">
      <c r="B51" s="119" t="s">
        <v>6</v>
      </c>
      <c r="C51" s="16" t="s">
        <v>220</v>
      </c>
      <c r="D51" s="256">
        <v>10.738200000000001</v>
      </c>
      <c r="E51" s="268">
        <v>10.9329</v>
      </c>
      <c r="G51" s="208"/>
    </row>
    <row r="52" spans="2:7" ht="12.75" customHeight="1">
      <c r="B52" s="119" t="s">
        <v>8</v>
      </c>
      <c r="C52" s="16" t="s">
        <v>221</v>
      </c>
      <c r="D52" s="256">
        <v>10.9573</v>
      </c>
      <c r="E52" s="268">
        <v>11.227499999999999</v>
      </c>
    </row>
    <row r="53" spans="2:7" ht="13.5" thickBot="1">
      <c r="B53" s="120" t="s">
        <v>9</v>
      </c>
      <c r="C53" s="18" t="s">
        <v>41</v>
      </c>
      <c r="D53" s="254">
        <v>10.9420526830884</v>
      </c>
      <c r="E53" s="301">
        <v>11.2268115914646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SUM(D59:D70)</f>
        <v>63259998.410000004</v>
      </c>
      <c r="E58" s="33">
        <f>D58/E21</f>
        <v>0.99779960858818817</v>
      </c>
    </row>
    <row r="59" spans="2:7" ht="25.5">
      <c r="B59" s="22" t="s">
        <v>4</v>
      </c>
      <c r="C59" s="23" t="s">
        <v>44</v>
      </c>
      <c r="D59" s="90">
        <v>0</v>
      </c>
      <c r="E59" s="91">
        <v>0</v>
      </c>
    </row>
    <row r="60" spans="2:7" ht="24" customHeight="1">
      <c r="B60" s="15" t="s">
        <v>6</v>
      </c>
      <c r="C60" s="16" t="s">
        <v>45</v>
      </c>
      <c r="D60" s="88">
        <v>0</v>
      </c>
      <c r="E60" s="89">
        <v>0</v>
      </c>
    </row>
    <row r="61" spans="2:7">
      <c r="B61" s="15" t="s">
        <v>8</v>
      </c>
      <c r="C61" s="16" t="s">
        <v>46</v>
      </c>
      <c r="D61" s="88">
        <v>0</v>
      </c>
      <c r="E61" s="89">
        <v>0</v>
      </c>
    </row>
    <row r="62" spans="2:7">
      <c r="B62" s="15" t="s">
        <v>9</v>
      </c>
      <c r="C62" s="16" t="s">
        <v>47</v>
      </c>
      <c r="D62" s="88">
        <v>0</v>
      </c>
      <c r="E62" s="89">
        <v>0</v>
      </c>
    </row>
    <row r="63" spans="2:7">
      <c r="B63" s="15" t="s">
        <v>29</v>
      </c>
      <c r="C63" s="16" t="s">
        <v>48</v>
      </c>
      <c r="D63" s="88">
        <v>0</v>
      </c>
      <c r="E63" s="89">
        <v>0</v>
      </c>
    </row>
    <row r="64" spans="2:7">
      <c r="B64" s="22" t="s">
        <v>31</v>
      </c>
      <c r="C64" s="23" t="s">
        <v>49</v>
      </c>
      <c r="D64" s="90">
        <f>63419138.74-508236.08</f>
        <v>62910902.660000004</v>
      </c>
      <c r="E64" s="91">
        <f>D64/E21</f>
        <v>0.99229332323465047</v>
      </c>
    </row>
    <row r="65" spans="2:5">
      <c r="B65" s="22" t="s">
        <v>33</v>
      </c>
      <c r="C65" s="23" t="s">
        <v>224</v>
      </c>
      <c r="D65" s="90">
        <v>0</v>
      </c>
      <c r="E65" s="91">
        <v>0</v>
      </c>
    </row>
    <row r="66" spans="2:5">
      <c r="B66" s="22" t="s">
        <v>50</v>
      </c>
      <c r="C66" s="23" t="s">
        <v>51</v>
      </c>
      <c r="D66" s="90">
        <v>0</v>
      </c>
      <c r="E66" s="91">
        <v>0</v>
      </c>
    </row>
    <row r="67" spans="2:5">
      <c r="B67" s="15" t="s">
        <v>52</v>
      </c>
      <c r="C67" s="16" t="s">
        <v>53</v>
      </c>
      <c r="D67" s="88">
        <v>0</v>
      </c>
      <c r="E67" s="89">
        <v>0</v>
      </c>
    </row>
    <row r="68" spans="2:5">
      <c r="B68" s="15" t="s">
        <v>54</v>
      </c>
      <c r="C68" s="16" t="s">
        <v>55</v>
      </c>
      <c r="D68" s="88">
        <v>0</v>
      </c>
      <c r="E68" s="89">
        <v>0</v>
      </c>
    </row>
    <row r="69" spans="2:5">
      <c r="B69" s="15" t="s">
        <v>56</v>
      </c>
      <c r="C69" s="16" t="s">
        <v>57</v>
      </c>
      <c r="D69" s="88">
        <v>349095.75</v>
      </c>
      <c r="E69" s="89">
        <f>D69/E21</f>
        <v>5.5062853535376806E-3</v>
      </c>
    </row>
    <row r="70" spans="2:5">
      <c r="B70" s="129" t="s">
        <v>58</v>
      </c>
      <c r="C70" s="130" t="s">
        <v>59</v>
      </c>
      <c r="D70" s="131">
        <v>0</v>
      </c>
      <c r="E70" s="132">
        <v>0</v>
      </c>
    </row>
    <row r="71" spans="2:5">
      <c r="B71" s="137" t="s">
        <v>23</v>
      </c>
      <c r="C71" s="138" t="s">
        <v>61</v>
      </c>
      <c r="D71" s="139">
        <f>E13</f>
        <v>0</v>
      </c>
      <c r="E71" s="70">
        <v>0</v>
      </c>
    </row>
    <row r="72" spans="2:5">
      <c r="B72" s="133" t="s">
        <v>60</v>
      </c>
      <c r="C72" s="134" t="s">
        <v>63</v>
      </c>
      <c r="D72" s="135">
        <f>E14</f>
        <v>171123.65000000002</v>
      </c>
      <c r="E72" s="136">
        <f>D72/E21</f>
        <v>2.6991323945906201E-3</v>
      </c>
    </row>
    <row r="73" spans="2:5">
      <c r="B73" s="24" t="s">
        <v>62</v>
      </c>
      <c r="C73" s="25" t="s">
        <v>65</v>
      </c>
      <c r="D73" s="26">
        <f>E17</f>
        <v>31619.93</v>
      </c>
      <c r="E73" s="27">
        <f>D73/E21</f>
        <v>4.9874098277875542E-4</v>
      </c>
    </row>
    <row r="74" spans="2:5">
      <c r="B74" s="137" t="s">
        <v>64</v>
      </c>
      <c r="C74" s="138" t="s">
        <v>66</v>
      </c>
      <c r="D74" s="139">
        <f>D58+D71+D72-D73</f>
        <v>63399502.130000003</v>
      </c>
      <c r="E74" s="70">
        <f>E58+E72-E73</f>
        <v>1</v>
      </c>
    </row>
    <row r="75" spans="2:5">
      <c r="B75" s="15" t="s">
        <v>4</v>
      </c>
      <c r="C75" s="16" t="s">
        <v>67</v>
      </c>
      <c r="D75" s="88">
        <f>D74</f>
        <v>63399502.130000003</v>
      </c>
      <c r="E75" s="89">
        <f>E74</f>
        <v>1</v>
      </c>
    </row>
    <row r="76" spans="2:5">
      <c r="B76" s="15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7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" right="0.75" top="0.61" bottom="0.55000000000000004" header="0.5" footer="0.5"/>
  <pageSetup paperSize="9" scale="70" orientation="portrait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8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5"/>
      <c r="C4" s="155"/>
      <c r="D4" s="155"/>
      <c r="E4" s="155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264</v>
      </c>
      <c r="C6" s="334"/>
      <c r="D6" s="334"/>
      <c r="E6" s="334"/>
    </row>
    <row r="7" spans="2:12" ht="14.25">
      <c r="B7" s="153"/>
      <c r="C7" s="153"/>
      <c r="D7" s="153"/>
      <c r="E7" s="15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4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2109066.27</v>
      </c>
      <c r="E11" s="9">
        <f>E12</f>
        <v>430933.32</v>
      </c>
    </row>
    <row r="12" spans="2:12">
      <c r="B12" s="209" t="s">
        <v>4</v>
      </c>
      <c r="C12" s="210" t="s">
        <v>5</v>
      </c>
      <c r="D12" s="297">
        <v>2109066.27</v>
      </c>
      <c r="E12" s="95">
        <f>430965.83-32.51</f>
        <v>430933.32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2109066.27</v>
      </c>
      <c r="E21" s="165">
        <f>E11-E17</f>
        <v>430933.32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1226011.1200000001</v>
      </c>
      <c r="E26" s="112">
        <f>D21</f>
        <v>2109066.27</v>
      </c>
      <c r="G26" s="81"/>
    </row>
    <row r="27" spans="2:11">
      <c r="B27" s="10" t="s">
        <v>17</v>
      </c>
      <c r="C27" s="11" t="s">
        <v>217</v>
      </c>
      <c r="D27" s="245">
        <v>864227.58000000007</v>
      </c>
      <c r="E27" s="269">
        <f>E28-E32</f>
        <v>-1701098.8800000001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1626715.53</v>
      </c>
      <c r="E28" s="284">
        <f>SUM(E29:E31)</f>
        <v>159748.9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117482.42</v>
      </c>
      <c r="E29" s="286">
        <v>28712.2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1509233.11</v>
      </c>
      <c r="E31" s="286">
        <v>131036.7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762487.95</v>
      </c>
      <c r="E32" s="284">
        <f>SUM(E33:E39)</f>
        <v>1860847.78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194669.6</v>
      </c>
      <c r="E33" s="286">
        <f>1361485.18+0.71</f>
        <v>1361485.89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3841.59</v>
      </c>
      <c r="E35" s="286">
        <v>3819.37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30862</v>
      </c>
      <c r="E37" s="286">
        <v>19980.34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533114.76</v>
      </c>
      <c r="E39" s="288">
        <v>475562.18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18827.57</v>
      </c>
      <c r="E40" s="115">
        <v>22965.93</v>
      </c>
      <c r="G40" s="81"/>
    </row>
    <row r="41" spans="2:10" ht="13.5" thickBot="1">
      <c r="B41" s="116" t="s">
        <v>37</v>
      </c>
      <c r="C41" s="117" t="s">
        <v>38</v>
      </c>
      <c r="D41" s="249">
        <v>2109066.27</v>
      </c>
      <c r="E41" s="165">
        <f>E26+E27+E40</f>
        <v>430933.31999999989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54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4678.8959999999997</v>
      </c>
      <c r="E47" s="166">
        <v>7959.0410000000002</v>
      </c>
      <c r="G47" s="77"/>
    </row>
    <row r="48" spans="2:10">
      <c r="B48" s="140" t="s">
        <v>6</v>
      </c>
      <c r="C48" s="23" t="s">
        <v>41</v>
      </c>
      <c r="D48" s="251">
        <v>7959.0410000000002</v>
      </c>
      <c r="E48" s="166">
        <v>1590.5119999999999</v>
      </c>
      <c r="G48" s="1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119" t="s">
        <v>4</v>
      </c>
      <c r="C50" s="16" t="s">
        <v>40</v>
      </c>
      <c r="D50" s="250">
        <v>262.02999999999997</v>
      </c>
      <c r="E50" s="166">
        <v>264.99</v>
      </c>
      <c r="G50" s="208"/>
    </row>
    <row r="51" spans="2:7">
      <c r="B51" s="119" t="s">
        <v>6</v>
      </c>
      <c r="C51" s="16" t="s">
        <v>220</v>
      </c>
      <c r="D51" s="253">
        <v>262.03000000000003</v>
      </c>
      <c r="E51" s="166">
        <v>264.95999999999998</v>
      </c>
      <c r="G51" s="208"/>
    </row>
    <row r="52" spans="2:7">
      <c r="B52" s="119" t="s">
        <v>8</v>
      </c>
      <c r="C52" s="16" t="s">
        <v>221</v>
      </c>
      <c r="D52" s="253">
        <v>264.99</v>
      </c>
      <c r="E52" s="82">
        <v>270.94</v>
      </c>
    </row>
    <row r="53" spans="2:7" ht="13.5" customHeight="1" thickBot="1">
      <c r="B53" s="120" t="s">
        <v>9</v>
      </c>
      <c r="C53" s="18" t="s">
        <v>41</v>
      </c>
      <c r="D53" s="254">
        <v>264.99</v>
      </c>
      <c r="E53" s="167">
        <v>270.94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430933.32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E12</f>
        <v>430933.32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47" t="s">
        <v>64</v>
      </c>
      <c r="C74" s="138" t="s">
        <v>66</v>
      </c>
      <c r="D74" s="139">
        <f>D58-D73</f>
        <v>430933.32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430933.32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9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H2" s="178"/>
      <c r="I2" s="178"/>
      <c r="J2" s="178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5"/>
      <c r="C4" s="155"/>
      <c r="D4" s="155"/>
      <c r="E4" s="155"/>
    </row>
    <row r="5" spans="2:12" ht="21" customHeight="1">
      <c r="B5" s="333" t="s">
        <v>1</v>
      </c>
      <c r="C5" s="333"/>
      <c r="D5" s="333"/>
      <c r="E5" s="333"/>
      <c r="H5" s="178"/>
      <c r="I5" s="178"/>
      <c r="J5" s="178"/>
    </row>
    <row r="6" spans="2:12" ht="14.25">
      <c r="B6" s="334" t="s">
        <v>265</v>
      </c>
      <c r="C6" s="334"/>
      <c r="D6" s="334"/>
      <c r="E6" s="334"/>
    </row>
    <row r="7" spans="2:12" ht="14.25">
      <c r="B7" s="153"/>
      <c r="C7" s="153"/>
      <c r="D7" s="153"/>
      <c r="E7" s="15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4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221682.71</v>
      </c>
      <c r="E11" s="9">
        <f>E12</f>
        <v>199320.57</v>
      </c>
    </row>
    <row r="12" spans="2:12">
      <c r="B12" s="209" t="s">
        <v>4</v>
      </c>
      <c r="C12" s="210" t="s">
        <v>5</v>
      </c>
      <c r="D12" s="297">
        <v>221682.71</v>
      </c>
      <c r="E12" s="95">
        <v>199320.57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221682.71</v>
      </c>
      <c r="E21" s="165">
        <f>E11</f>
        <v>199320.57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231061.05</v>
      </c>
      <c r="E26" s="112">
        <f>D21</f>
        <v>221682.71</v>
      </c>
      <c r="G26" s="81"/>
    </row>
    <row r="27" spans="2:11">
      <c r="B27" s="10" t="s">
        <v>17</v>
      </c>
      <c r="C27" s="11" t="s">
        <v>217</v>
      </c>
      <c r="D27" s="245">
        <v>-4275.1200000000026</v>
      </c>
      <c r="E27" s="269">
        <f>E28-E32</f>
        <v>-35941.369999999995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27775.1</v>
      </c>
      <c r="E28" s="284">
        <f>SUM(E29:E31)</f>
        <v>7882.69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8213.25</v>
      </c>
      <c r="E29" s="286">
        <v>7882.69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19561.849999999999</v>
      </c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32050.22</v>
      </c>
      <c r="E32" s="284">
        <f>SUM(E33:E39)</f>
        <v>43824.06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2341.4499999999998</v>
      </c>
      <c r="E33" s="286">
        <v>17443.7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679.25</v>
      </c>
      <c r="E35" s="286">
        <v>588.24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4100.79</v>
      </c>
      <c r="E37" s="286">
        <v>3571.46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24928.73</v>
      </c>
      <c r="E39" s="288">
        <v>22220.66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-5103.22</v>
      </c>
      <c r="E40" s="115">
        <v>13579.23</v>
      </c>
      <c r="G40" s="81"/>
    </row>
    <row r="41" spans="2:10" ht="13.5" thickBot="1">
      <c r="B41" s="116" t="s">
        <v>37</v>
      </c>
      <c r="C41" s="117" t="s">
        <v>38</v>
      </c>
      <c r="D41" s="249">
        <v>221682.71</v>
      </c>
      <c r="E41" s="165">
        <f>E26+E27+E40</f>
        <v>199320.57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1070.173</v>
      </c>
      <c r="E47" s="166">
        <v>1049.038</v>
      </c>
      <c r="G47" s="77"/>
    </row>
    <row r="48" spans="2:10">
      <c r="B48" s="222" t="s">
        <v>6</v>
      </c>
      <c r="C48" s="223" t="s">
        <v>41</v>
      </c>
      <c r="D48" s="251">
        <v>1049.038</v>
      </c>
      <c r="E48" s="166">
        <v>884.88599999999997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215.91</v>
      </c>
      <c r="E50" s="166">
        <v>211.32</v>
      </c>
      <c r="G50" s="208"/>
    </row>
    <row r="51" spans="2:7">
      <c r="B51" s="220" t="s">
        <v>6</v>
      </c>
      <c r="C51" s="221" t="s">
        <v>220</v>
      </c>
      <c r="D51" s="253">
        <v>208.6</v>
      </c>
      <c r="E51" s="82">
        <v>211.32</v>
      </c>
      <c r="G51" s="208"/>
    </row>
    <row r="52" spans="2:7">
      <c r="B52" s="220" t="s">
        <v>8</v>
      </c>
      <c r="C52" s="221" t="s">
        <v>221</v>
      </c>
      <c r="D52" s="253">
        <v>230.86</v>
      </c>
      <c r="E52" s="82">
        <v>228.05</v>
      </c>
    </row>
    <row r="53" spans="2:7" ht="13.5" thickBot="1">
      <c r="B53" s="224" t="s">
        <v>9</v>
      </c>
      <c r="C53" s="225" t="s">
        <v>41</v>
      </c>
      <c r="D53" s="254">
        <v>211.32</v>
      </c>
      <c r="E53" s="167">
        <v>225.25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199320.57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24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199320.57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199320.57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199320.57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000000000000005" right="0.75" top="0.53" bottom="0.55000000000000004" header="0.5" footer="0.5"/>
  <pageSetup paperSize="9" scale="70" orientation="portrait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0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22.28515625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5"/>
      <c r="C4" s="155"/>
      <c r="D4" s="155"/>
      <c r="E4" s="155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77</v>
      </c>
      <c r="C6" s="334"/>
      <c r="D6" s="334"/>
      <c r="E6" s="334"/>
    </row>
    <row r="7" spans="2:12" ht="14.25">
      <c r="B7" s="153"/>
      <c r="C7" s="153"/>
      <c r="D7" s="153"/>
      <c r="E7" s="15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4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29956217.23</v>
      </c>
      <c r="E11" s="9">
        <f>E12</f>
        <v>30808873.649999999</v>
      </c>
    </row>
    <row r="12" spans="2:12">
      <c r="B12" s="209" t="s">
        <v>4</v>
      </c>
      <c r="C12" s="210" t="s">
        <v>5</v>
      </c>
      <c r="D12" s="297">
        <v>29956217.23</v>
      </c>
      <c r="E12" s="320">
        <v>30808873.649999999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29956217.23</v>
      </c>
      <c r="E21" s="165">
        <f>E11</f>
        <v>30808873.649999999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0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27589233.719999999</v>
      </c>
      <c r="E26" s="112">
        <f>D21</f>
        <v>29956217.23</v>
      </c>
      <c r="G26" s="81"/>
    </row>
    <row r="27" spans="2:11">
      <c r="B27" s="10" t="s">
        <v>17</v>
      </c>
      <c r="C27" s="11" t="s">
        <v>217</v>
      </c>
      <c r="D27" s="245">
        <v>-1375714.9499999997</v>
      </c>
      <c r="E27" s="269">
        <f>E28-E32</f>
        <v>-3686447.0399999996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3862178.65</v>
      </c>
      <c r="E28" s="284">
        <f>SUM(E29:E31)</f>
        <v>3052525.22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3862178.65</v>
      </c>
      <c r="E29" s="286">
        <v>3052525.22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5237893.5999999996</v>
      </c>
      <c r="E32" s="284">
        <f>SUM(E33:E39)</f>
        <v>6738972.2599999998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5237893.5999999996</v>
      </c>
      <c r="E33" s="286">
        <v>6738972.2599999998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/>
      <c r="E35" s="286"/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/>
      <c r="E37" s="286"/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3742698.46</v>
      </c>
      <c r="E40" s="115">
        <v>4539103.46</v>
      </c>
      <c r="G40" s="81"/>
    </row>
    <row r="41" spans="2:10" ht="13.5" thickBot="1">
      <c r="B41" s="116" t="s">
        <v>37</v>
      </c>
      <c r="C41" s="117" t="s">
        <v>38</v>
      </c>
      <c r="D41" s="249">
        <v>29956217.23</v>
      </c>
      <c r="E41" s="165">
        <f>E26+E27+E40</f>
        <v>30808873.650000002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54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1788802.2483000001</v>
      </c>
      <c r="E47" s="166">
        <v>1707714.6018000001</v>
      </c>
      <c r="G47" s="77"/>
    </row>
    <row r="48" spans="2:10">
      <c r="B48" s="140" t="s">
        <v>6</v>
      </c>
      <c r="C48" s="23" t="s">
        <v>41</v>
      </c>
      <c r="D48" s="251">
        <v>1707714.6018000001</v>
      </c>
      <c r="E48" s="166">
        <v>1503025.8537999999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119" t="s">
        <v>4</v>
      </c>
      <c r="C50" s="16" t="s">
        <v>40</v>
      </c>
      <c r="D50" s="250">
        <v>15.423299999999999</v>
      </c>
      <c r="E50" s="166">
        <v>17.541699999999999</v>
      </c>
      <c r="G50" s="208"/>
    </row>
    <row r="51" spans="2:7">
      <c r="B51" s="119" t="s">
        <v>6</v>
      </c>
      <c r="C51" s="16" t="s">
        <v>220</v>
      </c>
      <c r="D51" s="253">
        <v>15.141200000000001</v>
      </c>
      <c r="E51" s="82">
        <v>16.956099999999999</v>
      </c>
      <c r="G51" s="208"/>
    </row>
    <row r="52" spans="2:7">
      <c r="B52" s="119" t="s">
        <v>8</v>
      </c>
      <c r="C52" s="16" t="s">
        <v>221</v>
      </c>
      <c r="D52" s="253">
        <v>20.031099999999999</v>
      </c>
      <c r="E52" s="82">
        <v>20.759799999999998</v>
      </c>
    </row>
    <row r="53" spans="2:7" ht="13.5" customHeight="1" thickBot="1">
      <c r="B53" s="120" t="s">
        <v>9</v>
      </c>
      <c r="C53" s="18" t="s">
        <v>41</v>
      </c>
      <c r="D53" s="254">
        <v>17.541699999999999</v>
      </c>
      <c r="E53" s="167">
        <v>20.497900000000001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30808873.649999999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30808873.649999999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30808873.649999999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30808873.649999999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000000000000005" right="0.75" top="0.62" bottom="0.52" header="0.5" footer="0.5"/>
  <pageSetup paperSize="9" scale="70" orientation="portrait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1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5"/>
      <c r="C4" s="155"/>
      <c r="D4" s="155"/>
      <c r="E4" s="155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78</v>
      </c>
      <c r="C6" s="334"/>
      <c r="D6" s="334"/>
      <c r="E6" s="334"/>
    </row>
    <row r="7" spans="2:12" ht="14.25">
      <c r="B7" s="153"/>
      <c r="C7" s="153"/>
      <c r="D7" s="153"/>
      <c r="E7" s="15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4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43513565.350000001</v>
      </c>
      <c r="E11" s="9">
        <f>E12</f>
        <v>43851822.480000004</v>
      </c>
    </row>
    <row r="12" spans="2:12">
      <c r="B12" s="209" t="s">
        <v>4</v>
      </c>
      <c r="C12" s="210" t="s">
        <v>5</v>
      </c>
      <c r="D12" s="297">
        <v>43513565.350000001</v>
      </c>
      <c r="E12" s="95">
        <f>43901375.67-49553.19</f>
        <v>43851822.480000004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43513565.350000001</v>
      </c>
      <c r="E21" s="165">
        <f>E11-E17</f>
        <v>43851822.480000004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40134178.359999999</v>
      </c>
      <c r="E26" s="112">
        <f>D21</f>
        <v>43513565.350000001</v>
      </c>
      <c r="G26" s="81"/>
    </row>
    <row r="27" spans="2:11">
      <c r="B27" s="10" t="s">
        <v>17</v>
      </c>
      <c r="C27" s="11" t="s">
        <v>217</v>
      </c>
      <c r="D27" s="245">
        <v>-642011.22999999952</v>
      </c>
      <c r="E27" s="269">
        <f>E28-E32</f>
        <v>-3781066.2299999995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5125609.37</v>
      </c>
      <c r="E28" s="284">
        <f>SUM(E29:E31)</f>
        <v>4183851.5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5125609.37</v>
      </c>
      <c r="E29" s="286">
        <v>4183851.5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5767620.5999999996</v>
      </c>
      <c r="E32" s="284">
        <f>SUM(E33:E39)</f>
        <v>7964917.7299999995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5767620.5999999996</v>
      </c>
      <c r="E33" s="286">
        <f>7947973.52+16944.29-0.08</f>
        <v>7964917.7299999995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/>
      <c r="E35" s="286"/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/>
      <c r="E37" s="286"/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4021398.22</v>
      </c>
      <c r="E40" s="115">
        <v>4119323.36</v>
      </c>
      <c r="G40" s="81"/>
    </row>
    <row r="41" spans="2:10" ht="13.5" thickBot="1">
      <c r="B41" s="116" t="s">
        <v>37</v>
      </c>
      <c r="C41" s="117" t="s">
        <v>38</v>
      </c>
      <c r="D41" s="249">
        <v>43513565.350000001</v>
      </c>
      <c r="E41" s="165">
        <f>E26+E27+E40</f>
        <v>43851822.480000004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54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951858.89280000003</v>
      </c>
      <c r="E47" s="166">
        <v>937434.75760000001</v>
      </c>
      <c r="G47" s="77"/>
    </row>
    <row r="48" spans="2:10">
      <c r="B48" s="140" t="s">
        <v>6</v>
      </c>
      <c r="C48" s="23" t="s">
        <v>41</v>
      </c>
      <c r="D48" s="251">
        <v>937434.75760000001</v>
      </c>
      <c r="E48" s="166">
        <v>856683.36618600006</v>
      </c>
      <c r="G48" s="230"/>
    </row>
    <row r="49" spans="2:7">
      <c r="B49" s="137" t="s">
        <v>23</v>
      </c>
      <c r="C49" s="141" t="s">
        <v>219</v>
      </c>
      <c r="D49" s="252"/>
      <c r="E49" s="166"/>
      <c r="G49" s="230"/>
    </row>
    <row r="50" spans="2:7">
      <c r="B50" s="119" t="s">
        <v>4</v>
      </c>
      <c r="C50" s="16" t="s">
        <v>40</v>
      </c>
      <c r="D50" s="250">
        <v>42.164000000000001</v>
      </c>
      <c r="E50" s="166">
        <v>46.417700000000004</v>
      </c>
      <c r="G50" s="208"/>
    </row>
    <row r="51" spans="2:7">
      <c r="B51" s="119" t="s">
        <v>6</v>
      </c>
      <c r="C51" s="16" t="s">
        <v>220</v>
      </c>
      <c r="D51" s="253">
        <v>42.1496</v>
      </c>
      <c r="E51" s="82">
        <v>45.835799999999999</v>
      </c>
      <c r="G51" s="208"/>
    </row>
    <row r="52" spans="2:7">
      <c r="B52" s="119" t="s">
        <v>8</v>
      </c>
      <c r="C52" s="16" t="s">
        <v>221</v>
      </c>
      <c r="D52" s="253">
        <v>48.196899999999999</v>
      </c>
      <c r="E52" s="82">
        <v>51.54</v>
      </c>
    </row>
    <row r="53" spans="2:7" ht="12.75" customHeight="1" thickBot="1">
      <c r="B53" s="120" t="s">
        <v>9</v>
      </c>
      <c r="C53" s="18" t="s">
        <v>41</v>
      </c>
      <c r="D53" s="254">
        <v>46.417700000000004</v>
      </c>
      <c r="E53" s="167">
        <v>51.187899999999999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43851822.480000004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E12</f>
        <v>43851822.480000004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v>0</v>
      </c>
      <c r="E72" s="136">
        <v>0</v>
      </c>
    </row>
    <row r="73" spans="2:5">
      <c r="B73" s="149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47" t="s">
        <v>64</v>
      </c>
      <c r="C74" s="138" t="s">
        <v>66</v>
      </c>
      <c r="D74" s="139">
        <f>D58-D73</f>
        <v>43851822.480000004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43851822.480000004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62" bottom="0.61" header="0.5" footer="0.5"/>
  <pageSetup paperSize="9" scale="70" orientation="portrait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2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21.28515625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5"/>
      <c r="C4" s="155"/>
      <c r="D4" s="155"/>
      <c r="E4" s="155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79</v>
      </c>
      <c r="C6" s="334"/>
      <c r="D6" s="334"/>
      <c r="E6" s="334"/>
    </row>
    <row r="7" spans="2:12" ht="14.25">
      <c r="B7" s="153"/>
      <c r="C7" s="153"/>
      <c r="D7" s="153"/>
      <c r="E7" s="15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4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39215985.340000004</v>
      </c>
      <c r="E11" s="9">
        <f>E12</f>
        <v>37772087.049999997</v>
      </c>
    </row>
    <row r="12" spans="2:12">
      <c r="B12" s="209" t="s">
        <v>4</v>
      </c>
      <c r="C12" s="210" t="s">
        <v>5</v>
      </c>
      <c r="D12" s="297">
        <v>39215985.340000004</v>
      </c>
      <c r="E12" s="95">
        <f>37772087.05</f>
        <v>37772087.049999997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39215985.340000004</v>
      </c>
      <c r="E21" s="165">
        <f>E11-E17</f>
        <v>37772087.049999997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0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35414157.43</v>
      </c>
      <c r="E26" s="112">
        <f>D21</f>
        <v>39215985.340000004</v>
      </c>
      <c r="G26" s="81"/>
    </row>
    <row r="27" spans="2:11">
      <c r="B27" s="10" t="s">
        <v>17</v>
      </c>
      <c r="C27" s="11" t="s">
        <v>217</v>
      </c>
      <c r="D27" s="245">
        <v>-60238.990000000224</v>
      </c>
      <c r="E27" s="269">
        <f>E28-E32</f>
        <v>-5343478.5700000022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4434107.22</v>
      </c>
      <c r="E28" s="284">
        <f>SUM(E29:E31)</f>
        <v>3611950.17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4434107.22</v>
      </c>
      <c r="E29" s="286">
        <v>3611950.17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4494346.21</v>
      </c>
      <c r="E32" s="284">
        <f>SUM(E33:E39)</f>
        <v>8955428.7400000021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4494346.21</v>
      </c>
      <c r="E33" s="286">
        <f>8988864.96-33436.19-0.03</f>
        <v>8955428.7400000021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/>
      <c r="E35" s="286"/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/>
      <c r="E37" s="286"/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3862066.9</v>
      </c>
      <c r="E40" s="115">
        <v>3899580.28</v>
      </c>
      <c r="G40" s="81"/>
    </row>
    <row r="41" spans="2:10" ht="13.5" thickBot="1">
      <c r="B41" s="116" t="s">
        <v>37</v>
      </c>
      <c r="C41" s="117" t="s">
        <v>38</v>
      </c>
      <c r="D41" s="249">
        <v>39215985.339999996</v>
      </c>
      <c r="E41" s="165">
        <f>E26+E27+E40</f>
        <v>37772087.050000004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815196.11970000004</v>
      </c>
      <c r="E47" s="166">
        <v>813398.71070000005</v>
      </c>
      <c r="G47" s="228"/>
    </row>
    <row r="48" spans="2:10">
      <c r="B48" s="222" t="s">
        <v>6</v>
      </c>
      <c r="C48" s="223" t="s">
        <v>41</v>
      </c>
      <c r="D48" s="251">
        <v>813398.71070000005</v>
      </c>
      <c r="E48" s="166">
        <v>706206.44039999996</v>
      </c>
      <c r="G48" s="228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43.442500000000003</v>
      </c>
      <c r="E50" s="166">
        <v>48.212499999999999</v>
      </c>
      <c r="G50" s="208"/>
    </row>
    <row r="51" spans="2:7">
      <c r="B51" s="220" t="s">
        <v>6</v>
      </c>
      <c r="C51" s="221" t="s">
        <v>220</v>
      </c>
      <c r="D51" s="253">
        <v>43.399000000000001</v>
      </c>
      <c r="E51" s="82">
        <v>47.586300000000001</v>
      </c>
      <c r="G51" s="208"/>
    </row>
    <row r="52" spans="2:7">
      <c r="B52" s="220" t="s">
        <v>8</v>
      </c>
      <c r="C52" s="221" t="s">
        <v>221</v>
      </c>
      <c r="D52" s="253">
        <v>49.981400000000001</v>
      </c>
      <c r="E52" s="82">
        <v>54.131</v>
      </c>
    </row>
    <row r="53" spans="2:7" ht="13.5" customHeight="1" thickBot="1">
      <c r="B53" s="224" t="s">
        <v>9</v>
      </c>
      <c r="C53" s="225" t="s">
        <v>41</v>
      </c>
      <c r="D53" s="254">
        <v>48.212499999999999</v>
      </c>
      <c r="E53" s="167">
        <v>53.485900000000001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8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37772087.049999997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E12</f>
        <v>37772087.049999997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47" t="s">
        <v>64</v>
      </c>
      <c r="C74" s="138" t="s">
        <v>66</v>
      </c>
      <c r="D74" s="139">
        <f>D58-D73</f>
        <v>37772087.049999997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37772087.049999997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75" right="0.75" top="0.71" bottom="0.63" header="0.5" footer="0.5"/>
  <pageSetup paperSize="9" scale="70" orientation="portrait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3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5"/>
      <c r="C4" s="155"/>
      <c r="D4" s="155"/>
      <c r="E4" s="155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80</v>
      </c>
      <c r="C6" s="334"/>
      <c r="D6" s="334"/>
      <c r="E6" s="334"/>
    </row>
    <row r="7" spans="2:12" ht="14.25">
      <c r="B7" s="153"/>
      <c r="C7" s="153"/>
      <c r="D7" s="153"/>
      <c r="E7" s="15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4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34008985.719999999</v>
      </c>
      <c r="E11" s="9">
        <f>E12</f>
        <v>34368672.130000003</v>
      </c>
    </row>
    <row r="12" spans="2:12">
      <c r="B12" s="123" t="s">
        <v>4</v>
      </c>
      <c r="C12" s="6" t="s">
        <v>5</v>
      </c>
      <c r="D12" s="297">
        <v>34008985.719999999</v>
      </c>
      <c r="E12" s="95">
        <f>34479439.34-110767.21</f>
        <v>34368672.130000003</v>
      </c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/>
      <c r="E14" s="95"/>
      <c r="G14" s="71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123" t="s">
        <v>4</v>
      </c>
      <c r="C18" s="6" t="s">
        <v>11</v>
      </c>
      <c r="D18" s="297"/>
      <c r="E18" s="96"/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34008985.719999999</v>
      </c>
      <c r="E21" s="165">
        <f>E11-E17</f>
        <v>34368672.130000003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54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31637157.859999999</v>
      </c>
      <c r="E26" s="112">
        <f>D21</f>
        <v>34008985.719999999</v>
      </c>
      <c r="G26" s="81"/>
    </row>
    <row r="27" spans="2:11">
      <c r="B27" s="10" t="s">
        <v>17</v>
      </c>
      <c r="C27" s="11" t="s">
        <v>217</v>
      </c>
      <c r="D27" s="245">
        <v>-887042.56000000006</v>
      </c>
      <c r="E27" s="269">
        <f>E28-E32</f>
        <v>-3155870.38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3979194.15</v>
      </c>
      <c r="E28" s="284">
        <f>SUM(E29:E31)</f>
        <v>3253310.8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3979194.15</v>
      </c>
      <c r="E29" s="286">
        <v>3253310.8</v>
      </c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4866236.71</v>
      </c>
      <c r="E32" s="284">
        <f>SUM(E33:E39)</f>
        <v>6409181.1799999997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4866236.71</v>
      </c>
      <c r="E33" s="286">
        <f>6456390.16-47209.03+0.05</f>
        <v>6409181.1799999997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/>
      <c r="E35" s="286"/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/>
      <c r="E37" s="286"/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3258870.42</v>
      </c>
      <c r="E40" s="115">
        <v>3515556.79</v>
      </c>
      <c r="G40" s="81"/>
    </row>
    <row r="41" spans="2:10" ht="13.5" thickBot="1">
      <c r="B41" s="116" t="s">
        <v>37</v>
      </c>
      <c r="C41" s="117" t="s">
        <v>38</v>
      </c>
      <c r="D41" s="249">
        <v>34008985.719999999</v>
      </c>
      <c r="E41" s="165">
        <f>E26+E27+E40</f>
        <v>34368672.130000003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54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722989.61270000006</v>
      </c>
      <c r="E47" s="166">
        <v>704661.04854999995</v>
      </c>
      <c r="G47" s="228"/>
    </row>
    <row r="48" spans="2:10">
      <c r="B48" s="140" t="s">
        <v>6</v>
      </c>
      <c r="C48" s="23" t="s">
        <v>41</v>
      </c>
      <c r="D48" s="251">
        <v>704661.04854999995</v>
      </c>
      <c r="E48" s="166">
        <v>641234.08522999997</v>
      </c>
      <c r="G48" s="228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119" t="s">
        <v>4</v>
      </c>
      <c r="C50" s="16" t="s">
        <v>40</v>
      </c>
      <c r="D50" s="250">
        <v>43.758800000000001</v>
      </c>
      <c r="E50" s="166">
        <v>48.262900000000002</v>
      </c>
      <c r="G50" s="208"/>
    </row>
    <row r="51" spans="2:7">
      <c r="B51" s="119" t="s">
        <v>6</v>
      </c>
      <c r="C51" s="16" t="s">
        <v>220</v>
      </c>
      <c r="D51" s="253">
        <v>43.700099999999999</v>
      </c>
      <c r="E51" s="166">
        <v>47.616399999999999</v>
      </c>
      <c r="G51" s="208"/>
    </row>
    <row r="52" spans="2:7">
      <c r="B52" s="119" t="s">
        <v>8</v>
      </c>
      <c r="C52" s="16" t="s">
        <v>221</v>
      </c>
      <c r="D52" s="253">
        <v>50.312100000000001</v>
      </c>
      <c r="E52" s="82">
        <v>54.248100000000001</v>
      </c>
    </row>
    <row r="53" spans="2:7" ht="13.5" customHeight="1" thickBot="1">
      <c r="B53" s="120" t="s">
        <v>9</v>
      </c>
      <c r="C53" s="18" t="s">
        <v>41</v>
      </c>
      <c r="D53" s="254">
        <v>48.262900000000002</v>
      </c>
      <c r="E53" s="167">
        <v>53.597700000000003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34368672.130000003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E12</f>
        <v>34368672.130000003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47" t="s">
        <v>64</v>
      </c>
      <c r="C74" s="138" t="s">
        <v>66</v>
      </c>
      <c r="D74" s="139">
        <f>D58-D73</f>
        <v>34368672.130000003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34368672.130000003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1" right="0.75" top="0.56000000000000005" bottom="0.5" header="0.5" footer="0.5"/>
  <pageSetup paperSize="9" scale="70" orientation="portrait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4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5"/>
      <c r="C4" s="155"/>
      <c r="D4" s="155"/>
      <c r="E4" s="155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81</v>
      </c>
      <c r="C6" s="334"/>
      <c r="D6" s="334"/>
      <c r="E6" s="334"/>
    </row>
    <row r="7" spans="2:12" ht="14.25">
      <c r="B7" s="153"/>
      <c r="C7" s="153"/>
      <c r="D7" s="153"/>
      <c r="E7" s="15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4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26704290.920000002</v>
      </c>
      <c r="E11" s="9">
        <f>E12</f>
        <v>28695907.140000001</v>
      </c>
    </row>
    <row r="12" spans="2:12">
      <c r="B12" s="209" t="s">
        <v>4</v>
      </c>
      <c r="C12" s="210" t="s">
        <v>5</v>
      </c>
      <c r="D12" s="297">
        <v>26704290.920000002</v>
      </c>
      <c r="E12" s="95">
        <v>28695907.140000001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26704290.920000002</v>
      </c>
      <c r="E21" s="165">
        <f>E11-E17</f>
        <v>28695907.140000001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0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23647586.289999999</v>
      </c>
      <c r="E26" s="112">
        <f>D21</f>
        <v>26704290.920000002</v>
      </c>
      <c r="G26" s="81"/>
    </row>
    <row r="27" spans="2:11">
      <c r="B27" s="10" t="s">
        <v>17</v>
      </c>
      <c r="C27" s="11" t="s">
        <v>217</v>
      </c>
      <c r="D27" s="245">
        <v>-277051.45999999996</v>
      </c>
      <c r="E27" s="269">
        <f>E28-E32</f>
        <v>-2653590.8499999996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3372806.7</v>
      </c>
      <c r="E28" s="284">
        <f>SUM(E29:E31)</f>
        <v>2807186.54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3372806.7</v>
      </c>
      <c r="E29" s="286">
        <v>2807186.54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3649858.16</v>
      </c>
      <c r="E32" s="284">
        <f>SUM(E33:E39)</f>
        <v>5460777.3899999997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3649858.16</v>
      </c>
      <c r="E33" s="286">
        <f>5470831.88-10054.45-0.04</f>
        <v>5460777.3899999997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/>
      <c r="E35" s="286"/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/>
      <c r="E37" s="286"/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3333756.09</v>
      </c>
      <c r="E40" s="115">
        <v>4645207.07</v>
      </c>
      <c r="G40" s="81"/>
    </row>
    <row r="41" spans="2:10" ht="13.5" thickBot="1">
      <c r="B41" s="116" t="s">
        <v>37</v>
      </c>
      <c r="C41" s="117" t="s">
        <v>38</v>
      </c>
      <c r="D41" s="249">
        <v>26704290.919999998</v>
      </c>
      <c r="E41" s="165">
        <f>E26+E27+E40</f>
        <v>28695907.140000001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54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1385062.4245</v>
      </c>
      <c r="E47" s="166">
        <v>1370680.9146</v>
      </c>
      <c r="G47" s="77"/>
    </row>
    <row r="48" spans="2:10">
      <c r="B48" s="140" t="s">
        <v>6</v>
      </c>
      <c r="C48" s="23" t="s">
        <v>41</v>
      </c>
      <c r="D48" s="251">
        <v>1370680.9146</v>
      </c>
      <c r="E48" s="166">
        <v>1243231.9602000001</v>
      </c>
      <c r="G48" s="228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119" t="s">
        <v>4</v>
      </c>
      <c r="C50" s="16" t="s">
        <v>40</v>
      </c>
      <c r="D50" s="250">
        <v>17.0733</v>
      </c>
      <c r="E50" s="166">
        <v>19.482500000000002</v>
      </c>
      <c r="G50" s="208"/>
    </row>
    <row r="51" spans="2:7">
      <c r="B51" s="119" t="s">
        <v>6</v>
      </c>
      <c r="C51" s="16" t="s">
        <v>220</v>
      </c>
      <c r="D51" s="253">
        <v>16.745699999999999</v>
      </c>
      <c r="E51" s="166">
        <v>18.802</v>
      </c>
      <c r="G51" s="208"/>
    </row>
    <row r="52" spans="2:7">
      <c r="B52" s="119" t="s">
        <v>8</v>
      </c>
      <c r="C52" s="16" t="s">
        <v>221</v>
      </c>
      <c r="D52" s="253">
        <v>22.456399999999999</v>
      </c>
      <c r="E52" s="82">
        <v>23.396999999999998</v>
      </c>
    </row>
    <row r="53" spans="2:7" ht="12.75" customHeight="1" thickBot="1">
      <c r="B53" s="120" t="s">
        <v>9</v>
      </c>
      <c r="C53" s="18" t="s">
        <v>41</v>
      </c>
      <c r="D53" s="254">
        <v>19.482500000000002</v>
      </c>
      <c r="E53" s="167">
        <v>23.081700000000001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28695907.140000001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E12</f>
        <v>28695907.140000001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47" t="s">
        <v>64</v>
      </c>
      <c r="C74" s="138" t="s">
        <v>66</v>
      </c>
      <c r="D74" s="139">
        <f>D58-D73</f>
        <v>28695907.140000001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28695907.140000001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" right="0.75" top="0.61" bottom="0.51" header="0.5" footer="0.5"/>
  <pageSetup paperSize="9" scale="70" orientation="portrait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5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5"/>
      <c r="C4" s="155"/>
      <c r="D4" s="155"/>
      <c r="E4" s="155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82</v>
      </c>
      <c r="C6" s="334"/>
      <c r="D6" s="334"/>
      <c r="E6" s="334"/>
    </row>
    <row r="7" spans="2:12" ht="14.25">
      <c r="B7" s="153"/>
      <c r="C7" s="153"/>
      <c r="D7" s="153"/>
      <c r="E7" s="15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4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19603568.07</v>
      </c>
      <c r="E11" s="9">
        <f>E12</f>
        <v>21615083.59</v>
      </c>
    </row>
    <row r="12" spans="2:12">
      <c r="B12" s="123" t="s">
        <v>4</v>
      </c>
      <c r="C12" s="6" t="s">
        <v>5</v>
      </c>
      <c r="D12" s="297">
        <v>19603568.07</v>
      </c>
      <c r="E12" s="95">
        <v>21615083.59</v>
      </c>
    </row>
    <row r="13" spans="2:12">
      <c r="B13" s="123" t="s">
        <v>6</v>
      </c>
      <c r="C13" s="72" t="s">
        <v>7</v>
      </c>
      <c r="D13" s="297"/>
      <c r="E13" s="95"/>
    </row>
    <row r="14" spans="2:12">
      <c r="B14" s="123" t="s">
        <v>8</v>
      </c>
      <c r="C14" s="72" t="s">
        <v>10</v>
      </c>
      <c r="D14" s="297"/>
      <c r="E14" s="95"/>
      <c r="G14" s="71"/>
    </row>
    <row r="15" spans="2:12">
      <c r="B15" s="123" t="s">
        <v>212</v>
      </c>
      <c r="C15" s="72" t="s">
        <v>11</v>
      </c>
      <c r="D15" s="297"/>
      <c r="E15" s="95"/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123" t="s">
        <v>4</v>
      </c>
      <c r="C18" s="6" t="s">
        <v>11</v>
      </c>
      <c r="D18" s="297"/>
      <c r="E18" s="96"/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19603568.07</v>
      </c>
      <c r="E21" s="165">
        <f>E11-E17</f>
        <v>21615083.59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54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16957293.050000001</v>
      </c>
      <c r="E26" s="112">
        <f>D21</f>
        <v>19603568.07</v>
      </c>
      <c r="G26" s="81"/>
    </row>
    <row r="27" spans="2:11">
      <c r="B27" s="10" t="s">
        <v>17</v>
      </c>
      <c r="C27" s="11" t="s">
        <v>217</v>
      </c>
      <c r="D27" s="245">
        <v>77754.14000000013</v>
      </c>
      <c r="E27" s="269">
        <f>E28-E32</f>
        <v>-1486881.0499999998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2529247.83</v>
      </c>
      <c r="E28" s="284">
        <f>SUM(E29:E31)</f>
        <v>2132705.5</v>
      </c>
      <c r="F28" s="77"/>
      <c r="G28" s="77"/>
      <c r="H28" s="77"/>
      <c r="I28" s="77"/>
      <c r="J28" s="81"/>
    </row>
    <row r="29" spans="2:11">
      <c r="B29" s="121" t="s">
        <v>4</v>
      </c>
      <c r="C29" s="6" t="s">
        <v>20</v>
      </c>
      <c r="D29" s="246">
        <v>2529247.83</v>
      </c>
      <c r="E29" s="286">
        <v>2132705.5</v>
      </c>
      <c r="F29" s="77"/>
      <c r="G29" s="77"/>
      <c r="H29" s="77"/>
      <c r="I29" s="77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121" t="s">
        <v>8</v>
      </c>
      <c r="C31" s="6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2451493.69</v>
      </c>
      <c r="E32" s="284">
        <f>SUM(E33:E39)</f>
        <v>3619586.55</v>
      </c>
      <c r="F32" s="77"/>
      <c r="G32" s="81"/>
      <c r="H32" s="77"/>
      <c r="I32" s="77"/>
      <c r="J32" s="81"/>
    </row>
    <row r="33" spans="2:10">
      <c r="B33" s="121" t="s">
        <v>4</v>
      </c>
      <c r="C33" s="6" t="s">
        <v>25</v>
      </c>
      <c r="D33" s="246">
        <v>2451493.69</v>
      </c>
      <c r="E33" s="286">
        <f>3629495.92-9909.39+0.02</f>
        <v>3619586.55</v>
      </c>
      <c r="F33" s="77"/>
      <c r="G33" s="77"/>
      <c r="H33" s="77"/>
      <c r="I33" s="77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121" t="s">
        <v>8</v>
      </c>
      <c r="C35" s="6" t="s">
        <v>27</v>
      </c>
      <c r="D35" s="246"/>
      <c r="E35" s="286"/>
      <c r="F35" s="77"/>
      <c r="G35" s="77"/>
      <c r="H35" s="77"/>
      <c r="I35" s="77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121" t="s">
        <v>29</v>
      </c>
      <c r="C37" s="6" t="s">
        <v>30</v>
      </c>
      <c r="D37" s="246"/>
      <c r="E37" s="286"/>
      <c r="F37" s="77"/>
      <c r="G37" s="77"/>
      <c r="H37" s="77"/>
      <c r="I37" s="77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122" t="s">
        <v>33</v>
      </c>
      <c r="C39" s="13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2568520.88</v>
      </c>
      <c r="E40" s="115">
        <v>3498396.57</v>
      </c>
      <c r="G40" s="81"/>
    </row>
    <row r="41" spans="2:10" ht="13.5" thickBot="1">
      <c r="B41" s="116" t="s">
        <v>37</v>
      </c>
      <c r="C41" s="117" t="s">
        <v>38</v>
      </c>
      <c r="D41" s="249">
        <v>19603568.07</v>
      </c>
      <c r="E41" s="165">
        <f>E26+E27+E40</f>
        <v>21615083.59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8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54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1077953.9155999999</v>
      </c>
      <c r="E47" s="166">
        <v>1082633.4169099999</v>
      </c>
      <c r="G47" s="228"/>
    </row>
    <row r="48" spans="2:10">
      <c r="B48" s="140" t="s">
        <v>6</v>
      </c>
      <c r="C48" s="23" t="s">
        <v>41</v>
      </c>
      <c r="D48" s="251">
        <v>1082633.4169099999</v>
      </c>
      <c r="E48" s="166">
        <v>1006106.1348999999</v>
      </c>
      <c r="G48" s="228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119" t="s">
        <v>4</v>
      </c>
      <c r="C50" s="16" t="s">
        <v>40</v>
      </c>
      <c r="D50" s="250">
        <v>15.731</v>
      </c>
      <c r="E50" s="166">
        <v>18.107299999999999</v>
      </c>
      <c r="G50" s="208"/>
    </row>
    <row r="51" spans="2:7">
      <c r="B51" s="119" t="s">
        <v>6</v>
      </c>
      <c r="C51" s="16" t="s">
        <v>220</v>
      </c>
      <c r="D51" s="253">
        <v>15.432</v>
      </c>
      <c r="E51" s="166">
        <v>17.462800000000001</v>
      </c>
      <c r="G51" s="208"/>
    </row>
    <row r="52" spans="2:7">
      <c r="B52" s="119" t="s">
        <v>8</v>
      </c>
      <c r="C52" s="16" t="s">
        <v>221</v>
      </c>
      <c r="D52" s="253">
        <v>20.9084</v>
      </c>
      <c r="E52" s="82">
        <v>21.781099999999999</v>
      </c>
    </row>
    <row r="53" spans="2:7" ht="13.5" customHeight="1" thickBot="1">
      <c r="B53" s="120" t="s">
        <v>9</v>
      </c>
      <c r="C53" s="18" t="s">
        <v>41</v>
      </c>
      <c r="D53" s="254">
        <v>18.107299999999999</v>
      </c>
      <c r="E53" s="167">
        <v>21.483899999999998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4.25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21615083.59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E12</f>
        <v>21615083.59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47" t="s">
        <v>64</v>
      </c>
      <c r="C74" s="138" t="s">
        <v>66</v>
      </c>
      <c r="D74" s="139">
        <f>D58-D73</f>
        <v>21615083.59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21615083.59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1" right="0.75" top="0.68" bottom="0.65" header="0.5" footer="0.5"/>
  <pageSetup paperSize="9" scale="70" orientation="portrait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6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5"/>
      <c r="C4" s="155"/>
      <c r="D4" s="155"/>
      <c r="E4" s="155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83</v>
      </c>
      <c r="C6" s="334"/>
      <c r="D6" s="334"/>
      <c r="E6" s="334"/>
    </row>
    <row r="7" spans="2:12" ht="14.25">
      <c r="B7" s="153"/>
      <c r="C7" s="153"/>
      <c r="D7" s="153"/>
      <c r="E7" s="15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4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23806378.309999999</v>
      </c>
      <c r="E11" s="9">
        <f>E12</f>
        <v>25471190.969999999</v>
      </c>
    </row>
    <row r="12" spans="2:12">
      <c r="B12" s="209" t="s">
        <v>4</v>
      </c>
      <c r="C12" s="210" t="s">
        <v>5</v>
      </c>
      <c r="D12" s="297">
        <v>23806378.309999999</v>
      </c>
      <c r="E12" s="95">
        <v>25471190.969999999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23806378.309999999</v>
      </c>
      <c r="E21" s="165">
        <f>E11</f>
        <v>25471190.969999999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20420985.219999999</v>
      </c>
      <c r="E26" s="112">
        <f>D21</f>
        <v>23806378.309999999</v>
      </c>
      <c r="G26" s="81"/>
    </row>
    <row r="27" spans="2:11">
      <c r="B27" s="10" t="s">
        <v>17</v>
      </c>
      <c r="C27" s="11" t="s">
        <v>217</v>
      </c>
      <c r="D27" s="245">
        <v>210131.79999999981</v>
      </c>
      <c r="E27" s="269">
        <f>E28-E32</f>
        <v>-1550481.65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3092920.21</v>
      </c>
      <c r="E28" s="284">
        <f>SUM(E29:E31)</f>
        <v>2641989.37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3092920.21</v>
      </c>
      <c r="E29" s="286">
        <v>2641989.37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/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2882788.41</v>
      </c>
      <c r="E32" s="284">
        <f>SUM(E33:E39)</f>
        <v>4192471.02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2882788.41</v>
      </c>
      <c r="E33" s="286">
        <v>4192471.02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/>
      <c r="E35" s="286"/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/>
      <c r="E37" s="286"/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3175261.29</v>
      </c>
      <c r="E40" s="115">
        <v>3215294.31</v>
      </c>
      <c r="G40" s="81"/>
    </row>
    <row r="41" spans="2:10" ht="13.5" thickBot="1">
      <c r="B41" s="116" t="s">
        <v>37</v>
      </c>
      <c r="C41" s="117" t="s">
        <v>38</v>
      </c>
      <c r="D41" s="249">
        <v>23806378.309999999</v>
      </c>
      <c r="E41" s="165">
        <f>E26+E27+E40</f>
        <v>25471190.969999999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321">
        <v>1235837.8851999999</v>
      </c>
      <c r="E47" s="166">
        <v>1249265.5083000001</v>
      </c>
      <c r="G47" s="77"/>
    </row>
    <row r="48" spans="2:10">
      <c r="B48" s="222" t="s">
        <v>6</v>
      </c>
      <c r="C48" s="223" t="s">
        <v>41</v>
      </c>
      <c r="D48" s="322">
        <v>1249265.5083000001</v>
      </c>
      <c r="E48" s="166">
        <v>1172107.7614</v>
      </c>
      <c r="G48" s="77"/>
    </row>
    <row r="49" spans="2:7">
      <c r="B49" s="137" t="s">
        <v>23</v>
      </c>
      <c r="C49" s="141" t="s">
        <v>219</v>
      </c>
      <c r="D49" s="323"/>
      <c r="E49" s="166"/>
    </row>
    <row r="50" spans="2:7">
      <c r="B50" s="220" t="s">
        <v>4</v>
      </c>
      <c r="C50" s="221" t="s">
        <v>40</v>
      </c>
      <c r="D50" s="322">
        <v>16.524000000000001</v>
      </c>
      <c r="E50" s="166">
        <v>19.0563</v>
      </c>
      <c r="G50" s="208"/>
    </row>
    <row r="51" spans="2:7">
      <c r="B51" s="220" t="s">
        <v>6</v>
      </c>
      <c r="C51" s="221" t="s">
        <v>220</v>
      </c>
      <c r="D51" s="322">
        <v>16.154700000000002</v>
      </c>
      <c r="E51" s="82">
        <v>18.3705</v>
      </c>
      <c r="G51" s="208"/>
    </row>
    <row r="52" spans="2:7">
      <c r="B52" s="220" t="s">
        <v>8</v>
      </c>
      <c r="C52" s="221" t="s">
        <v>221</v>
      </c>
      <c r="D52" s="322">
        <v>21.9284</v>
      </c>
      <c r="E52" s="82">
        <v>22.576000000000001</v>
      </c>
    </row>
    <row r="53" spans="2:7" ht="13.5" customHeight="1" thickBot="1">
      <c r="B53" s="224" t="s">
        <v>9</v>
      </c>
      <c r="C53" s="225" t="s">
        <v>41</v>
      </c>
      <c r="D53" s="324">
        <v>19.0563</v>
      </c>
      <c r="E53" s="167">
        <v>21.731100000000001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25471190.969999999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25471190.969999999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25471190.969999999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v>0</v>
      </c>
      <c r="E75" s="89">
        <v>0</v>
      </c>
    </row>
    <row r="76" spans="2:5">
      <c r="B76" s="119" t="s">
        <v>6</v>
      </c>
      <c r="C76" s="16" t="s">
        <v>225</v>
      </c>
      <c r="D76" s="88">
        <f>D74</f>
        <v>25471190.969999999</v>
      </c>
      <c r="E76" s="89">
        <f>E74</f>
        <v>1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1" right="0.75" top="0.56999999999999995" bottom="0.55000000000000004" header="0.5" footer="0.5"/>
  <pageSetup paperSize="9" scale="70" orientation="portrait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7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5"/>
      <c r="C4" s="155"/>
      <c r="D4" s="155"/>
      <c r="E4" s="155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196</v>
      </c>
      <c r="C6" s="334"/>
      <c r="D6" s="334"/>
      <c r="E6" s="334"/>
    </row>
    <row r="7" spans="2:12" ht="14.25">
      <c r="B7" s="153"/>
      <c r="C7" s="153"/>
      <c r="D7" s="153"/>
      <c r="E7" s="15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4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1772445.02</v>
      </c>
      <c r="E11" s="9">
        <f>E12</f>
        <v>4431798.95</v>
      </c>
    </row>
    <row r="12" spans="2:12">
      <c r="B12" s="209" t="s">
        <v>4</v>
      </c>
      <c r="C12" s="210" t="s">
        <v>5</v>
      </c>
      <c r="D12" s="297">
        <v>1772445.02</v>
      </c>
      <c r="E12" s="95">
        <v>4431798.95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1772445.02</v>
      </c>
      <c r="E21" s="165">
        <f>E11</f>
        <v>4431798.95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42961.81</v>
      </c>
      <c r="E26" s="112">
        <f>D21</f>
        <v>1772445.02</v>
      </c>
      <c r="G26" s="81"/>
    </row>
    <row r="27" spans="2:11">
      <c r="B27" s="10" t="s">
        <v>17</v>
      </c>
      <c r="C27" s="11" t="s">
        <v>217</v>
      </c>
      <c r="D27" s="245">
        <v>1552904.6600000001</v>
      </c>
      <c r="E27" s="269">
        <f>E28-E32</f>
        <v>2246739.4599999995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1574435.36</v>
      </c>
      <c r="E28" s="284">
        <f>SUM(E29:E31)</f>
        <v>3726089.1599999997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11641.09</v>
      </c>
      <c r="E29" s="286">
        <v>18215.59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1562794.27</v>
      </c>
      <c r="E31" s="286">
        <v>3707873.57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21530.699999999997</v>
      </c>
      <c r="E32" s="284">
        <f>SUM(E33:E39)</f>
        <v>1479349.7000000002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3320.94</v>
      </c>
      <c r="E33" s="286">
        <v>1131574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2175.71</v>
      </c>
      <c r="E35" s="286">
        <v>7739.54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13192.02</v>
      </c>
      <c r="E37" s="286">
        <v>52596.82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2842.03</v>
      </c>
      <c r="E39" s="288">
        <v>287439.34000000003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176578.55</v>
      </c>
      <c r="E40" s="115">
        <v>412614.47</v>
      </c>
      <c r="G40" s="81"/>
    </row>
    <row r="41" spans="2:10" ht="13.5" thickBot="1">
      <c r="B41" s="116" t="s">
        <v>37</v>
      </c>
      <c r="C41" s="117" t="s">
        <v>38</v>
      </c>
      <c r="D41" s="249">
        <v>1772445.0200000003</v>
      </c>
      <c r="E41" s="165">
        <f>E26+E27+E40</f>
        <v>4431798.9499999993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160.54488000000001</v>
      </c>
      <c r="E47" s="166">
        <v>6025.0357700000004</v>
      </c>
      <c r="G47" s="77"/>
    </row>
    <row r="48" spans="2:10">
      <c r="B48" s="222" t="s">
        <v>6</v>
      </c>
      <c r="C48" s="223" t="s">
        <v>41</v>
      </c>
      <c r="D48" s="251">
        <v>6025.0357700000004</v>
      </c>
      <c r="E48" s="166">
        <v>12651.438630000001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267.60000000000002</v>
      </c>
      <c r="E50" s="166">
        <v>294.18</v>
      </c>
      <c r="G50" s="208"/>
    </row>
    <row r="51" spans="2:7">
      <c r="B51" s="220" t="s">
        <v>6</v>
      </c>
      <c r="C51" s="221" t="s">
        <v>220</v>
      </c>
      <c r="D51" s="253">
        <v>244.94</v>
      </c>
      <c r="E51" s="82">
        <v>294.18</v>
      </c>
      <c r="G51" s="208"/>
    </row>
    <row r="52" spans="2:7">
      <c r="B52" s="220" t="s">
        <v>8</v>
      </c>
      <c r="C52" s="221" t="s">
        <v>221</v>
      </c>
      <c r="D52" s="253">
        <v>294.18</v>
      </c>
      <c r="E52" s="82">
        <v>362.41</v>
      </c>
    </row>
    <row r="53" spans="2:7" ht="13.5" customHeight="1" thickBot="1">
      <c r="B53" s="224" t="s">
        <v>9</v>
      </c>
      <c r="C53" s="225" t="s">
        <v>41</v>
      </c>
      <c r="D53" s="254">
        <v>294.18</v>
      </c>
      <c r="E53" s="167">
        <v>350.3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8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4431798.95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4431798.95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4431798.95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4431798.95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65" bottom="0.33" header="0.5" footer="0.5"/>
  <pageSetup paperSize="9" scale="7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1" max="11" width="8.85546875" customWidth="1"/>
    <col min="12" max="12" width="12.42578125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99"/>
      <c r="C4" s="99"/>
      <c r="D4" s="99"/>
      <c r="E4" s="99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91</v>
      </c>
      <c r="C6" s="334"/>
      <c r="D6" s="334"/>
      <c r="E6" s="334"/>
    </row>
    <row r="7" spans="2:12" ht="14.25">
      <c r="B7" s="103"/>
      <c r="C7" s="103"/>
      <c r="D7" s="103"/>
      <c r="E7" s="10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00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41652599.890000001</v>
      </c>
      <c r="E11" s="9">
        <f>E12+E13+E14</f>
        <v>52289788.109999999</v>
      </c>
    </row>
    <row r="12" spans="2:12">
      <c r="B12" s="123" t="s">
        <v>4</v>
      </c>
      <c r="C12" s="6" t="s">
        <v>5</v>
      </c>
      <c r="D12" s="297">
        <v>41519285.899999999</v>
      </c>
      <c r="E12" s="95">
        <f>52413677.67-384588.57</f>
        <v>52029089.100000001</v>
      </c>
    </row>
    <row r="13" spans="2:12">
      <c r="B13" s="123" t="s">
        <v>6</v>
      </c>
      <c r="C13" s="72" t="s">
        <v>7</v>
      </c>
      <c r="D13" s="297">
        <v>37.67</v>
      </c>
      <c r="E13" s="95"/>
    </row>
    <row r="14" spans="2:12">
      <c r="B14" s="123" t="s">
        <v>8</v>
      </c>
      <c r="C14" s="72" t="s">
        <v>10</v>
      </c>
      <c r="D14" s="297">
        <v>133276.32</v>
      </c>
      <c r="E14" s="95">
        <f>E15</f>
        <v>260699.01</v>
      </c>
    </row>
    <row r="15" spans="2:12">
      <c r="B15" s="123" t="s">
        <v>212</v>
      </c>
      <c r="C15" s="72" t="s">
        <v>11</v>
      </c>
      <c r="D15" s="297">
        <v>133276.32</v>
      </c>
      <c r="E15" s="95">
        <v>260699.01</v>
      </c>
    </row>
    <row r="16" spans="2:12">
      <c r="B16" s="124" t="s">
        <v>213</v>
      </c>
      <c r="C16" s="105" t="s">
        <v>12</v>
      </c>
      <c r="D16" s="298"/>
      <c r="E16" s="96"/>
    </row>
    <row r="17" spans="2:11">
      <c r="B17" s="10" t="s">
        <v>13</v>
      </c>
      <c r="C17" s="12" t="s">
        <v>65</v>
      </c>
      <c r="D17" s="299">
        <v>52785.69</v>
      </c>
      <c r="E17" s="107">
        <f>SUM(E18:E19)</f>
        <v>70961.039999999994</v>
      </c>
    </row>
    <row r="18" spans="2:11">
      <c r="B18" s="123" t="s">
        <v>4</v>
      </c>
      <c r="C18" s="6" t="s">
        <v>11</v>
      </c>
      <c r="D18" s="297">
        <v>52785.69</v>
      </c>
      <c r="E18" s="96">
        <v>70961.039999999994</v>
      </c>
    </row>
    <row r="19" spans="2:11" ht="15" customHeight="1">
      <c r="B19" s="123" t="s">
        <v>6</v>
      </c>
      <c r="C19" s="72" t="s">
        <v>214</v>
      </c>
      <c r="D19" s="297"/>
      <c r="E19" s="95"/>
    </row>
    <row r="20" spans="2:11" ht="13.5" thickBot="1">
      <c r="B20" s="125" t="s">
        <v>8</v>
      </c>
      <c r="C20" s="73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D11-D17</f>
        <v>41599814.200000003</v>
      </c>
      <c r="E21" s="165">
        <f>E11-E17</f>
        <v>52218827.07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4"/>
      <c r="D23" s="344"/>
      <c r="E23" s="344"/>
      <c r="G23" s="77"/>
    </row>
    <row r="24" spans="2:11" ht="15.75" customHeight="1" thickBot="1">
      <c r="B24" s="335" t="s">
        <v>211</v>
      </c>
      <c r="C24" s="345"/>
      <c r="D24" s="345"/>
      <c r="E24" s="345"/>
    </row>
    <row r="25" spans="2:11" ht="13.5" thickBot="1">
      <c r="B25" s="100"/>
      <c r="C25" s="5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26029369.48</v>
      </c>
      <c r="E26" s="112">
        <f>D21</f>
        <v>41599814.200000003</v>
      </c>
      <c r="G26" s="81"/>
    </row>
    <row r="27" spans="2:11">
      <c r="B27" s="10" t="s">
        <v>17</v>
      </c>
      <c r="C27" s="11" t="s">
        <v>217</v>
      </c>
      <c r="D27" s="245">
        <v>15511326.189999998</v>
      </c>
      <c r="E27" s="269">
        <f>E28-E32</f>
        <v>9367003.9799999967</v>
      </c>
      <c r="F27" s="77"/>
      <c r="G27" s="81"/>
      <c r="H27" s="77"/>
      <c r="I27" s="81"/>
      <c r="J27" s="81"/>
    </row>
    <row r="28" spans="2:11">
      <c r="B28" s="10" t="s">
        <v>18</v>
      </c>
      <c r="C28" s="11" t="s">
        <v>19</v>
      </c>
      <c r="D28" s="245">
        <v>22400101.369999997</v>
      </c>
      <c r="E28" s="284">
        <f>SUM(E29:E31)</f>
        <v>19580239.939999998</v>
      </c>
      <c r="F28" s="77"/>
      <c r="G28" s="77"/>
      <c r="H28" s="77"/>
      <c r="I28" s="81"/>
      <c r="J28" s="81"/>
    </row>
    <row r="29" spans="2:11">
      <c r="B29" s="121" t="s">
        <v>4</v>
      </c>
      <c r="C29" s="6" t="s">
        <v>20</v>
      </c>
      <c r="D29" s="246">
        <v>20110605.469999999</v>
      </c>
      <c r="E29" s="286">
        <v>18733697.669999998</v>
      </c>
      <c r="F29" s="77"/>
      <c r="G29" s="77"/>
      <c r="H29" s="77"/>
      <c r="I29" s="81"/>
      <c r="J29" s="81"/>
    </row>
    <row r="30" spans="2:11">
      <c r="B30" s="121" t="s">
        <v>6</v>
      </c>
      <c r="C30" s="6" t="s">
        <v>21</v>
      </c>
      <c r="D30" s="246"/>
      <c r="E30" s="286"/>
      <c r="F30" s="77"/>
      <c r="G30" s="77"/>
      <c r="H30" s="77"/>
      <c r="I30" s="81"/>
      <c r="J30" s="81"/>
    </row>
    <row r="31" spans="2:11">
      <c r="B31" s="121" t="s">
        <v>8</v>
      </c>
      <c r="C31" s="6" t="s">
        <v>22</v>
      </c>
      <c r="D31" s="246">
        <v>2289495.9</v>
      </c>
      <c r="E31" s="286">
        <v>846542.2699999999</v>
      </c>
      <c r="F31" s="77"/>
      <c r="G31" s="77"/>
      <c r="H31" s="77"/>
      <c r="I31" s="81"/>
      <c r="J31" s="81"/>
    </row>
    <row r="32" spans="2:11">
      <c r="B32" s="106" t="s">
        <v>23</v>
      </c>
      <c r="C32" s="12" t="s">
        <v>24</v>
      </c>
      <c r="D32" s="245">
        <v>6888775.1799999997</v>
      </c>
      <c r="E32" s="284">
        <f>SUM(E33:E39)</f>
        <v>10213235.960000001</v>
      </c>
      <c r="F32" s="77"/>
      <c r="G32" s="81"/>
      <c r="H32" s="77"/>
      <c r="I32" s="81"/>
      <c r="J32" s="81"/>
    </row>
    <row r="33" spans="2:10">
      <c r="B33" s="121" t="s">
        <v>4</v>
      </c>
      <c r="C33" s="6" t="s">
        <v>25</v>
      </c>
      <c r="D33" s="246">
        <v>5093595.3899999997</v>
      </c>
      <c r="E33" s="286">
        <f>7159813.01+179179.86</f>
        <v>7338992.8700000001</v>
      </c>
      <c r="F33" s="77"/>
      <c r="G33" s="77"/>
      <c r="H33" s="77"/>
      <c r="I33" s="81"/>
      <c r="J33" s="81"/>
    </row>
    <row r="34" spans="2:10">
      <c r="B34" s="121" t="s">
        <v>6</v>
      </c>
      <c r="C34" s="6" t="s">
        <v>26</v>
      </c>
      <c r="D34" s="246"/>
      <c r="E34" s="286"/>
      <c r="F34" s="77"/>
      <c r="G34" s="77"/>
      <c r="H34" s="77"/>
      <c r="I34" s="81"/>
      <c r="J34" s="81"/>
    </row>
    <row r="35" spans="2:10">
      <c r="B35" s="121" t="s">
        <v>8</v>
      </c>
      <c r="C35" s="6" t="s">
        <v>27</v>
      </c>
      <c r="D35" s="246">
        <v>1077080.18</v>
      </c>
      <c r="E35" s="286">
        <v>1297652.8400000001</v>
      </c>
      <c r="F35" s="77"/>
      <c r="G35" s="77"/>
      <c r="H35" s="77"/>
      <c r="I35" s="81"/>
      <c r="J35" s="81"/>
    </row>
    <row r="36" spans="2:10">
      <c r="B36" s="121" t="s">
        <v>9</v>
      </c>
      <c r="C36" s="6" t="s">
        <v>28</v>
      </c>
      <c r="D36" s="246"/>
      <c r="E36" s="286"/>
      <c r="F36" s="77"/>
      <c r="G36" s="77"/>
      <c r="H36" s="77"/>
      <c r="I36" s="81"/>
      <c r="J36" s="81"/>
    </row>
    <row r="37" spans="2:10" ht="25.5">
      <c r="B37" s="121" t="s">
        <v>29</v>
      </c>
      <c r="C37" s="6" t="s">
        <v>30</v>
      </c>
      <c r="D37" s="246"/>
      <c r="E37" s="286"/>
      <c r="F37" s="77"/>
      <c r="G37" s="77"/>
      <c r="H37" s="77"/>
      <c r="I37" s="81"/>
      <c r="J37" s="81"/>
    </row>
    <row r="38" spans="2:10">
      <c r="B38" s="121" t="s">
        <v>31</v>
      </c>
      <c r="C38" s="6" t="s">
        <v>32</v>
      </c>
      <c r="D38" s="246"/>
      <c r="E38" s="286"/>
      <c r="F38" s="77"/>
      <c r="G38" s="77"/>
      <c r="H38" s="77"/>
      <c r="I38" s="81"/>
      <c r="J38" s="81"/>
    </row>
    <row r="39" spans="2:10">
      <c r="B39" s="122" t="s">
        <v>33</v>
      </c>
      <c r="C39" s="13" t="s">
        <v>34</v>
      </c>
      <c r="D39" s="247">
        <v>718099.61</v>
      </c>
      <c r="E39" s="288">
        <v>1576590.25</v>
      </c>
      <c r="F39" s="77"/>
      <c r="G39" s="77"/>
      <c r="H39" s="77"/>
      <c r="I39" s="81"/>
      <c r="J39" s="81"/>
    </row>
    <row r="40" spans="2:10" ht="13.5" thickBot="1">
      <c r="B40" s="113" t="s">
        <v>35</v>
      </c>
      <c r="C40" s="114" t="s">
        <v>36</v>
      </c>
      <c r="D40" s="248">
        <v>59118.53</v>
      </c>
      <c r="E40" s="115">
        <v>1252008.8899999999</v>
      </c>
      <c r="G40" s="81"/>
    </row>
    <row r="41" spans="2:10" ht="13.5" thickBot="1">
      <c r="B41" s="116" t="s">
        <v>37</v>
      </c>
      <c r="C41" s="117" t="s">
        <v>38</v>
      </c>
      <c r="D41" s="249">
        <v>41599814.200000003</v>
      </c>
      <c r="E41" s="165">
        <f>E26+E27+E40</f>
        <v>52218827.07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38"/>
      <c r="D43" s="338"/>
      <c r="E43" s="338"/>
      <c r="G43" s="77"/>
    </row>
    <row r="44" spans="2:10" ht="17.25" customHeight="1" thickBot="1">
      <c r="B44" s="335" t="s">
        <v>243</v>
      </c>
      <c r="C44" s="339"/>
      <c r="D44" s="339"/>
      <c r="E44" s="339"/>
      <c r="G44" s="77"/>
    </row>
    <row r="45" spans="2:10" ht="13.5" thickBot="1">
      <c r="B45" s="100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119" t="s">
        <v>4</v>
      </c>
      <c r="C47" s="16" t="s">
        <v>40</v>
      </c>
      <c r="D47" s="250">
        <v>2217390.1268000002</v>
      </c>
      <c r="E47" s="80">
        <v>3526684.0403750357</v>
      </c>
      <c r="G47" s="228"/>
    </row>
    <row r="48" spans="2:10">
      <c r="B48" s="140" t="s">
        <v>6</v>
      </c>
      <c r="C48" s="23" t="s">
        <v>41</v>
      </c>
      <c r="D48" s="251">
        <v>3526684.0403750357</v>
      </c>
      <c r="E48" s="80">
        <v>4308518.9522000002</v>
      </c>
      <c r="G48" s="231"/>
    </row>
    <row r="49" spans="2:7">
      <c r="B49" s="137" t="s">
        <v>23</v>
      </c>
      <c r="C49" s="141" t="s">
        <v>219</v>
      </c>
      <c r="D49" s="252"/>
      <c r="E49" s="142"/>
    </row>
    <row r="50" spans="2:7">
      <c r="B50" s="119" t="s">
        <v>4</v>
      </c>
      <c r="C50" s="16" t="s">
        <v>40</v>
      </c>
      <c r="D50" s="250">
        <v>11.7387414895564</v>
      </c>
      <c r="E50" s="80">
        <v>11.7957304152419</v>
      </c>
      <c r="G50" s="261"/>
    </row>
    <row r="51" spans="2:7">
      <c r="B51" s="119" t="s">
        <v>6</v>
      </c>
      <c r="C51" s="16" t="s">
        <v>220</v>
      </c>
      <c r="D51" s="256">
        <v>11.6492</v>
      </c>
      <c r="E51" s="82">
        <v>11.763400000000001</v>
      </c>
      <c r="G51" s="208"/>
    </row>
    <row r="52" spans="2:7" ht="12" customHeight="1">
      <c r="B52" s="119" t="s">
        <v>8</v>
      </c>
      <c r="C52" s="16" t="s">
        <v>221</v>
      </c>
      <c r="D52" s="256">
        <v>11.977600000000001</v>
      </c>
      <c r="E52" s="82">
        <v>12.130100000000001</v>
      </c>
    </row>
    <row r="53" spans="2:7" ht="13.5" thickBot="1">
      <c r="B53" s="120" t="s">
        <v>9</v>
      </c>
      <c r="C53" s="18" t="s">
        <v>41</v>
      </c>
      <c r="D53" s="254">
        <v>11.7957304152419</v>
      </c>
      <c r="E53" s="167">
        <v>12.119901907902999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SUM(D59:D70)</f>
        <v>52029089.100000001</v>
      </c>
      <c r="E58" s="33">
        <f>D58/E21</f>
        <v>0.99636648349558576</v>
      </c>
    </row>
    <row r="59" spans="2:7" ht="25.5">
      <c r="B59" s="22" t="s">
        <v>4</v>
      </c>
      <c r="C59" s="23" t="s">
        <v>44</v>
      </c>
      <c r="D59" s="90">
        <v>0</v>
      </c>
      <c r="E59" s="91">
        <v>0</v>
      </c>
    </row>
    <row r="60" spans="2:7" ht="24" customHeight="1">
      <c r="B60" s="15" t="s">
        <v>6</v>
      </c>
      <c r="C60" s="16" t="s">
        <v>45</v>
      </c>
      <c r="D60" s="88">
        <v>0</v>
      </c>
      <c r="E60" s="89">
        <v>0</v>
      </c>
    </row>
    <row r="61" spans="2:7">
      <c r="B61" s="15" t="s">
        <v>8</v>
      </c>
      <c r="C61" s="16" t="s">
        <v>46</v>
      </c>
      <c r="D61" s="88">
        <v>0</v>
      </c>
      <c r="E61" s="89">
        <v>0</v>
      </c>
    </row>
    <row r="62" spans="2:7">
      <c r="B62" s="15" t="s">
        <v>9</v>
      </c>
      <c r="C62" s="16" t="s">
        <v>47</v>
      </c>
      <c r="D62" s="88">
        <v>0</v>
      </c>
      <c r="E62" s="89">
        <v>0</v>
      </c>
    </row>
    <row r="63" spans="2:7">
      <c r="B63" s="15" t="s">
        <v>29</v>
      </c>
      <c r="C63" s="16" t="s">
        <v>48</v>
      </c>
      <c r="D63" s="88">
        <v>0</v>
      </c>
      <c r="E63" s="89">
        <v>0</v>
      </c>
    </row>
    <row r="64" spans="2:7">
      <c r="B64" s="22" t="s">
        <v>31</v>
      </c>
      <c r="C64" s="23" t="s">
        <v>49</v>
      </c>
      <c r="D64" s="90">
        <f>51989051.31-384588.57</f>
        <v>51604462.740000002</v>
      </c>
      <c r="E64" s="91">
        <f>D64/E21</f>
        <v>0.98823481176288319</v>
      </c>
    </row>
    <row r="65" spans="2:5">
      <c r="B65" s="22" t="s">
        <v>33</v>
      </c>
      <c r="C65" s="23" t="s">
        <v>224</v>
      </c>
      <c r="D65" s="90">
        <v>0</v>
      </c>
      <c r="E65" s="91">
        <v>0</v>
      </c>
    </row>
    <row r="66" spans="2:5">
      <c r="B66" s="22" t="s">
        <v>50</v>
      </c>
      <c r="C66" s="23" t="s">
        <v>51</v>
      </c>
      <c r="D66" s="90">
        <v>0</v>
      </c>
      <c r="E66" s="91">
        <v>0</v>
      </c>
    </row>
    <row r="67" spans="2:5">
      <c r="B67" s="15" t="s">
        <v>52</v>
      </c>
      <c r="C67" s="16" t="s">
        <v>53</v>
      </c>
      <c r="D67" s="88">
        <v>0</v>
      </c>
      <c r="E67" s="89">
        <v>0</v>
      </c>
    </row>
    <row r="68" spans="2:5">
      <c r="B68" s="15" t="s">
        <v>54</v>
      </c>
      <c r="C68" s="16" t="s">
        <v>55</v>
      </c>
      <c r="D68" s="88">
        <v>0</v>
      </c>
      <c r="E68" s="89">
        <v>0</v>
      </c>
    </row>
    <row r="69" spans="2:5">
      <c r="B69" s="15" t="s">
        <v>56</v>
      </c>
      <c r="C69" s="16" t="s">
        <v>57</v>
      </c>
      <c r="D69" s="88">
        <v>424626.36000000004</v>
      </c>
      <c r="E69" s="89">
        <f>D69/E21</f>
        <v>8.1316717327025185E-3</v>
      </c>
    </row>
    <row r="70" spans="2:5">
      <c r="B70" s="129" t="s">
        <v>58</v>
      </c>
      <c r="C70" s="130" t="s">
        <v>59</v>
      </c>
      <c r="D70" s="131">
        <v>0</v>
      </c>
      <c r="E70" s="132">
        <v>0</v>
      </c>
    </row>
    <row r="71" spans="2:5">
      <c r="B71" s="137" t="s">
        <v>23</v>
      </c>
      <c r="C71" s="138" t="s">
        <v>61</v>
      </c>
      <c r="D71" s="139">
        <f>E13</f>
        <v>0</v>
      </c>
      <c r="E71" s="70">
        <v>0</v>
      </c>
    </row>
    <row r="72" spans="2:5">
      <c r="B72" s="133" t="s">
        <v>60</v>
      </c>
      <c r="C72" s="134" t="s">
        <v>63</v>
      </c>
      <c r="D72" s="135">
        <f>E14</f>
        <v>260699.01</v>
      </c>
      <c r="E72" s="136">
        <f>D72/E21</f>
        <v>4.9924332779541312E-3</v>
      </c>
    </row>
    <row r="73" spans="2:5">
      <c r="B73" s="24" t="s">
        <v>62</v>
      </c>
      <c r="C73" s="25" t="s">
        <v>65</v>
      </c>
      <c r="D73" s="26">
        <f>E17</f>
        <v>70961.039999999994</v>
      </c>
      <c r="E73" s="27">
        <f>D73/E21</f>
        <v>1.3589167735398541E-3</v>
      </c>
    </row>
    <row r="74" spans="2:5">
      <c r="B74" s="137" t="s">
        <v>64</v>
      </c>
      <c r="C74" s="138" t="s">
        <v>66</v>
      </c>
      <c r="D74" s="139">
        <f>D58+D71+D72-D73</f>
        <v>52218827.07</v>
      </c>
      <c r="E74" s="70">
        <f>E58+E72-E73</f>
        <v>1</v>
      </c>
    </row>
    <row r="75" spans="2:5">
      <c r="B75" s="15" t="s">
        <v>4</v>
      </c>
      <c r="C75" s="16" t="s">
        <v>67</v>
      </c>
      <c r="D75" s="88">
        <f>D74</f>
        <v>52218827.07</v>
      </c>
      <c r="E75" s="89">
        <f>E74</f>
        <v>1</v>
      </c>
    </row>
    <row r="76" spans="2:5">
      <c r="B76" s="15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7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8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5"/>
      <c r="C4" s="155"/>
      <c r="D4" s="155"/>
      <c r="E4" s="155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197</v>
      </c>
      <c r="C6" s="334"/>
      <c r="D6" s="334"/>
      <c r="E6" s="334"/>
    </row>
    <row r="7" spans="2:12" ht="14.25">
      <c r="B7" s="153"/>
      <c r="C7" s="153"/>
      <c r="D7" s="153"/>
      <c r="E7" s="15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4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1551458.15</v>
      </c>
      <c r="E11" s="9">
        <f>E12</f>
        <v>881620.21</v>
      </c>
    </row>
    <row r="12" spans="2:12">
      <c r="B12" s="209" t="s">
        <v>4</v>
      </c>
      <c r="C12" s="210" t="s">
        <v>5</v>
      </c>
      <c r="D12" s="297">
        <v>1551458.15</v>
      </c>
      <c r="E12" s="95">
        <v>881620.21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1551458.15</v>
      </c>
      <c r="E21" s="165">
        <f>E11</f>
        <v>881620.21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1112866.8899999999</v>
      </c>
      <c r="E26" s="112">
        <f>D21</f>
        <v>1551458.15</v>
      </c>
      <c r="G26" s="81"/>
    </row>
    <row r="27" spans="2:11">
      <c r="B27" s="10" t="s">
        <v>17</v>
      </c>
      <c r="C27" s="11" t="s">
        <v>217</v>
      </c>
      <c r="D27" s="245">
        <v>415787.6100000001</v>
      </c>
      <c r="E27" s="269">
        <f>E28-E32</f>
        <v>-722347.41999999993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1310124.28</v>
      </c>
      <c r="E28" s="284">
        <f>SUM(E29:E31)</f>
        <v>114666.78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326698.77</v>
      </c>
      <c r="E29" s="286">
        <v>9937.01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983425.51</v>
      </c>
      <c r="E31" s="286">
        <v>104729.77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894336.66999999993</v>
      </c>
      <c r="E32" s="284">
        <f>SUM(E33:E39)</f>
        <v>837014.2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563873.35</v>
      </c>
      <c r="E33" s="286">
        <v>184225.14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2589.89</v>
      </c>
      <c r="E35" s="286">
        <v>2747.3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17315.23</v>
      </c>
      <c r="E37" s="286">
        <v>19171.810000000001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310558.2</v>
      </c>
      <c r="E39" s="288">
        <v>630869.94999999995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22803.65</v>
      </c>
      <c r="E40" s="115">
        <v>52509.48</v>
      </c>
      <c r="G40" s="81"/>
    </row>
    <row r="41" spans="2:10" ht="13.5" thickBot="1">
      <c r="B41" s="116" t="s">
        <v>37</v>
      </c>
      <c r="C41" s="117" t="s">
        <v>38</v>
      </c>
      <c r="D41" s="249">
        <v>1551458.15</v>
      </c>
      <c r="E41" s="165">
        <f>E26+E27+E40</f>
        <v>881620.21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3936.9826699999999</v>
      </c>
      <c r="E47" s="166">
        <v>5400.1328000000003</v>
      </c>
      <c r="G47" s="77"/>
    </row>
    <row r="48" spans="2:10">
      <c r="B48" s="222" t="s">
        <v>6</v>
      </c>
      <c r="C48" s="223" t="s">
        <v>41</v>
      </c>
      <c r="D48" s="251">
        <v>5400.1328000000003</v>
      </c>
      <c r="E48" s="166">
        <v>2932.2830199999999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282.67</v>
      </c>
      <c r="E50" s="166">
        <v>287.3</v>
      </c>
      <c r="G50" s="208"/>
    </row>
    <row r="51" spans="2:7">
      <c r="B51" s="220" t="s">
        <v>6</v>
      </c>
      <c r="C51" s="221" t="s">
        <v>220</v>
      </c>
      <c r="D51" s="253">
        <v>281.72000000000003</v>
      </c>
      <c r="E51" s="82">
        <v>285.70999999999998</v>
      </c>
      <c r="G51" s="208"/>
    </row>
    <row r="52" spans="2:7">
      <c r="B52" s="220" t="s">
        <v>8</v>
      </c>
      <c r="C52" s="221" t="s">
        <v>221</v>
      </c>
      <c r="D52" s="253">
        <v>294.95</v>
      </c>
      <c r="E52" s="82">
        <v>301.81</v>
      </c>
    </row>
    <row r="53" spans="2:7" ht="12.75" customHeight="1" thickBot="1">
      <c r="B53" s="224" t="s">
        <v>9</v>
      </c>
      <c r="C53" s="225" t="s">
        <v>41</v>
      </c>
      <c r="D53" s="254">
        <v>287.3</v>
      </c>
      <c r="E53" s="167">
        <v>300.66000000000003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881620.21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881620.21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881620.21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881620.21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999999999999995" right="0.75" top="0.61" bottom="0.6" header="0.5" footer="0.5"/>
  <pageSetup paperSize="9" scale="70" orientation="portrait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9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5"/>
      <c r="C4" s="155"/>
      <c r="D4" s="155"/>
      <c r="E4" s="155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177</v>
      </c>
      <c r="C6" s="334"/>
      <c r="D6" s="334"/>
      <c r="E6" s="334"/>
    </row>
    <row r="7" spans="2:12" ht="14.25">
      <c r="B7" s="153"/>
      <c r="C7" s="153"/>
      <c r="D7" s="153"/>
      <c r="E7" s="15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4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126910.11</v>
      </c>
      <c r="E11" s="9">
        <f>E12</f>
        <v>150604.94</v>
      </c>
    </row>
    <row r="12" spans="2:12">
      <c r="B12" s="209" t="s">
        <v>4</v>
      </c>
      <c r="C12" s="210" t="s">
        <v>5</v>
      </c>
      <c r="D12" s="297">
        <v>126910.11</v>
      </c>
      <c r="E12" s="95">
        <f>151755.97-1151.03</f>
        <v>150604.94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126910.11</v>
      </c>
      <c r="E21" s="165">
        <f>E11-E17</f>
        <v>150604.94</v>
      </c>
      <c r="F21" s="86"/>
      <c r="G21" s="171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81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  <c r="G24" s="77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  <c r="G25" s="77"/>
    </row>
    <row r="26" spans="2:11">
      <c r="B26" s="110" t="s">
        <v>15</v>
      </c>
      <c r="C26" s="111" t="s">
        <v>16</v>
      </c>
      <c r="D26" s="244">
        <v>165318.57999999999</v>
      </c>
      <c r="E26" s="112">
        <f>D21</f>
        <v>126910.11</v>
      </c>
      <c r="G26" s="77"/>
    </row>
    <row r="27" spans="2:11">
      <c r="B27" s="10" t="s">
        <v>17</v>
      </c>
      <c r="C27" s="11" t="s">
        <v>217</v>
      </c>
      <c r="D27" s="245">
        <v>-42460.43</v>
      </c>
      <c r="E27" s="269">
        <f>E28-E32</f>
        <v>2551.5800000000017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34940.239999999998</v>
      </c>
      <c r="E28" s="284">
        <f>SUM(E29:E31)</f>
        <v>41932.160000000003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5294.3</v>
      </c>
      <c r="E29" s="286">
        <v>5462.59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29645.94</v>
      </c>
      <c r="E31" s="286">
        <v>36469.57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77400.67</v>
      </c>
      <c r="E32" s="284">
        <f>SUM(E33:E39)</f>
        <v>39380.58</v>
      </c>
      <c r="F32" s="77"/>
      <c r="G32" s="77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13793.8</v>
      </c>
      <c r="E33" s="286">
        <f>29368.74+610.28</f>
        <v>29979.02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604.94000000000005</v>
      </c>
      <c r="E35" s="286">
        <v>501.2</v>
      </c>
      <c r="F35" s="77"/>
      <c r="G35" s="81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81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2349.67</v>
      </c>
      <c r="E37" s="286">
        <v>2497.7600000000002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60652.26</v>
      </c>
      <c r="E39" s="288">
        <v>6402.6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4051.96</v>
      </c>
      <c r="E40" s="115">
        <v>21143.25</v>
      </c>
      <c r="G40" s="81"/>
    </row>
    <row r="41" spans="2:10" ht="13.5" thickBot="1">
      <c r="B41" s="116" t="s">
        <v>37</v>
      </c>
      <c r="C41" s="117" t="s">
        <v>38</v>
      </c>
      <c r="D41" s="249">
        <v>126910.11</v>
      </c>
      <c r="E41" s="165">
        <f>E26+E27+E40</f>
        <v>150604.94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1097.80585</v>
      </c>
      <c r="E47" s="166">
        <v>813.83933000000002</v>
      </c>
      <c r="G47" s="77"/>
    </row>
    <row r="48" spans="2:10">
      <c r="B48" s="222" t="s">
        <v>6</v>
      </c>
      <c r="C48" s="223" t="s">
        <v>41</v>
      </c>
      <c r="D48" s="251">
        <v>813.83933000000002</v>
      </c>
      <c r="E48" s="166">
        <v>830.55719999999997</v>
      </c>
      <c r="G48" s="228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150.59</v>
      </c>
      <c r="E50" s="166">
        <v>155.94</v>
      </c>
      <c r="G50" s="208"/>
    </row>
    <row r="51" spans="2:7">
      <c r="B51" s="220" t="s">
        <v>6</v>
      </c>
      <c r="C51" s="221" t="s">
        <v>220</v>
      </c>
      <c r="D51" s="253">
        <v>140.22999999999999</v>
      </c>
      <c r="E51" s="82">
        <v>152.59</v>
      </c>
      <c r="G51" s="208"/>
    </row>
    <row r="52" spans="2:7">
      <c r="B52" s="220" t="s">
        <v>8</v>
      </c>
      <c r="C52" s="221" t="s">
        <v>221</v>
      </c>
      <c r="D52" s="253">
        <v>163.79</v>
      </c>
      <c r="E52" s="82">
        <v>191.99</v>
      </c>
    </row>
    <row r="53" spans="2:7" ht="13.5" customHeight="1" thickBot="1">
      <c r="B53" s="224" t="s">
        <v>9</v>
      </c>
      <c r="C53" s="225" t="s">
        <v>41</v>
      </c>
      <c r="D53" s="254">
        <v>155.94</v>
      </c>
      <c r="E53" s="167">
        <v>181.33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150604.94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E12</f>
        <v>150604.94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47" t="s">
        <v>64</v>
      </c>
      <c r="C74" s="138" t="s">
        <v>66</v>
      </c>
      <c r="D74" s="139">
        <f>D58-D73</f>
        <v>150604.94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150604.94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3" right="0.75" top="0.53" bottom="0.56000000000000005" header="0.5" footer="0.5"/>
  <pageSetup paperSize="9" scale="70" orientation="portrait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0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5"/>
      <c r="C4" s="155"/>
      <c r="D4" s="155"/>
      <c r="E4" s="155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178</v>
      </c>
      <c r="C6" s="334"/>
      <c r="D6" s="334"/>
      <c r="E6" s="334"/>
    </row>
    <row r="7" spans="2:12" ht="14.25">
      <c r="B7" s="153"/>
      <c r="C7" s="153"/>
      <c r="D7" s="153"/>
      <c r="E7" s="15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4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56145.38</v>
      </c>
      <c r="E11" s="9">
        <f>E12</f>
        <v>59887.72</v>
      </c>
    </row>
    <row r="12" spans="2:12">
      <c r="B12" s="209" t="s">
        <v>4</v>
      </c>
      <c r="C12" s="210" t="s">
        <v>5</v>
      </c>
      <c r="D12" s="297">
        <v>56145.38</v>
      </c>
      <c r="E12" s="95">
        <v>59887.72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56145.38</v>
      </c>
      <c r="E21" s="165">
        <f>E11</f>
        <v>59887.72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51142</v>
      </c>
      <c r="E26" s="112">
        <f>D21</f>
        <v>56145.38</v>
      </c>
      <c r="G26" s="81"/>
    </row>
    <row r="27" spans="2:11">
      <c r="B27" s="10" t="s">
        <v>17</v>
      </c>
      <c r="C27" s="11" t="s">
        <v>217</v>
      </c>
      <c r="D27" s="245">
        <v>-3088.58</v>
      </c>
      <c r="E27" s="269">
        <f>E28-E32</f>
        <v>-2003.85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1561.22</v>
      </c>
      <c r="E28" s="284">
        <f>SUM(E29:E31)</f>
        <v>0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1561.22</v>
      </c>
      <c r="E31" s="286"/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4649.8</v>
      </c>
      <c r="E32" s="284">
        <f>SUM(E33:E39)</f>
        <v>2003.85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3774.8</v>
      </c>
      <c r="E33" s="286">
        <v>1174.05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74.930000000000007</v>
      </c>
      <c r="E35" s="286">
        <v>40.81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800.07</v>
      </c>
      <c r="E37" s="286">
        <v>788.99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8091.96</v>
      </c>
      <c r="E40" s="115">
        <v>5746.19</v>
      </c>
      <c r="G40" s="81"/>
    </row>
    <row r="41" spans="2:10" ht="13.5" thickBot="1">
      <c r="B41" s="116" t="s">
        <v>37</v>
      </c>
      <c r="C41" s="117" t="s">
        <v>38</v>
      </c>
      <c r="D41" s="249">
        <v>56145.38</v>
      </c>
      <c r="E41" s="165">
        <f>E26+E27+E40</f>
        <v>59887.72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291.65667000000002</v>
      </c>
      <c r="E47" s="166">
        <v>275.98002000000002</v>
      </c>
      <c r="G47" s="77"/>
    </row>
    <row r="48" spans="2:10">
      <c r="B48" s="222" t="s">
        <v>6</v>
      </c>
      <c r="C48" s="223" t="s">
        <v>41</v>
      </c>
      <c r="D48" s="251">
        <v>275.98002000000002</v>
      </c>
      <c r="E48" s="166">
        <v>267.12929000000003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175.35</v>
      </c>
      <c r="E50" s="166">
        <v>203.44</v>
      </c>
      <c r="G50" s="208"/>
    </row>
    <row r="51" spans="2:7">
      <c r="B51" s="220" t="s">
        <v>6</v>
      </c>
      <c r="C51" s="221" t="s">
        <v>220</v>
      </c>
      <c r="D51" s="253">
        <v>161.01</v>
      </c>
      <c r="E51" s="82">
        <v>203.3</v>
      </c>
      <c r="G51" s="208"/>
    </row>
    <row r="52" spans="2:7">
      <c r="B52" s="220" t="s">
        <v>8</v>
      </c>
      <c r="C52" s="221" t="s">
        <v>221</v>
      </c>
      <c r="D52" s="253">
        <v>203.44</v>
      </c>
      <c r="E52" s="82">
        <v>231.48</v>
      </c>
    </row>
    <row r="53" spans="2:7" ht="14.25" customHeight="1" thickBot="1">
      <c r="B53" s="224" t="s">
        <v>9</v>
      </c>
      <c r="C53" s="225" t="s">
        <v>41</v>
      </c>
      <c r="D53" s="254">
        <v>203.44</v>
      </c>
      <c r="E53" s="167">
        <v>224.19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59887.72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59887.72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59887.72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59887.72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1">
    <pageSetUpPr fitToPage="1"/>
  </sheetPr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5"/>
      <c r="C4" s="155"/>
      <c r="D4" s="155"/>
      <c r="E4" s="155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201</v>
      </c>
      <c r="C6" s="334"/>
      <c r="D6" s="334"/>
      <c r="E6" s="334"/>
    </row>
    <row r="7" spans="2:12" ht="14.25">
      <c r="B7" s="153"/>
      <c r="C7" s="153"/>
      <c r="D7" s="153"/>
      <c r="E7" s="15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4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8888225.0800000001</v>
      </c>
      <c r="E11" s="9">
        <f>E12</f>
        <v>7798710.8200000003</v>
      </c>
    </row>
    <row r="12" spans="2:12">
      <c r="B12" s="209" t="s">
        <v>4</v>
      </c>
      <c r="C12" s="210" t="s">
        <v>5</v>
      </c>
      <c r="D12" s="297">
        <v>8888225.0800000001</v>
      </c>
      <c r="E12" s="95">
        <v>7798710.8200000003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8888225.0800000001</v>
      </c>
      <c r="E21" s="165">
        <f>E11</f>
        <v>7798710.8200000003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16003026.24</v>
      </c>
      <c r="E26" s="112">
        <f>D21</f>
        <v>8888225.0800000001</v>
      </c>
      <c r="G26" s="81"/>
    </row>
    <row r="27" spans="2:11">
      <c r="B27" s="10" t="s">
        <v>17</v>
      </c>
      <c r="C27" s="11" t="s">
        <v>217</v>
      </c>
      <c r="D27" s="245">
        <v>-6395909.1399999997</v>
      </c>
      <c r="E27" s="269">
        <f>E28-E32</f>
        <v>-1781886.06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441780.45</v>
      </c>
      <c r="E28" s="284">
        <f>SUM(E29:E31)</f>
        <v>230143.61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7000</v>
      </c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434780.45</v>
      </c>
      <c r="E31" s="286">
        <v>230143.61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6837689.5899999999</v>
      </c>
      <c r="E32" s="284">
        <f>SUM(E33:E39)</f>
        <v>2012029.67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2476075.4900000002</v>
      </c>
      <c r="E33" s="286">
        <v>752235.34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71942.36</v>
      </c>
      <c r="E35" s="286">
        <v>16123.54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167035.01999999999</v>
      </c>
      <c r="E37" s="286">
        <v>136043.6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4122636.72</v>
      </c>
      <c r="E39" s="288">
        <v>1107627.19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-718892.02</v>
      </c>
      <c r="E40" s="115">
        <v>692371.8</v>
      </c>
      <c r="G40" s="81"/>
    </row>
    <row r="41" spans="2:10" ht="13.5" thickBot="1">
      <c r="B41" s="116" t="s">
        <v>37</v>
      </c>
      <c r="C41" s="117" t="s">
        <v>38</v>
      </c>
      <c r="D41" s="249">
        <v>8888225.0800000019</v>
      </c>
      <c r="E41" s="165">
        <f>E26+E27+E40</f>
        <v>7798710.8199999994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101891.16415</v>
      </c>
      <c r="E47" s="166">
        <v>56946.598409999999</v>
      </c>
      <c r="G47" s="77"/>
    </row>
    <row r="48" spans="2:10">
      <c r="B48" s="222" t="s">
        <v>6</v>
      </c>
      <c r="C48" s="223" t="s">
        <v>41</v>
      </c>
      <c r="D48" s="251">
        <v>56946.598409999999</v>
      </c>
      <c r="E48" s="166">
        <v>46086.223989999999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157.06</v>
      </c>
      <c r="E50" s="166">
        <v>156.08000000000001</v>
      </c>
      <c r="G50" s="208"/>
    </row>
    <row r="51" spans="2:7">
      <c r="B51" s="220" t="s">
        <v>6</v>
      </c>
      <c r="C51" s="221" t="s">
        <v>220</v>
      </c>
      <c r="D51" s="253">
        <v>127.85000000000001</v>
      </c>
      <c r="E51" s="82">
        <v>154.13999999999999</v>
      </c>
      <c r="G51" s="208"/>
    </row>
    <row r="52" spans="2:7">
      <c r="B52" s="220" t="s">
        <v>8</v>
      </c>
      <c r="C52" s="221" t="s">
        <v>221</v>
      </c>
      <c r="D52" s="253">
        <v>157.06</v>
      </c>
      <c r="E52" s="82">
        <v>171.01</v>
      </c>
    </row>
    <row r="53" spans="2:7" ht="12.75" customHeight="1" thickBot="1">
      <c r="B53" s="224" t="s">
        <v>9</v>
      </c>
      <c r="C53" s="225" t="s">
        <v>41</v>
      </c>
      <c r="D53" s="254">
        <v>156.08000000000001</v>
      </c>
      <c r="E53" s="167">
        <v>169.22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7798710.8200000003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7798710.8200000003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7798710.8200000003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7798710.8200000003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2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5"/>
      <c r="C4" s="155"/>
      <c r="D4" s="155"/>
      <c r="E4" s="155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199</v>
      </c>
      <c r="C6" s="334"/>
      <c r="D6" s="334"/>
      <c r="E6" s="334"/>
    </row>
    <row r="7" spans="2:12" ht="14.25">
      <c r="B7" s="153"/>
      <c r="C7" s="153"/>
      <c r="D7" s="153"/>
      <c r="E7" s="15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4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16734149.279999999</v>
      </c>
      <c r="E11" s="9">
        <f>E12</f>
        <v>16368771.6</v>
      </c>
    </row>
    <row r="12" spans="2:12">
      <c r="B12" s="209" t="s">
        <v>4</v>
      </c>
      <c r="C12" s="210" t="s">
        <v>5</v>
      </c>
      <c r="D12" s="297">
        <v>16734149.279999999</v>
      </c>
      <c r="E12" s="95">
        <v>16368771.6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16734149.279999999</v>
      </c>
      <c r="E21" s="165">
        <f>E11</f>
        <v>16368771.6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17566935.25</v>
      </c>
      <c r="E26" s="112">
        <f>D21</f>
        <v>16734149.279999999</v>
      </c>
      <c r="G26" s="81"/>
    </row>
    <row r="27" spans="2:11">
      <c r="B27" s="10" t="s">
        <v>17</v>
      </c>
      <c r="C27" s="11" t="s">
        <v>217</v>
      </c>
      <c r="D27" s="245">
        <v>-3625125.6600000011</v>
      </c>
      <c r="E27" s="269">
        <f>E28-E32</f>
        <v>-1082950.52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8024705.8899999997</v>
      </c>
      <c r="E28" s="284">
        <f>SUM(E29:E31)</f>
        <v>824538.74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1256785</v>
      </c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6767920.8899999997</v>
      </c>
      <c r="E31" s="286">
        <v>824538.74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11649831.550000001</v>
      </c>
      <c r="E32" s="284">
        <f>SUM(E33:E39)</f>
        <v>1907489.26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4476463.7</v>
      </c>
      <c r="E33" s="286">
        <v>1408129.96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51727.18</v>
      </c>
      <c r="E35" s="286">
        <v>12124.82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290777.77</v>
      </c>
      <c r="E37" s="286">
        <v>273076.39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6830862.9000000004</v>
      </c>
      <c r="E39" s="288">
        <v>214158.09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2792339.69</v>
      </c>
      <c r="E40" s="115">
        <v>717572.84</v>
      </c>
      <c r="G40" s="81"/>
    </row>
    <row r="41" spans="2:10" ht="13.5" thickBot="1">
      <c r="B41" s="116" t="s">
        <v>37</v>
      </c>
      <c r="C41" s="117" t="s">
        <v>38</v>
      </c>
      <c r="D41" s="249">
        <v>16734149.279999999</v>
      </c>
      <c r="E41" s="165">
        <f>E26+E27+E40</f>
        <v>16368771.6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119340.59275</v>
      </c>
      <c r="E47" s="166">
        <v>98021.024380000003</v>
      </c>
      <c r="G47" s="77"/>
    </row>
    <row r="48" spans="2:10">
      <c r="B48" s="222" t="s">
        <v>6</v>
      </c>
      <c r="C48" s="223" t="s">
        <v>41</v>
      </c>
      <c r="D48" s="251">
        <v>98021.024380000003</v>
      </c>
      <c r="E48" s="166">
        <v>91892.278649999993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147.19999999999999</v>
      </c>
      <c r="E50" s="166">
        <v>170.72</v>
      </c>
      <c r="G50" s="208"/>
    </row>
    <row r="51" spans="2:7">
      <c r="B51" s="220" t="s">
        <v>6</v>
      </c>
      <c r="C51" s="221" t="s">
        <v>220</v>
      </c>
      <c r="D51" s="253">
        <v>139.85</v>
      </c>
      <c r="E51" s="166">
        <v>170.72</v>
      </c>
      <c r="G51" s="208"/>
    </row>
    <row r="52" spans="2:7">
      <c r="B52" s="220" t="s">
        <v>8</v>
      </c>
      <c r="C52" s="221" t="s">
        <v>221</v>
      </c>
      <c r="D52" s="253">
        <v>171.14</v>
      </c>
      <c r="E52" s="82">
        <v>178.73</v>
      </c>
    </row>
    <row r="53" spans="2:7" ht="13.5" customHeight="1" thickBot="1">
      <c r="B53" s="224" t="s">
        <v>9</v>
      </c>
      <c r="C53" s="225" t="s">
        <v>41</v>
      </c>
      <c r="D53" s="254">
        <v>170.72</v>
      </c>
      <c r="E53" s="167">
        <v>178.13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16368771.6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16368771.6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16368771.6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16368771.6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3"/>
  <dimension ref="A1:L81"/>
  <sheetViews>
    <sheetView topLeftCell="A22"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5"/>
      <c r="C4" s="155"/>
      <c r="D4" s="155"/>
      <c r="E4" s="155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200</v>
      </c>
      <c r="C6" s="334"/>
      <c r="D6" s="334"/>
      <c r="E6" s="334"/>
    </row>
    <row r="7" spans="2:12" ht="14.25">
      <c r="B7" s="153"/>
      <c r="C7" s="153"/>
      <c r="D7" s="153"/>
      <c r="E7" s="15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4"/>
      <c r="C10" s="85" t="s">
        <v>2</v>
      </c>
      <c r="D10" s="74" t="s">
        <v>245</v>
      </c>
      <c r="E10" s="30" t="s">
        <v>268</v>
      </c>
      <c r="G10" s="77"/>
    </row>
    <row r="11" spans="2:12">
      <c r="B11" s="104" t="s">
        <v>3</v>
      </c>
      <c r="C11" s="145" t="s">
        <v>215</v>
      </c>
      <c r="D11" s="292">
        <v>18273576.52</v>
      </c>
      <c r="E11" s="9">
        <f>E12</f>
        <v>10413724.82</v>
      </c>
    </row>
    <row r="12" spans="2:12">
      <c r="B12" s="209" t="s">
        <v>4</v>
      </c>
      <c r="C12" s="210" t="s">
        <v>5</v>
      </c>
      <c r="D12" s="297">
        <v>18273576.52</v>
      </c>
      <c r="E12" s="95">
        <f>10413737.98-13.16</f>
        <v>10413724.82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18273576.52</v>
      </c>
      <c r="E21" s="165">
        <f>E11-E17</f>
        <v>10413724.82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29965977.789999999</v>
      </c>
      <c r="E26" s="112">
        <f>D21</f>
        <v>18273576.52</v>
      </c>
      <c r="G26" s="81"/>
    </row>
    <row r="27" spans="2:11">
      <c r="B27" s="10" t="s">
        <v>17</v>
      </c>
      <c r="C27" s="11" t="s">
        <v>217</v>
      </c>
      <c r="D27" s="245">
        <v>-13195832.539999999</v>
      </c>
      <c r="E27" s="269">
        <f>E28-E32</f>
        <v>-8054612.7899999991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3369502.81</v>
      </c>
      <c r="E28" s="284">
        <f>SUM(E29:E31)</f>
        <v>773588.25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86775</v>
      </c>
      <c r="E29" s="286">
        <v>7254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3282727.81</v>
      </c>
      <c r="E31" s="286">
        <v>766334.25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16565335.35</v>
      </c>
      <c r="E32" s="284">
        <f>SUM(E33:E39)</f>
        <v>8828201.0399999991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11769796.529999999</v>
      </c>
      <c r="E33" s="286">
        <f>4908956.67-410547.45</f>
        <v>4498409.22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40861.85</v>
      </c>
      <c r="E35" s="286">
        <v>19583.37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360013.46</v>
      </c>
      <c r="E37" s="286">
        <v>239426.33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4394663.51</v>
      </c>
      <c r="E39" s="288">
        <v>4070782.12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1503431.27</v>
      </c>
      <c r="E40" s="115">
        <v>194761.09</v>
      </c>
      <c r="G40" s="81"/>
    </row>
    <row r="41" spans="2:10" ht="13.5" thickBot="1">
      <c r="B41" s="116" t="s">
        <v>37</v>
      </c>
      <c r="C41" s="117" t="s">
        <v>38</v>
      </c>
      <c r="D41" s="249">
        <v>18273576.52</v>
      </c>
      <c r="E41" s="165">
        <f>E26+E27+E40</f>
        <v>10413724.82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151572.97820000001</v>
      </c>
      <c r="E47" s="166">
        <v>82986.269400000005</v>
      </c>
      <c r="G47" s="77"/>
    </row>
    <row r="48" spans="2:10">
      <c r="B48" s="222" t="s">
        <v>6</v>
      </c>
      <c r="C48" s="223" t="s">
        <v>41</v>
      </c>
      <c r="D48" s="251">
        <v>82986.269400000005</v>
      </c>
      <c r="E48" s="166">
        <v>46425.593240000002</v>
      </c>
      <c r="G48" s="228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197.7</v>
      </c>
      <c r="E50" s="166">
        <v>220.2</v>
      </c>
      <c r="G50" s="208"/>
    </row>
    <row r="51" spans="2:7">
      <c r="B51" s="220" t="s">
        <v>6</v>
      </c>
      <c r="C51" s="221" t="s">
        <v>220</v>
      </c>
      <c r="D51" s="253">
        <v>164.93</v>
      </c>
      <c r="E51" s="82">
        <v>209.32</v>
      </c>
      <c r="G51" s="208"/>
    </row>
    <row r="52" spans="2:7">
      <c r="B52" s="220" t="s">
        <v>8</v>
      </c>
      <c r="C52" s="221" t="s">
        <v>221</v>
      </c>
      <c r="D52" s="253">
        <v>225.13</v>
      </c>
      <c r="E52" s="82">
        <v>231.1</v>
      </c>
    </row>
    <row r="53" spans="2:7" ht="13.5" customHeight="1" thickBot="1">
      <c r="B53" s="224" t="s">
        <v>9</v>
      </c>
      <c r="C53" s="225" t="s">
        <v>41</v>
      </c>
      <c r="D53" s="254">
        <v>220.2</v>
      </c>
      <c r="E53" s="167">
        <v>224.31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10413724.82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3.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E12</f>
        <v>10413724.82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47" t="s">
        <v>64</v>
      </c>
      <c r="C74" s="138" t="s">
        <v>66</v>
      </c>
      <c r="D74" s="139">
        <f>D58-D73</f>
        <v>10413724.82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10413724.82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4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5"/>
      <c r="C4" s="155"/>
      <c r="D4" s="155"/>
      <c r="E4" s="155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202</v>
      </c>
      <c r="C6" s="334"/>
      <c r="D6" s="334"/>
      <c r="E6" s="334"/>
    </row>
    <row r="7" spans="2:12" ht="14.25">
      <c r="B7" s="153"/>
      <c r="C7" s="153"/>
      <c r="D7" s="153"/>
      <c r="E7" s="15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4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6086818.46</v>
      </c>
      <c r="E11" s="9">
        <f>E12</f>
        <v>4987681.6399999997</v>
      </c>
    </row>
    <row r="12" spans="2:12">
      <c r="B12" s="209" t="s">
        <v>4</v>
      </c>
      <c r="C12" s="210" t="s">
        <v>5</v>
      </c>
      <c r="D12" s="297">
        <v>6086818.46</v>
      </c>
      <c r="E12" s="95">
        <f>4987689.97-8.33</f>
        <v>4987681.6399999997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6086818.46</v>
      </c>
      <c r="E21" s="165">
        <f>E11</f>
        <v>4987681.6399999997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9542962.4499999993</v>
      </c>
      <c r="E26" s="112">
        <f>D21</f>
        <v>6086818.46</v>
      </c>
      <c r="G26" s="81"/>
    </row>
    <row r="27" spans="2:11">
      <c r="B27" s="10" t="s">
        <v>17</v>
      </c>
      <c r="C27" s="11" t="s">
        <v>217</v>
      </c>
      <c r="D27" s="245">
        <v>-2571283.5900000003</v>
      </c>
      <c r="E27" s="269">
        <f>E28-E32</f>
        <v>-2131194.0500000003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1655255.27</v>
      </c>
      <c r="E28" s="284">
        <f>SUM(E29:E31)</f>
        <v>535682.65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>
        <v>25727</v>
      </c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1655255.27</v>
      </c>
      <c r="E31" s="286">
        <v>509955.65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4226538.8600000003</v>
      </c>
      <c r="E32" s="284">
        <f>SUM(E33:E39)</f>
        <v>2666876.7000000002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1290020.94</v>
      </c>
      <c r="E33" s="286">
        <f>2440037.04+8.33</f>
        <v>2440045.37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18008.04</v>
      </c>
      <c r="E35" s="286">
        <v>4530.6899999999996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89382.05</v>
      </c>
      <c r="E37" s="286">
        <v>89105.47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2829127.83</v>
      </c>
      <c r="E39" s="288">
        <v>133195.17000000001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-884860.4</v>
      </c>
      <c r="E40" s="115">
        <v>1032057.23</v>
      </c>
      <c r="G40" s="81"/>
    </row>
    <row r="41" spans="2:10" ht="13.5" thickBot="1">
      <c r="B41" s="116" t="s">
        <v>37</v>
      </c>
      <c r="C41" s="117" t="s">
        <v>38</v>
      </c>
      <c r="D41" s="249">
        <v>6086818.459999999</v>
      </c>
      <c r="E41" s="165">
        <f>E26+E27+E40</f>
        <v>4987681.6399999997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50047.00258</v>
      </c>
      <c r="E47" s="166">
        <v>34178.328130000002</v>
      </c>
      <c r="G47" s="77"/>
    </row>
    <row r="48" spans="2:10">
      <c r="B48" s="222" t="s">
        <v>6</v>
      </c>
      <c r="C48" s="223" t="s">
        <v>41</v>
      </c>
      <c r="D48" s="251">
        <v>34178.328130000002</v>
      </c>
      <c r="E48" s="166">
        <v>22984.74639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190.68</v>
      </c>
      <c r="E50" s="166">
        <v>178.09</v>
      </c>
      <c r="G50" s="208"/>
    </row>
    <row r="51" spans="2:7">
      <c r="B51" s="220" t="s">
        <v>6</v>
      </c>
      <c r="C51" s="221" t="s">
        <v>220</v>
      </c>
      <c r="D51" s="253">
        <v>139.80000000000001</v>
      </c>
      <c r="E51" s="82">
        <v>172.81</v>
      </c>
      <c r="G51" s="208"/>
    </row>
    <row r="52" spans="2:7">
      <c r="B52" s="220" t="s">
        <v>8</v>
      </c>
      <c r="C52" s="221" t="s">
        <v>221</v>
      </c>
      <c r="D52" s="253">
        <v>190.68</v>
      </c>
      <c r="E52" s="82">
        <v>218.11</v>
      </c>
    </row>
    <row r="53" spans="2:7" ht="12.75" customHeight="1" thickBot="1">
      <c r="B53" s="224" t="s">
        <v>9</v>
      </c>
      <c r="C53" s="225" t="s">
        <v>41</v>
      </c>
      <c r="D53" s="254">
        <v>178.09</v>
      </c>
      <c r="E53" s="167">
        <v>217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7.2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4987681.6399999997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 ht="12.75" customHeight="1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4987681.6399999997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4987681.6399999997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4987681.6399999997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999999999999995" right="0.75" top="0.6" bottom="0.49" header="0.5" footer="0.5"/>
  <pageSetup paperSize="9" scale="70" orientation="portrait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5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5"/>
      <c r="C4" s="155"/>
      <c r="D4" s="155"/>
      <c r="E4" s="155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204</v>
      </c>
      <c r="C6" s="334"/>
      <c r="D6" s="334"/>
      <c r="E6" s="334"/>
    </row>
    <row r="7" spans="2:12" ht="14.25">
      <c r="B7" s="153"/>
      <c r="C7" s="153"/>
      <c r="D7" s="153"/>
      <c r="E7" s="15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4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1347168.74</v>
      </c>
      <c r="E11" s="9">
        <f>E12</f>
        <v>1206746.97</v>
      </c>
    </row>
    <row r="12" spans="2:12">
      <c r="B12" s="209" t="s">
        <v>4</v>
      </c>
      <c r="C12" s="210" t="s">
        <v>5</v>
      </c>
      <c r="D12" s="297">
        <v>1347168.74</v>
      </c>
      <c r="E12" s="95">
        <v>1206746.97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1347168.74</v>
      </c>
      <c r="E21" s="165">
        <f>E11</f>
        <v>1206746.97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65904.72</v>
      </c>
      <c r="E26" s="112">
        <f>D21</f>
        <v>1347168.74</v>
      </c>
      <c r="G26" s="81"/>
    </row>
    <row r="27" spans="2:11">
      <c r="B27" s="10" t="s">
        <v>17</v>
      </c>
      <c r="C27" s="11" t="s">
        <v>217</v>
      </c>
      <c r="D27" s="245">
        <v>1328036.8</v>
      </c>
      <c r="E27" s="269">
        <f>E28-E32</f>
        <v>-469866.47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1338636.96</v>
      </c>
      <c r="E28" s="284">
        <f>SUM(E29:E31)</f>
        <v>160575.71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1338636.96</v>
      </c>
      <c r="E31" s="286">
        <v>160575.71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10600.16</v>
      </c>
      <c r="E32" s="284">
        <f>SUM(E33:E39)</f>
        <v>630442.17999999993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/>
      <c r="E33" s="286">
        <v>606755.12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2429.56</v>
      </c>
      <c r="E35" s="286">
        <v>2508.0700000000002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8170.6</v>
      </c>
      <c r="E37" s="286">
        <v>21178.99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/>
      <c r="E39" s="288"/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-46772.78</v>
      </c>
      <c r="E40" s="115">
        <v>329444.7</v>
      </c>
      <c r="G40" s="81"/>
    </row>
    <row r="41" spans="2:10" ht="13.5" thickBot="1">
      <c r="B41" s="116" t="s">
        <v>37</v>
      </c>
      <c r="C41" s="117" t="s">
        <v>38</v>
      </c>
      <c r="D41" s="249">
        <v>1347168.74</v>
      </c>
      <c r="E41" s="165">
        <f>E26+E27+E40</f>
        <v>1206746.97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627.12644999999998</v>
      </c>
      <c r="E47" s="166">
        <v>12668.504209999999</v>
      </c>
      <c r="G47" s="77"/>
    </row>
    <row r="48" spans="2:10">
      <c r="B48" s="222" t="s">
        <v>6</v>
      </c>
      <c r="C48" s="223" t="s">
        <v>41</v>
      </c>
      <c r="D48" s="251">
        <v>12668.504209999999</v>
      </c>
      <c r="E48" s="166">
        <v>8875.0972600000005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105.09</v>
      </c>
      <c r="E50" s="166">
        <v>106.34</v>
      </c>
      <c r="G50" s="208"/>
    </row>
    <row r="51" spans="2:7">
      <c r="B51" s="220" t="s">
        <v>6</v>
      </c>
      <c r="C51" s="221" t="s">
        <v>220</v>
      </c>
      <c r="D51" s="253">
        <v>92.95</v>
      </c>
      <c r="E51" s="82">
        <v>106.32</v>
      </c>
      <c r="G51" s="208"/>
    </row>
    <row r="52" spans="2:7">
      <c r="B52" s="220" t="s">
        <v>8</v>
      </c>
      <c r="C52" s="221" t="s">
        <v>221</v>
      </c>
      <c r="D52" s="253">
        <v>114.73</v>
      </c>
      <c r="E52" s="82">
        <v>136.9</v>
      </c>
    </row>
    <row r="53" spans="2:7" ht="13.5" customHeight="1" thickBot="1">
      <c r="B53" s="224" t="s">
        <v>9</v>
      </c>
      <c r="C53" s="225" t="s">
        <v>41</v>
      </c>
      <c r="D53" s="254">
        <v>106.34</v>
      </c>
      <c r="E53" s="167">
        <v>135.97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5.7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1206746.97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1206746.97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1206746.97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1206746.97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6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5"/>
      <c r="C4" s="155"/>
      <c r="D4" s="155"/>
      <c r="E4" s="155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203</v>
      </c>
      <c r="C6" s="334"/>
      <c r="D6" s="334"/>
      <c r="E6" s="334"/>
    </row>
    <row r="7" spans="2:12" ht="14.25">
      <c r="B7" s="153"/>
      <c r="C7" s="153"/>
      <c r="D7" s="153"/>
      <c r="E7" s="15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4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1524141.43</v>
      </c>
      <c r="E11" s="9">
        <f>E12</f>
        <v>3448197.9</v>
      </c>
    </row>
    <row r="12" spans="2:12">
      <c r="B12" s="209" t="s">
        <v>4</v>
      </c>
      <c r="C12" s="210" t="s">
        <v>5</v>
      </c>
      <c r="D12" s="297">
        <v>1524141.43</v>
      </c>
      <c r="E12" s="95">
        <v>3448197.9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1524141.43</v>
      </c>
      <c r="E21" s="165">
        <f>E11</f>
        <v>3448197.9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721596.63</v>
      </c>
      <c r="E26" s="112">
        <f>D21</f>
        <v>1524141.43</v>
      </c>
      <c r="G26" s="81"/>
    </row>
    <row r="27" spans="2:11">
      <c r="B27" s="10" t="s">
        <v>17</v>
      </c>
      <c r="C27" s="11" t="s">
        <v>217</v>
      </c>
      <c r="D27" s="245">
        <v>759483.79</v>
      </c>
      <c r="E27" s="269">
        <f>E28-E32</f>
        <v>1652302.21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2629290.2799999998</v>
      </c>
      <c r="E28" s="284">
        <f>SUM(E29:E31)</f>
        <v>3273433.2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>
        <v>344750</v>
      </c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2284540.2799999998</v>
      </c>
      <c r="E31" s="286">
        <v>3273433.2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1869806.4899999998</v>
      </c>
      <c r="E32" s="284">
        <f>SUM(E33:E39)</f>
        <v>1621130.9900000002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1820264.68</v>
      </c>
      <c r="E33" s="286">
        <v>1296175.83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710.88</v>
      </c>
      <c r="E35" s="286">
        <v>980.57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24087.040000000001</v>
      </c>
      <c r="E37" s="286">
        <v>42931.06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24743.89</v>
      </c>
      <c r="E39" s="288">
        <v>281043.53000000003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43061.01</v>
      </c>
      <c r="E40" s="115">
        <v>271754.26</v>
      </c>
      <c r="G40" s="81"/>
    </row>
    <row r="41" spans="2:10" ht="13.5" thickBot="1">
      <c r="B41" s="116" t="s">
        <v>37</v>
      </c>
      <c r="C41" s="117" t="s">
        <v>38</v>
      </c>
      <c r="D41" s="249">
        <v>1524141.43</v>
      </c>
      <c r="E41" s="165">
        <f>E26+E27+E40</f>
        <v>3448197.8999999994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8984.0218499999992</v>
      </c>
      <c r="E47" s="166">
        <v>17819.962960000001</v>
      </c>
      <c r="G47" s="77"/>
    </row>
    <row r="48" spans="2:10">
      <c r="B48" s="222" t="s">
        <v>6</v>
      </c>
      <c r="C48" s="223" t="s">
        <v>41</v>
      </c>
      <c r="D48" s="251">
        <v>17819.962960000001</v>
      </c>
      <c r="E48" s="166">
        <v>35754.851690000003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80.319999999999993</v>
      </c>
      <c r="E50" s="166">
        <v>85.53</v>
      </c>
      <c r="G50" s="208"/>
    </row>
    <row r="51" spans="2:7">
      <c r="B51" s="220" t="s">
        <v>6</v>
      </c>
      <c r="C51" s="221" t="s">
        <v>220</v>
      </c>
      <c r="D51" s="253">
        <v>76.92</v>
      </c>
      <c r="E51" s="166">
        <v>84.59</v>
      </c>
      <c r="G51" s="208"/>
    </row>
    <row r="52" spans="2:7">
      <c r="B52" s="220" t="s">
        <v>8</v>
      </c>
      <c r="C52" s="221" t="s">
        <v>221</v>
      </c>
      <c r="D52" s="253">
        <v>92.89</v>
      </c>
      <c r="E52" s="82">
        <v>98.92</v>
      </c>
    </row>
    <row r="53" spans="2:7" ht="12.75" customHeight="1" thickBot="1">
      <c r="B53" s="224" t="s">
        <v>9</v>
      </c>
      <c r="C53" s="225" t="s">
        <v>41</v>
      </c>
      <c r="D53" s="254">
        <v>85.53</v>
      </c>
      <c r="E53" s="167">
        <v>96.44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3448197.9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3448197.9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3448197.9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3448197.9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7"/>
  <dimension ref="A1:L81"/>
  <sheetViews>
    <sheetView zoomScale="80" zoomScaleNormal="80" workbookViewId="0">
      <selection activeCell="G50" sqref="G50:I51"/>
    </sheetView>
  </sheetViews>
  <sheetFormatPr defaultRowHeight="12.75"/>
  <cols>
    <col min="1" max="1" width="9.140625" style="28"/>
    <col min="2" max="2" width="5.28515625" style="28" bestFit="1" customWidth="1"/>
    <col min="3" max="3" width="75.42578125" style="28" customWidth="1"/>
    <col min="4" max="5" width="17.85546875" style="94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bestFit="1" customWidth="1"/>
  </cols>
  <sheetData>
    <row r="1" spans="2:12">
      <c r="B1" s="1"/>
      <c r="C1" s="1"/>
      <c r="D1" s="2"/>
      <c r="E1" s="2"/>
    </row>
    <row r="2" spans="2:12" ht="15.75">
      <c r="B2" s="332" t="s">
        <v>0</v>
      </c>
      <c r="C2" s="332"/>
      <c r="D2" s="332"/>
      <c r="E2" s="332"/>
      <c r="L2" s="77"/>
    </row>
    <row r="3" spans="2:12" ht="15.75">
      <c r="B3" s="332" t="s">
        <v>272</v>
      </c>
      <c r="C3" s="332"/>
      <c r="D3" s="332"/>
      <c r="E3" s="332"/>
    </row>
    <row r="4" spans="2:12" ht="15">
      <c r="B4" s="155"/>
      <c r="C4" s="155"/>
      <c r="D4" s="155"/>
      <c r="E4" s="155"/>
    </row>
    <row r="5" spans="2:12" ht="21" customHeight="1">
      <c r="B5" s="333" t="s">
        <v>1</v>
      </c>
      <c r="C5" s="333"/>
      <c r="D5" s="333"/>
      <c r="E5" s="333"/>
    </row>
    <row r="6" spans="2:12" ht="14.25">
      <c r="B6" s="334" t="s">
        <v>198</v>
      </c>
      <c r="C6" s="334"/>
      <c r="D6" s="334"/>
      <c r="E6" s="334"/>
    </row>
    <row r="7" spans="2:12" ht="14.25">
      <c r="B7" s="153"/>
      <c r="C7" s="153"/>
      <c r="D7" s="153"/>
      <c r="E7" s="153"/>
    </row>
    <row r="8" spans="2:12" ht="13.5">
      <c r="B8" s="336" t="s">
        <v>18</v>
      </c>
      <c r="C8" s="338"/>
      <c r="D8" s="338"/>
      <c r="E8" s="338"/>
    </row>
    <row r="9" spans="2:12" ht="16.5" thickBot="1">
      <c r="B9" s="335" t="s">
        <v>209</v>
      </c>
      <c r="C9" s="335"/>
      <c r="D9" s="335"/>
      <c r="E9" s="335"/>
    </row>
    <row r="10" spans="2:12" ht="13.5" thickBot="1">
      <c r="B10" s="154"/>
      <c r="C10" s="85" t="s">
        <v>2</v>
      </c>
      <c r="D10" s="74" t="s">
        <v>245</v>
      </c>
      <c r="E10" s="30" t="s">
        <v>268</v>
      </c>
    </row>
    <row r="11" spans="2:12">
      <c r="B11" s="104" t="s">
        <v>3</v>
      </c>
      <c r="C11" s="145" t="s">
        <v>215</v>
      </c>
      <c r="D11" s="292">
        <v>1325230.56</v>
      </c>
      <c r="E11" s="9">
        <f>E12</f>
        <v>1563677.38</v>
      </c>
    </row>
    <row r="12" spans="2:12">
      <c r="B12" s="209" t="s">
        <v>4</v>
      </c>
      <c r="C12" s="210" t="s">
        <v>5</v>
      </c>
      <c r="D12" s="297">
        <v>1325230.56</v>
      </c>
      <c r="E12" s="95">
        <v>1563677.38</v>
      </c>
    </row>
    <row r="13" spans="2:12">
      <c r="B13" s="209" t="s">
        <v>6</v>
      </c>
      <c r="C13" s="211" t="s">
        <v>7</v>
      </c>
      <c r="D13" s="297"/>
      <c r="E13" s="95"/>
    </row>
    <row r="14" spans="2:12">
      <c r="B14" s="209" t="s">
        <v>8</v>
      </c>
      <c r="C14" s="211" t="s">
        <v>10</v>
      </c>
      <c r="D14" s="297"/>
      <c r="E14" s="95"/>
      <c r="G14" s="71"/>
    </row>
    <row r="15" spans="2:12">
      <c r="B15" s="209" t="s">
        <v>212</v>
      </c>
      <c r="C15" s="211" t="s">
        <v>11</v>
      </c>
      <c r="D15" s="297"/>
      <c r="E15" s="95"/>
    </row>
    <row r="16" spans="2:12">
      <c r="B16" s="212" t="s">
        <v>213</v>
      </c>
      <c r="C16" s="213" t="s">
        <v>12</v>
      </c>
      <c r="D16" s="298"/>
      <c r="E16" s="96"/>
    </row>
    <row r="17" spans="2:11">
      <c r="B17" s="10" t="s">
        <v>13</v>
      </c>
      <c r="C17" s="12" t="s">
        <v>65</v>
      </c>
      <c r="D17" s="299"/>
      <c r="E17" s="107"/>
    </row>
    <row r="18" spans="2:11">
      <c r="B18" s="209" t="s">
        <v>4</v>
      </c>
      <c r="C18" s="210" t="s">
        <v>11</v>
      </c>
      <c r="D18" s="297"/>
      <c r="E18" s="96"/>
    </row>
    <row r="19" spans="2:11" ht="15" customHeight="1">
      <c r="B19" s="209" t="s">
        <v>6</v>
      </c>
      <c r="C19" s="211" t="s">
        <v>214</v>
      </c>
      <c r="D19" s="297"/>
      <c r="E19" s="95"/>
    </row>
    <row r="20" spans="2:11" ht="13.5" thickBot="1">
      <c r="B20" s="214" t="s">
        <v>8</v>
      </c>
      <c r="C20" s="215" t="s">
        <v>14</v>
      </c>
      <c r="D20" s="296"/>
      <c r="E20" s="97"/>
    </row>
    <row r="21" spans="2:11" ht="13.5" thickBot="1">
      <c r="B21" s="342" t="s">
        <v>216</v>
      </c>
      <c r="C21" s="343"/>
      <c r="D21" s="87">
        <f>D11</f>
        <v>1325230.56</v>
      </c>
      <c r="E21" s="165">
        <f>E11</f>
        <v>1563677.38</v>
      </c>
      <c r="F21" s="86"/>
      <c r="G21" s="86"/>
      <c r="H21" s="188"/>
      <c r="J21" s="71"/>
      <c r="K21" s="71">
        <f>E21-E41</f>
        <v>0</v>
      </c>
    </row>
    <row r="22" spans="2:11">
      <c r="B22" s="3"/>
      <c r="C22" s="7"/>
      <c r="D22" s="8"/>
      <c r="E22" s="8"/>
      <c r="G22" s="77"/>
    </row>
    <row r="23" spans="2:11" ht="13.5">
      <c r="B23" s="336" t="s">
        <v>210</v>
      </c>
      <c r="C23" s="348"/>
      <c r="D23" s="348"/>
      <c r="E23" s="348"/>
      <c r="G23" s="77"/>
    </row>
    <row r="24" spans="2:11" ht="15.75" customHeight="1" thickBot="1">
      <c r="B24" s="335" t="s">
        <v>211</v>
      </c>
      <c r="C24" s="349"/>
      <c r="D24" s="349"/>
      <c r="E24" s="349"/>
    </row>
    <row r="25" spans="2:11" ht="13.5" thickBot="1">
      <c r="B25" s="266"/>
      <c r="C25" s="216" t="s">
        <v>2</v>
      </c>
      <c r="D25" s="74" t="s">
        <v>245</v>
      </c>
      <c r="E25" s="30" t="s">
        <v>268</v>
      </c>
    </row>
    <row r="26" spans="2:11">
      <c r="B26" s="110" t="s">
        <v>15</v>
      </c>
      <c r="C26" s="111" t="s">
        <v>16</v>
      </c>
      <c r="D26" s="244">
        <v>1163538.51</v>
      </c>
      <c r="E26" s="112">
        <f>D21</f>
        <v>1325230.56</v>
      </c>
      <c r="G26" s="81"/>
    </row>
    <row r="27" spans="2:11">
      <c r="B27" s="10" t="s">
        <v>17</v>
      </c>
      <c r="C27" s="11" t="s">
        <v>217</v>
      </c>
      <c r="D27" s="245">
        <v>14233.099999999977</v>
      </c>
      <c r="E27" s="269">
        <f>E28-E32</f>
        <v>92319.63</v>
      </c>
      <c r="F27" s="77"/>
      <c r="G27" s="81"/>
      <c r="H27" s="77"/>
      <c r="I27" s="77"/>
      <c r="J27" s="81"/>
    </row>
    <row r="28" spans="2:11">
      <c r="B28" s="10" t="s">
        <v>18</v>
      </c>
      <c r="C28" s="11" t="s">
        <v>19</v>
      </c>
      <c r="D28" s="245">
        <v>469256.17</v>
      </c>
      <c r="E28" s="284">
        <f>SUM(E29:E31)</f>
        <v>241251.79</v>
      </c>
      <c r="F28" s="77"/>
      <c r="G28" s="77"/>
      <c r="H28" s="77"/>
      <c r="I28" s="77"/>
      <c r="J28" s="81"/>
    </row>
    <row r="29" spans="2:11">
      <c r="B29" s="217" t="s">
        <v>4</v>
      </c>
      <c r="C29" s="210" t="s">
        <v>20</v>
      </c>
      <c r="D29" s="246"/>
      <c r="E29" s="286"/>
      <c r="F29" s="77"/>
      <c r="G29" s="77"/>
      <c r="H29" s="77"/>
      <c r="I29" s="77"/>
      <c r="J29" s="81"/>
    </row>
    <row r="30" spans="2:11">
      <c r="B30" s="217" t="s">
        <v>6</v>
      </c>
      <c r="C30" s="210" t="s">
        <v>21</v>
      </c>
      <c r="D30" s="246"/>
      <c r="E30" s="286"/>
      <c r="F30" s="77"/>
      <c r="G30" s="77"/>
      <c r="H30" s="77"/>
      <c r="I30" s="77"/>
      <c r="J30" s="81"/>
    </row>
    <row r="31" spans="2:11">
      <c r="B31" s="217" t="s">
        <v>8</v>
      </c>
      <c r="C31" s="210" t="s">
        <v>22</v>
      </c>
      <c r="D31" s="246">
        <v>469256.17</v>
      </c>
      <c r="E31" s="286">
        <v>241251.79</v>
      </c>
      <c r="F31" s="77"/>
      <c r="G31" s="77"/>
      <c r="H31" s="77"/>
      <c r="I31" s="77"/>
      <c r="J31" s="81"/>
    </row>
    <row r="32" spans="2:11">
      <c r="B32" s="106" t="s">
        <v>23</v>
      </c>
      <c r="C32" s="12" t="s">
        <v>24</v>
      </c>
      <c r="D32" s="245">
        <v>455023.07</v>
      </c>
      <c r="E32" s="284">
        <f>SUM(E33:E39)</f>
        <v>148932.16</v>
      </c>
      <c r="F32" s="77"/>
      <c r="G32" s="81"/>
      <c r="H32" s="77"/>
      <c r="I32" s="77"/>
      <c r="J32" s="81"/>
    </row>
    <row r="33" spans="2:10">
      <c r="B33" s="217" t="s">
        <v>4</v>
      </c>
      <c r="C33" s="210" t="s">
        <v>25</v>
      </c>
      <c r="D33" s="246">
        <v>329336.3</v>
      </c>
      <c r="E33" s="286">
        <v>97729.49</v>
      </c>
      <c r="F33" s="77"/>
      <c r="G33" s="77"/>
      <c r="H33" s="77"/>
      <c r="I33" s="77"/>
      <c r="J33" s="81"/>
    </row>
    <row r="34" spans="2:10">
      <c r="B34" s="217" t="s">
        <v>6</v>
      </c>
      <c r="C34" s="210" t="s">
        <v>26</v>
      </c>
      <c r="D34" s="246"/>
      <c r="E34" s="286"/>
      <c r="F34" s="77"/>
      <c r="G34" s="77"/>
      <c r="H34" s="77"/>
      <c r="I34" s="77"/>
      <c r="J34" s="81"/>
    </row>
    <row r="35" spans="2:10">
      <c r="B35" s="217" t="s">
        <v>8</v>
      </c>
      <c r="C35" s="210" t="s">
        <v>27</v>
      </c>
      <c r="D35" s="246">
        <v>2565.92</v>
      </c>
      <c r="E35" s="286">
        <v>765.9</v>
      </c>
      <c r="F35" s="77"/>
      <c r="G35" s="77"/>
      <c r="H35" s="77"/>
      <c r="I35" s="77"/>
      <c r="J35" s="81"/>
    </row>
    <row r="36" spans="2:10">
      <c r="B36" s="217" t="s">
        <v>9</v>
      </c>
      <c r="C36" s="210" t="s">
        <v>28</v>
      </c>
      <c r="D36" s="246"/>
      <c r="E36" s="286"/>
      <c r="F36" s="77"/>
      <c r="G36" s="77"/>
      <c r="H36" s="77"/>
      <c r="I36" s="77"/>
      <c r="J36" s="81"/>
    </row>
    <row r="37" spans="2:10" ht="25.5">
      <c r="B37" s="217" t="s">
        <v>29</v>
      </c>
      <c r="C37" s="210" t="s">
        <v>30</v>
      </c>
      <c r="D37" s="246">
        <v>16702.89</v>
      </c>
      <c r="E37" s="286">
        <v>24437.52</v>
      </c>
      <c r="F37" s="77"/>
      <c r="G37" s="77"/>
      <c r="H37" s="77"/>
      <c r="I37" s="77"/>
      <c r="J37" s="81"/>
    </row>
    <row r="38" spans="2:10">
      <c r="B38" s="217" t="s">
        <v>31</v>
      </c>
      <c r="C38" s="210" t="s">
        <v>32</v>
      </c>
      <c r="D38" s="246"/>
      <c r="E38" s="286"/>
      <c r="F38" s="77"/>
      <c r="G38" s="77"/>
      <c r="H38" s="77"/>
      <c r="I38" s="77"/>
      <c r="J38" s="81"/>
    </row>
    <row r="39" spans="2:10">
      <c r="B39" s="218" t="s">
        <v>33</v>
      </c>
      <c r="C39" s="219" t="s">
        <v>34</v>
      </c>
      <c r="D39" s="247">
        <v>106417.96</v>
      </c>
      <c r="E39" s="288">
        <v>25999.25</v>
      </c>
      <c r="F39" s="77"/>
      <c r="G39" s="77"/>
      <c r="H39" s="77"/>
      <c r="I39" s="77"/>
      <c r="J39" s="81"/>
    </row>
    <row r="40" spans="2:10" ht="13.5" thickBot="1">
      <c r="B40" s="113" t="s">
        <v>35</v>
      </c>
      <c r="C40" s="114" t="s">
        <v>36</v>
      </c>
      <c r="D40" s="248">
        <v>147458.95000000001</v>
      </c>
      <c r="E40" s="115">
        <v>146127.19</v>
      </c>
      <c r="G40" s="81"/>
    </row>
    <row r="41" spans="2:10" ht="13.5" thickBot="1">
      <c r="B41" s="116" t="s">
        <v>37</v>
      </c>
      <c r="C41" s="117" t="s">
        <v>38</v>
      </c>
      <c r="D41" s="249">
        <v>1325230.5599999998</v>
      </c>
      <c r="E41" s="165">
        <f>E26+E27+E40</f>
        <v>1563677.38</v>
      </c>
      <c r="F41" s="86"/>
      <c r="G41" s="81"/>
    </row>
    <row r="42" spans="2:10">
      <c r="B42" s="108"/>
      <c r="C42" s="108"/>
      <c r="D42" s="109"/>
      <c r="E42" s="109"/>
      <c r="F42" s="86"/>
      <c r="G42" s="71"/>
    </row>
    <row r="43" spans="2:10" ht="13.5">
      <c r="B43" s="337" t="s">
        <v>60</v>
      </c>
      <c r="C43" s="347"/>
      <c r="D43" s="347"/>
      <c r="E43" s="347"/>
      <c r="G43" s="77"/>
    </row>
    <row r="44" spans="2:10" ht="18" customHeight="1" thickBot="1">
      <c r="B44" s="335" t="s">
        <v>243</v>
      </c>
      <c r="C44" s="346"/>
      <c r="D44" s="346"/>
      <c r="E44" s="346"/>
      <c r="G44" s="77"/>
    </row>
    <row r="45" spans="2:10" ht="13.5" thickBot="1">
      <c r="B45" s="266"/>
      <c r="C45" s="31" t="s">
        <v>39</v>
      </c>
      <c r="D45" s="74" t="s">
        <v>245</v>
      </c>
      <c r="E45" s="30" t="s">
        <v>268</v>
      </c>
      <c r="G45" s="77"/>
    </row>
    <row r="46" spans="2:10">
      <c r="B46" s="14" t="s">
        <v>18</v>
      </c>
      <c r="C46" s="32" t="s">
        <v>218</v>
      </c>
      <c r="D46" s="118"/>
      <c r="E46" s="29"/>
      <c r="G46" s="77"/>
    </row>
    <row r="47" spans="2:10">
      <c r="B47" s="220" t="s">
        <v>4</v>
      </c>
      <c r="C47" s="221" t="s">
        <v>40</v>
      </c>
      <c r="D47" s="250">
        <v>7198.3327799999997</v>
      </c>
      <c r="E47" s="166">
        <v>7131.4134299999996</v>
      </c>
      <c r="G47" s="77"/>
    </row>
    <row r="48" spans="2:10">
      <c r="B48" s="222" t="s">
        <v>6</v>
      </c>
      <c r="C48" s="223" t="s">
        <v>41</v>
      </c>
      <c r="D48" s="251">
        <v>7131.4134299999996</v>
      </c>
      <c r="E48" s="166">
        <v>7552.9023999999999</v>
      </c>
      <c r="G48" s="77"/>
    </row>
    <row r="49" spans="2:7">
      <c r="B49" s="137" t="s">
        <v>23</v>
      </c>
      <c r="C49" s="141" t="s">
        <v>219</v>
      </c>
      <c r="D49" s="252"/>
      <c r="E49" s="166"/>
    </row>
    <row r="50" spans="2:7">
      <c r="B50" s="220" t="s">
        <v>4</v>
      </c>
      <c r="C50" s="221" t="s">
        <v>40</v>
      </c>
      <c r="D50" s="250">
        <v>161.63999999999999</v>
      </c>
      <c r="E50" s="166">
        <v>185.83</v>
      </c>
      <c r="G50" s="208"/>
    </row>
    <row r="51" spans="2:7">
      <c r="B51" s="220" t="s">
        <v>6</v>
      </c>
      <c r="C51" s="221" t="s">
        <v>220</v>
      </c>
      <c r="D51" s="253">
        <v>142.57</v>
      </c>
      <c r="E51" s="82">
        <v>185.29</v>
      </c>
      <c r="G51" s="208"/>
    </row>
    <row r="52" spans="2:7">
      <c r="B52" s="220" t="s">
        <v>8</v>
      </c>
      <c r="C52" s="221" t="s">
        <v>221</v>
      </c>
      <c r="D52" s="253">
        <v>169.51</v>
      </c>
      <c r="E52" s="82">
        <v>208.32</v>
      </c>
    </row>
    <row r="53" spans="2:7" ht="12.75" customHeight="1" thickBot="1">
      <c r="B53" s="224" t="s">
        <v>9</v>
      </c>
      <c r="C53" s="225" t="s">
        <v>41</v>
      </c>
      <c r="D53" s="254">
        <v>185.83</v>
      </c>
      <c r="E53" s="167">
        <v>207.03</v>
      </c>
    </row>
    <row r="54" spans="2:7">
      <c r="B54" s="126"/>
      <c r="C54" s="127"/>
      <c r="D54" s="128"/>
      <c r="E54" s="128"/>
    </row>
    <row r="55" spans="2:7" ht="13.5">
      <c r="B55" s="337" t="s">
        <v>62</v>
      </c>
      <c r="C55" s="338"/>
      <c r="D55" s="338"/>
      <c r="E55" s="338"/>
    </row>
    <row r="56" spans="2:7" ht="16.5" customHeight="1" thickBot="1">
      <c r="B56" s="335" t="s">
        <v>222</v>
      </c>
      <c r="C56" s="339"/>
      <c r="D56" s="339"/>
      <c r="E56" s="339"/>
    </row>
    <row r="57" spans="2:7" ht="23.25" thickBot="1">
      <c r="B57" s="330" t="s">
        <v>42</v>
      </c>
      <c r="C57" s="331"/>
      <c r="D57" s="19" t="s">
        <v>244</v>
      </c>
      <c r="E57" s="20" t="s">
        <v>223</v>
      </c>
    </row>
    <row r="58" spans="2:7">
      <c r="B58" s="21" t="s">
        <v>18</v>
      </c>
      <c r="C58" s="143" t="s">
        <v>43</v>
      </c>
      <c r="D58" s="144">
        <f>D64</f>
        <v>1563677.38</v>
      </c>
      <c r="E58" s="33">
        <f>D58/E21</f>
        <v>1</v>
      </c>
    </row>
    <row r="59" spans="2:7" ht="25.5">
      <c r="B59" s="140" t="s">
        <v>4</v>
      </c>
      <c r="C59" s="23" t="s">
        <v>44</v>
      </c>
      <c r="D59" s="90">
        <v>0</v>
      </c>
      <c r="E59" s="91">
        <v>0</v>
      </c>
    </row>
    <row r="60" spans="2:7" ht="25.5">
      <c r="B60" s="119" t="s">
        <v>6</v>
      </c>
      <c r="C60" s="16" t="s">
        <v>45</v>
      </c>
      <c r="D60" s="88">
        <v>0</v>
      </c>
      <c r="E60" s="89">
        <v>0</v>
      </c>
    </row>
    <row r="61" spans="2:7">
      <c r="B61" s="119" t="s">
        <v>8</v>
      </c>
      <c r="C61" s="16" t="s">
        <v>46</v>
      </c>
      <c r="D61" s="88">
        <v>0</v>
      </c>
      <c r="E61" s="89">
        <v>0</v>
      </c>
    </row>
    <row r="62" spans="2:7">
      <c r="B62" s="119" t="s">
        <v>9</v>
      </c>
      <c r="C62" s="16" t="s">
        <v>47</v>
      </c>
      <c r="D62" s="88">
        <v>0</v>
      </c>
      <c r="E62" s="89">
        <v>0</v>
      </c>
    </row>
    <row r="63" spans="2:7">
      <c r="B63" s="119" t="s">
        <v>29</v>
      </c>
      <c r="C63" s="16" t="s">
        <v>48</v>
      </c>
      <c r="D63" s="88">
        <v>0</v>
      </c>
      <c r="E63" s="89">
        <v>0</v>
      </c>
    </row>
    <row r="64" spans="2:7">
      <c r="B64" s="140" t="s">
        <v>31</v>
      </c>
      <c r="C64" s="23" t="s">
        <v>49</v>
      </c>
      <c r="D64" s="90">
        <f>E21</f>
        <v>1563677.38</v>
      </c>
      <c r="E64" s="91">
        <f>E58</f>
        <v>1</v>
      </c>
    </row>
    <row r="65" spans="2:5">
      <c r="B65" s="140" t="s">
        <v>33</v>
      </c>
      <c r="C65" s="23" t="s">
        <v>224</v>
      </c>
      <c r="D65" s="90">
        <v>0</v>
      </c>
      <c r="E65" s="91">
        <v>0</v>
      </c>
    </row>
    <row r="66" spans="2:5">
      <c r="B66" s="140" t="s">
        <v>50</v>
      </c>
      <c r="C66" s="23" t="s">
        <v>51</v>
      </c>
      <c r="D66" s="90">
        <v>0</v>
      </c>
      <c r="E66" s="91">
        <v>0</v>
      </c>
    </row>
    <row r="67" spans="2:5">
      <c r="B67" s="119" t="s">
        <v>52</v>
      </c>
      <c r="C67" s="16" t="s">
        <v>53</v>
      </c>
      <c r="D67" s="88">
        <v>0</v>
      </c>
      <c r="E67" s="89">
        <v>0</v>
      </c>
    </row>
    <row r="68" spans="2:5">
      <c r="B68" s="119" t="s">
        <v>54</v>
      </c>
      <c r="C68" s="16" t="s">
        <v>55</v>
      </c>
      <c r="D68" s="88">
        <v>0</v>
      </c>
      <c r="E68" s="89">
        <v>0</v>
      </c>
    </row>
    <row r="69" spans="2:5">
      <c r="B69" s="119" t="s">
        <v>56</v>
      </c>
      <c r="C69" s="16" t="s">
        <v>57</v>
      </c>
      <c r="D69" s="88">
        <v>0</v>
      </c>
      <c r="E69" s="89">
        <v>0</v>
      </c>
    </row>
    <row r="70" spans="2:5">
      <c r="B70" s="146" t="s">
        <v>58</v>
      </c>
      <c r="C70" s="130" t="s">
        <v>59</v>
      </c>
      <c r="D70" s="131">
        <v>0</v>
      </c>
      <c r="E70" s="132">
        <v>0</v>
      </c>
    </row>
    <row r="71" spans="2:5">
      <c r="B71" s="147" t="s">
        <v>23</v>
      </c>
      <c r="C71" s="138" t="s">
        <v>61</v>
      </c>
      <c r="D71" s="139">
        <v>0</v>
      </c>
      <c r="E71" s="70">
        <v>0</v>
      </c>
    </row>
    <row r="72" spans="2:5">
      <c r="B72" s="148" t="s">
        <v>60</v>
      </c>
      <c r="C72" s="134" t="s">
        <v>63</v>
      </c>
      <c r="D72" s="135">
        <f>E14</f>
        <v>0</v>
      </c>
      <c r="E72" s="136">
        <v>0</v>
      </c>
    </row>
    <row r="73" spans="2:5">
      <c r="B73" s="149" t="s">
        <v>62</v>
      </c>
      <c r="C73" s="25" t="s">
        <v>65</v>
      </c>
      <c r="D73" s="26">
        <v>0</v>
      </c>
      <c r="E73" s="27">
        <v>0</v>
      </c>
    </row>
    <row r="74" spans="2:5">
      <c r="B74" s="147" t="s">
        <v>64</v>
      </c>
      <c r="C74" s="138" t="s">
        <v>66</v>
      </c>
      <c r="D74" s="139">
        <f>D58</f>
        <v>1563677.38</v>
      </c>
      <c r="E74" s="70">
        <f>E58+E72-E73</f>
        <v>1</v>
      </c>
    </row>
    <row r="75" spans="2:5">
      <c r="B75" s="119" t="s">
        <v>4</v>
      </c>
      <c r="C75" s="16" t="s">
        <v>67</v>
      </c>
      <c r="D75" s="88">
        <f>D74</f>
        <v>1563677.38</v>
      </c>
      <c r="E75" s="89">
        <f>E74</f>
        <v>1</v>
      </c>
    </row>
    <row r="76" spans="2:5">
      <c r="B76" s="119" t="s">
        <v>6</v>
      </c>
      <c r="C76" s="16" t="s">
        <v>225</v>
      </c>
      <c r="D76" s="88">
        <v>0</v>
      </c>
      <c r="E76" s="89">
        <v>0</v>
      </c>
    </row>
    <row r="77" spans="2:5" ht="13.5" thickBot="1">
      <c r="B77" s="120" t="s">
        <v>8</v>
      </c>
      <c r="C77" s="18" t="s">
        <v>226</v>
      </c>
      <c r="D77" s="92">
        <v>0</v>
      </c>
      <c r="E77" s="93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175</vt:i4>
      </vt:variant>
      <vt:variant>
        <vt:lpstr>Zakresy nazwane</vt:lpstr>
      </vt:variant>
      <vt:variant>
        <vt:i4>66</vt:i4>
      </vt:variant>
    </vt:vector>
  </HeadingPairs>
  <TitlesOfParts>
    <vt:vector size="241" baseType="lpstr">
      <vt:lpstr>Fundusz Gwarantowany</vt:lpstr>
      <vt:lpstr>Fundusz Stabilnego Wzrostu</vt:lpstr>
      <vt:lpstr>Fundusz Dynamiczny</vt:lpstr>
      <vt:lpstr>Fundusz Obligacji Plus</vt:lpstr>
      <vt:lpstr>Fundusz Aktywnej Alokacji</vt:lpstr>
      <vt:lpstr>Fundusz Akcji Plus</vt:lpstr>
      <vt:lpstr>Fundusz Akcji Małych i ŚS</vt:lpstr>
      <vt:lpstr>Fundusz Pieniężny</vt:lpstr>
      <vt:lpstr>Fundusz Polskich Obl. Skarb.</vt:lpstr>
      <vt:lpstr>Fundusz Selektywny</vt:lpstr>
      <vt:lpstr>Fundusz Akcji Glob.</vt:lpstr>
      <vt:lpstr>Fundusz Obligacji Glob.</vt:lpstr>
      <vt:lpstr>Fundusz Energetyczny</vt:lpstr>
      <vt:lpstr>Portfel Aktywnej Alokacji</vt:lpstr>
      <vt:lpstr>Portfel Dynamiczny</vt:lpstr>
      <vt:lpstr>Portfel Stabilnego Wzrostu</vt:lpstr>
      <vt:lpstr>Portfel ARR</vt:lpstr>
      <vt:lpstr>Portfel ARW</vt:lpstr>
      <vt:lpstr>Portfel OZ</vt:lpstr>
      <vt:lpstr>Portfel OR</vt:lpstr>
      <vt:lpstr>Portfel SA</vt:lpstr>
      <vt:lpstr>Fundusz Konserwatywny</vt:lpstr>
      <vt:lpstr>Fundusz Zrównoważony</vt:lpstr>
      <vt:lpstr>Fundusz Aktywny</vt:lpstr>
      <vt:lpstr>Fundusz Międzynarodowy</vt:lpstr>
      <vt:lpstr>Fundusz Azjatycki</vt:lpstr>
      <vt:lpstr>Aktywny - Surowce i Nowe Gosp.</vt:lpstr>
      <vt:lpstr>Zabezpieczony - Dalekiego Wsch.</vt:lpstr>
      <vt:lpstr>Zaabezpieczony - Europy Wsch.</vt:lpstr>
      <vt:lpstr>Strategii Multiobligacyjnych</vt:lpstr>
      <vt:lpstr>Zabezpieczony - Rynku Polskiego</vt:lpstr>
      <vt:lpstr>INDEKS2</vt:lpstr>
      <vt:lpstr>Allianz Akcji</vt:lpstr>
      <vt:lpstr>Allianz Stabilnego Wzrostu</vt:lpstr>
      <vt:lpstr>Allianz Obligacji Plus</vt:lpstr>
      <vt:lpstr>Allianz Aktywnej Alokacji</vt:lpstr>
      <vt:lpstr>Allianz Akcji Małych i ŚS</vt:lpstr>
      <vt:lpstr>Allianz Pieniężny</vt:lpstr>
      <vt:lpstr>Allianz Polskich Obl.Skarb.</vt:lpstr>
      <vt:lpstr>Allianz Selektywny</vt:lpstr>
      <vt:lpstr>Allianz Akcji Glob.</vt:lpstr>
      <vt:lpstr>Allianz Surowców i Energii</vt:lpstr>
      <vt:lpstr>Allianz Akcji Rynkow Wsch</vt:lpstr>
      <vt:lpstr>Allianz Dyn.Multistrategia</vt:lpstr>
      <vt:lpstr>Allianz Def.Multistrategia</vt:lpstr>
      <vt:lpstr>Allianz Zbal.Multistrategia</vt:lpstr>
      <vt:lpstr>Allianz GSD</vt:lpstr>
      <vt:lpstr>Allianz SAOG</vt:lpstr>
      <vt:lpstr>Altus ASZD</vt:lpstr>
      <vt:lpstr>Altus ASZRP</vt:lpstr>
      <vt:lpstr>Aviva Dł.Pap.Korp.</vt:lpstr>
      <vt:lpstr>Aviva MS</vt:lpstr>
      <vt:lpstr>Franklin EDF</vt:lpstr>
      <vt:lpstr>Franklin GFS</vt:lpstr>
      <vt:lpstr>Franklin NR</vt:lpstr>
      <vt:lpstr>Franklin USO</vt:lpstr>
      <vt:lpstr>GS EMDP</vt:lpstr>
      <vt:lpstr>GS GSMBP</vt:lpstr>
      <vt:lpstr>Inwestor Akcji</vt:lpstr>
      <vt:lpstr>Investor Akcji Sp.Dyw.</vt:lpstr>
      <vt:lpstr>Investor TOP 25 MS</vt:lpstr>
      <vt:lpstr>Investor Zrównoważony</vt:lpstr>
      <vt:lpstr>Investor Ameryka Łacińska</vt:lpstr>
      <vt:lpstr>Investor BRIC</vt:lpstr>
      <vt:lpstr>Investor Gold</vt:lpstr>
      <vt:lpstr>Investor Got.</vt:lpstr>
      <vt:lpstr>Investor Indie i Chiny</vt:lpstr>
      <vt:lpstr>Investor Turcja</vt:lpstr>
      <vt:lpstr>Investor OK</vt:lpstr>
      <vt:lpstr>Investor PL</vt:lpstr>
      <vt:lpstr>Investor ZE</vt:lpstr>
      <vt:lpstr>Investor ASW</vt:lpstr>
      <vt:lpstr>Ipopema A</vt:lpstr>
      <vt:lpstr>JPM EMO</vt:lpstr>
      <vt:lpstr>JPM GH</vt:lpstr>
      <vt:lpstr>JPM GSB</vt:lpstr>
      <vt:lpstr>JPM GMO</vt:lpstr>
      <vt:lpstr>Esaliens Akcji</vt:lpstr>
      <vt:lpstr>Esaliens Obligacji</vt:lpstr>
      <vt:lpstr>Esaliens Pieniężny</vt:lpstr>
      <vt:lpstr>Esaliens Strateg</vt:lpstr>
      <vt:lpstr>Millenium Master I</vt:lpstr>
      <vt:lpstr>Millenium Master II</vt:lpstr>
      <vt:lpstr>Millenium Master III</vt:lpstr>
      <vt:lpstr>Millenium Master IV</vt:lpstr>
      <vt:lpstr>Millenium Master V</vt:lpstr>
      <vt:lpstr>Millenium Master VI</vt:lpstr>
      <vt:lpstr>Millenium Master VII</vt:lpstr>
      <vt:lpstr>NN Akcji</vt:lpstr>
      <vt:lpstr>NN Obligacji</vt:lpstr>
      <vt:lpstr>NN AŚ</vt:lpstr>
      <vt:lpstr>NN ŚMS</vt:lpstr>
      <vt:lpstr>NN Eur.SD</vt:lpstr>
      <vt:lpstr>NN Glob. Długu Korp.</vt:lpstr>
      <vt:lpstr>NN Glob.SD</vt:lpstr>
      <vt:lpstr>NN J</vt:lpstr>
      <vt:lpstr>NN NA</vt:lpstr>
      <vt:lpstr>NN ORW</vt:lpstr>
      <vt:lpstr>NN Sp.Dyw.USA</vt:lpstr>
      <vt:lpstr>NN SGA</vt:lpstr>
      <vt:lpstr>NN SDRW</vt:lpstr>
      <vt:lpstr>NN D</vt:lpstr>
      <vt:lpstr>Noble AMiŚS</vt:lpstr>
      <vt:lpstr>Noble A</vt:lpstr>
      <vt:lpstr>Pioneer ARW</vt:lpstr>
      <vt:lpstr>Pioneer AGD</vt:lpstr>
      <vt:lpstr>Pioneer OS</vt:lpstr>
      <vt:lpstr>Pioneer G</vt:lpstr>
      <vt:lpstr>Pioneer WDRE</vt:lpstr>
      <vt:lpstr>Pioneer Surowców i Energii</vt:lpstr>
      <vt:lpstr>Pioneer AP</vt:lpstr>
      <vt:lpstr>Pioneer DS</vt:lpstr>
      <vt:lpstr>Pioneer OP</vt:lpstr>
      <vt:lpstr>Pioneer P</vt:lpstr>
      <vt:lpstr>Pioneer P+</vt:lpstr>
      <vt:lpstr>Pioneer Stab.Inwest.</vt:lpstr>
      <vt:lpstr>Pioneer DA2</vt:lpstr>
      <vt:lpstr>Pioneer AS</vt:lpstr>
      <vt:lpstr>Pioneer AA</vt:lpstr>
      <vt:lpstr>Pioneer AE</vt:lpstr>
      <vt:lpstr>Pioneer SG</vt:lpstr>
      <vt:lpstr>Pioneer AMIŚSRR</vt:lpstr>
      <vt:lpstr>Pioneer OID</vt:lpstr>
      <vt:lpstr>PKO Akcji Nowa Europa</vt:lpstr>
      <vt:lpstr>PKO Obligacji Dług.</vt:lpstr>
      <vt:lpstr>PKO Stabilnego Wzrostu</vt:lpstr>
      <vt:lpstr>PKO Zrównoważony</vt:lpstr>
      <vt:lpstr>PZU ASD</vt:lpstr>
      <vt:lpstr>PZU AK</vt:lpstr>
      <vt:lpstr>PZU AMiŚS</vt:lpstr>
      <vt:lpstr>PZU EME</vt:lpstr>
      <vt:lpstr>PZU Zrówn.</vt:lpstr>
      <vt:lpstr>PZU ARR</vt:lpstr>
      <vt:lpstr>PZU PDP</vt:lpstr>
      <vt:lpstr>PZU S+</vt:lpstr>
      <vt:lpstr>Quercus A</vt:lpstr>
      <vt:lpstr>Quercus LEV</vt:lpstr>
      <vt:lpstr>Quercus OK</vt:lpstr>
      <vt:lpstr>Quercus R</vt:lpstr>
      <vt:lpstr>Quercus SEL</vt:lpstr>
      <vt:lpstr>Quercus Short</vt:lpstr>
      <vt:lpstr>Quercus Stab.</vt:lpstr>
      <vt:lpstr>Quercus T</vt:lpstr>
      <vt:lpstr>Schroder ISF ACB</vt:lpstr>
      <vt:lpstr>Schroder ISF AO</vt:lpstr>
      <vt:lpstr>Schroder ISF EMDAR</vt:lpstr>
      <vt:lpstr>Schroder ISF EE</vt:lpstr>
      <vt:lpstr>Schroder ISF FME</vt:lpstr>
      <vt:lpstr>Schroder ISF GDG</vt:lpstr>
      <vt:lpstr>Schroder ISF GHIB</vt:lpstr>
      <vt:lpstr>Skarbiec K</vt:lpstr>
      <vt:lpstr>Skarbiec L</vt:lpstr>
      <vt:lpstr>Skarbiec MIŚS</vt:lpstr>
      <vt:lpstr>Skarbiec SW</vt:lpstr>
      <vt:lpstr>Skarbiec MN</vt:lpstr>
      <vt:lpstr>Skarbiec A</vt:lpstr>
      <vt:lpstr>Skarbiec Brands</vt:lpstr>
      <vt:lpstr>Templeton AG</vt:lpstr>
      <vt:lpstr>Templeton GB</vt:lpstr>
      <vt:lpstr>Templeton GTR</vt:lpstr>
      <vt:lpstr>Templeton LA</vt:lpstr>
      <vt:lpstr>UniAkcje Dyw.</vt:lpstr>
      <vt:lpstr>Uni Akcje MIŚS</vt:lpstr>
      <vt:lpstr>UniAkcje Nowa Europa</vt:lpstr>
      <vt:lpstr>UniAkcje Wzrostu</vt:lpstr>
      <vt:lpstr>UniKorona Akcje</vt:lpstr>
      <vt:lpstr>UniKorona Obligacje</vt:lpstr>
      <vt:lpstr>UniKorona Pieniężny</vt:lpstr>
      <vt:lpstr>UniKorona Zrównoważony</vt:lpstr>
      <vt:lpstr>UniLokata</vt:lpstr>
      <vt:lpstr>UniObligacje Nowa Europa</vt:lpstr>
      <vt:lpstr>UniStabilny Wzrost</vt:lpstr>
      <vt:lpstr>UniObligacje Zamienne</vt:lpstr>
      <vt:lpstr>UniObligacje Aktywny</vt:lpstr>
      <vt:lpstr>dodatkowedane</vt:lpstr>
      <vt:lpstr>'Aktywny - Surowce i Nowe Gosp.'!Obszar_wydruku</vt:lpstr>
      <vt:lpstr>'Allianz Akcji'!Obszar_wydruku</vt:lpstr>
      <vt:lpstr>'Allianz Obligacji Plus'!Obszar_wydruku</vt:lpstr>
      <vt:lpstr>'Aviva Dł.Pap.Korp.'!Obszar_wydruku</vt:lpstr>
      <vt:lpstr>'Aviva MS'!Obszar_wydruku</vt:lpstr>
      <vt:lpstr>'Franklin EDF'!Obszar_wydruku</vt:lpstr>
      <vt:lpstr>'Franklin NR'!Obszar_wydruku</vt:lpstr>
      <vt:lpstr>'Fundusz Akcji Glob.'!Obszar_wydruku</vt:lpstr>
      <vt:lpstr>'Fundusz Akcji Małych i ŚS'!Obszar_wydruku</vt:lpstr>
      <vt:lpstr>'Fundusz Akcji Plus'!Obszar_wydruku</vt:lpstr>
      <vt:lpstr>'Fundusz Aktywnej Alokacji'!Obszar_wydruku</vt:lpstr>
      <vt:lpstr>'Fundusz Aktywny'!Obszar_wydruku</vt:lpstr>
      <vt:lpstr>'Fundusz Azjatycki'!Obszar_wydruku</vt:lpstr>
      <vt:lpstr>'Fundusz Dynamiczny'!Obszar_wydruku</vt:lpstr>
      <vt:lpstr>'Fundusz Energetyczny'!Obszar_wydruku</vt:lpstr>
      <vt:lpstr>'Fundusz Gwarantowany'!Obszar_wydruku</vt:lpstr>
      <vt:lpstr>'Fundusz Konserwatywny'!Obszar_wydruku</vt:lpstr>
      <vt:lpstr>'Fundusz Międzynarodowy'!Obszar_wydruku</vt:lpstr>
      <vt:lpstr>'Fundusz Obligacji Glob.'!Obszar_wydruku</vt:lpstr>
      <vt:lpstr>'Fundusz Obligacji Plus'!Obszar_wydruku</vt:lpstr>
      <vt:lpstr>'Fundusz Pieniężny'!Obszar_wydruku</vt:lpstr>
      <vt:lpstr>'Fundusz Polskich Obl. Skarb.'!Obszar_wydruku</vt:lpstr>
      <vt:lpstr>'Fundusz Selektywny'!Obszar_wydruku</vt:lpstr>
      <vt:lpstr>'Fundusz Zrównoważony'!Obszar_wydruku</vt:lpstr>
      <vt:lpstr>INDEKS2!Obszar_wydruku</vt:lpstr>
      <vt:lpstr>'Investor Akcji Sp.Dyw.'!Obszar_wydruku</vt:lpstr>
      <vt:lpstr>'Investor Ameryka Łacińska'!Obszar_wydruku</vt:lpstr>
      <vt:lpstr>'Inwestor Akcji'!Obszar_wydruku</vt:lpstr>
      <vt:lpstr>'NN Eur.SD'!Obszar_wydruku</vt:lpstr>
      <vt:lpstr>'NN Glob. Długu Korp.'!Obszar_wydruku</vt:lpstr>
      <vt:lpstr>'NN Glob.SD'!Obszar_wydruku</vt:lpstr>
      <vt:lpstr>'Noble A'!Obszar_wydruku</vt:lpstr>
      <vt:lpstr>'Pioneer AGD'!Obszar_wydruku</vt:lpstr>
      <vt:lpstr>'Pioneer DA2'!Obszar_wydruku</vt:lpstr>
      <vt:lpstr>'Pioneer DS'!Obszar_wydruku</vt:lpstr>
      <vt:lpstr>'Pioneer G'!Obszar_wydruku</vt:lpstr>
      <vt:lpstr>'Pioneer OP'!Obszar_wydruku</vt:lpstr>
      <vt:lpstr>'Pioneer P'!Obszar_wydruku</vt:lpstr>
      <vt:lpstr>'Pioneer P+'!Obszar_wydruku</vt:lpstr>
      <vt:lpstr>'Pioneer Stab.Inwest.'!Obszar_wydruku</vt:lpstr>
      <vt:lpstr>'Portfel Aktywnej Alokacji'!Obszar_wydruku</vt:lpstr>
      <vt:lpstr>'Portfel ARR'!Obszar_wydruku</vt:lpstr>
      <vt:lpstr>'Portfel ARW'!Obszar_wydruku</vt:lpstr>
      <vt:lpstr>'Portfel Dynamiczny'!Obszar_wydruku</vt:lpstr>
      <vt:lpstr>'Portfel OZ'!Obszar_wydruku</vt:lpstr>
      <vt:lpstr>'Portfel Stabilnego Wzrostu'!Obszar_wydruku</vt:lpstr>
      <vt:lpstr>'PZU AMiŚS'!Obszar_wydruku</vt:lpstr>
      <vt:lpstr>'PZU ARR'!Obszar_wydruku</vt:lpstr>
      <vt:lpstr>'PZU EME'!Obszar_wydruku</vt:lpstr>
      <vt:lpstr>'PZU Zrówn.'!Obszar_wydruku</vt:lpstr>
      <vt:lpstr>'Quercus A'!Obszar_wydruku</vt:lpstr>
      <vt:lpstr>'Quercus LEV'!Obszar_wydruku</vt:lpstr>
      <vt:lpstr>'Quercus R'!Obszar_wydruku</vt:lpstr>
      <vt:lpstr>'Quercus Stab.'!Obszar_wydruku</vt:lpstr>
      <vt:lpstr>'Quercus T'!Obszar_wydruku</vt:lpstr>
      <vt:lpstr>'Schroder ISF FME'!Obszar_wydruku</vt:lpstr>
      <vt:lpstr>'Schroder ISF GDG'!Obszar_wydruku</vt:lpstr>
      <vt:lpstr>'Schroder ISF GHIB'!Obszar_wydruku</vt:lpstr>
      <vt:lpstr>'Skarbiec K'!Obszar_wydruku</vt:lpstr>
      <vt:lpstr>'Skarbiec L'!Obszar_wydruku</vt:lpstr>
      <vt:lpstr>'Templeton GTR'!Obszar_wydruku</vt:lpstr>
      <vt:lpstr>'Templeton LA'!Obszar_wydruku</vt:lpstr>
      <vt:lpstr>'UniKorona Obligacje'!Obszar_wydruku</vt:lpstr>
      <vt:lpstr>'UniObligacje Nowa Europa'!Obszar_wydruku</vt:lpstr>
      <vt:lpstr>'Zaabezpieczony - Europy Wsch.'!Obszar_wydruku</vt:lpstr>
      <vt:lpstr>'Zabezpieczony - Dalekiego Wsch.'!Obszar_wydruku</vt:lpstr>
    </vt:vector>
  </TitlesOfParts>
  <Company>Allianz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pprzeborowski</dc:creator>
  <cp:lastModifiedBy>ikrasnodebska</cp:lastModifiedBy>
  <cp:lastPrinted>2015-02-02T16:54:01Z</cp:lastPrinted>
  <dcterms:created xsi:type="dcterms:W3CDTF">2012-07-31T14:09:53Z</dcterms:created>
  <dcterms:modified xsi:type="dcterms:W3CDTF">2018-02-01T17:39:18Z</dcterms:modified>
</cp:coreProperties>
</file>