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68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75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64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71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69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76.xml" ContentType="application/vnd.openxmlformats-officedocument.spreadsheetml.worksheet+xml"/>
  <Override PartName="/docProps/app.xml" ContentType="application/vnd.openxmlformats-officedocument.extended-properties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59.xml" ContentType="application/vnd.openxmlformats-officedocument.spreadsheetml.workshee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72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48.xml" ContentType="application/vnd.openxmlformats-officedocument.spreadsheetml.worksheet+xml"/>
  <Override PartName="/xl/worksheets/sheet6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50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55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77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66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74.xml" ContentType="application/vnd.openxmlformats-officedocument.spreadsheetml.worksheet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57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.xml" ContentType="application/vnd.openxmlformats-officedocument.spreadsheetml.worksheet+xml"/>
  <Override PartName="/xl/worksheets/sheet46.xml" ContentType="application/vnd.openxmlformats-officedocument.spreadsheetml.worksheet+xml"/>
  <Override PartName="/xl/worksheets/sheet6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0" yWindow="-345" windowWidth="19440" windowHeight="11760" tabRatio="848"/>
  </bookViews>
  <sheets>
    <sheet name="Fundusz Gwarantowany" sheetId="1" r:id="rId1"/>
    <sheet name="Fundusz Stabilnego Wzrostu" sheetId="194" r:id="rId2"/>
    <sheet name="Fundusz Dynamiczny" sheetId="4" r:id="rId3"/>
    <sheet name="Fundusz Obligacji Plus" sheetId="5" r:id="rId4"/>
    <sheet name="Fundusz Aktywnej Alokacji" sheetId="10" r:id="rId5"/>
    <sheet name="Fundusz Akcji Plus" sheetId="11" r:id="rId6"/>
    <sheet name="Fundusz Akcji Małych i ŚS" sheetId="16" r:id="rId7"/>
    <sheet name="Fundusz Pieniężny" sheetId="17" r:id="rId8"/>
    <sheet name="Fundusz Polskich Obl. Skarb." sheetId="81" r:id="rId9"/>
    <sheet name="Fundusz Selektywny" sheetId="78" r:id="rId10"/>
    <sheet name="Fundusz Akcji Glob." sheetId="79" r:id="rId11"/>
    <sheet name="Fundusz Obligacji Glob." sheetId="122" r:id="rId12"/>
    <sheet name="Fundusz Energetyczny" sheetId="121" r:id="rId13"/>
    <sheet name="Portfel Aktywnej Alokacji" sheetId="120" r:id="rId14"/>
    <sheet name="Portfel Dynamiczny" sheetId="69" r:id="rId15"/>
    <sheet name="Portfel Stabilnego Wzrostu" sheetId="67" r:id="rId16"/>
    <sheet name="Portfel ARR" sheetId="53" r:id="rId17"/>
    <sheet name="Portfel ARW" sheetId="94" r:id="rId18"/>
    <sheet name="Portfel OZ" sheetId="93" r:id="rId19"/>
    <sheet name="Portfel OR" sheetId="199" r:id="rId20"/>
    <sheet name="Portfel SA" sheetId="217" r:id="rId21"/>
    <sheet name="Fundusz Konserwatywny" sheetId="95" r:id="rId22"/>
    <sheet name="Fundusz Zrównoważony" sheetId="6" r:id="rId23"/>
    <sheet name="Fundusz Aktywny" sheetId="7" r:id="rId24"/>
    <sheet name="Fundusz Międzynarodowy" sheetId="8" r:id="rId25"/>
    <sheet name="Fundusz Azjatycki" sheetId="9" r:id="rId26"/>
    <sheet name="Aktywny - Surowce i Nowe Gosp." sheetId="13" r:id="rId27"/>
    <sheet name="Zabezpieczony - Dalekiego Wsch." sheetId="58" r:id="rId28"/>
    <sheet name="Zaabezpieczony - Europy Wsch." sheetId="61" r:id="rId29"/>
    <sheet name="Strategii Multiobligacyjnych" sheetId="60" r:id="rId30"/>
    <sheet name="Zabezpieczony - Rynku Polskiego" sheetId="84" r:id="rId31"/>
    <sheet name="INDEKS1" sheetId="59" r:id="rId32"/>
    <sheet name="INDEKS2" sheetId="12" r:id="rId33"/>
    <sheet name="Allianz Akcji" sheetId="14" r:id="rId34"/>
    <sheet name="Allianz Stabilnego Wzrostu" sheetId="28" r:id="rId35"/>
    <sheet name="Allianz Obligacji Plus" sheetId="22" r:id="rId36"/>
    <sheet name="Allianz Aktywnej Alokacji" sheetId="49" r:id="rId37"/>
    <sheet name="Allianz Akcji Małych i ŚS" sheetId="29" r:id="rId38"/>
    <sheet name="Allianz Pieniężny" sheetId="30" r:id="rId39"/>
    <sheet name="Allianz Polskich Obl.Skarb." sheetId="48" r:id="rId40"/>
    <sheet name="Allianz Selektywny" sheetId="83" r:id="rId41"/>
    <sheet name="Allianz Akcji Glob." sheetId="42" r:id="rId42"/>
    <sheet name="Allianz Surowców i Energii" sheetId="188" r:id="rId43"/>
    <sheet name="Allianz Akcji Azjatyckich" sheetId="195" r:id="rId44"/>
    <sheet name="Allianz Dyn.Multistrategia" sheetId="196" r:id="rId45"/>
    <sheet name="Allianz Def.Multistrategia" sheetId="209" r:id="rId46"/>
    <sheet name="Allianz Zbal.Multistrategia" sheetId="210" r:id="rId47"/>
    <sheet name="Allianz GSD" sheetId="197" r:id="rId48"/>
    <sheet name="Allianz SAOG" sheetId="198" r:id="rId49"/>
    <sheet name="Altus ASZD" sheetId="156" r:id="rId50"/>
    <sheet name="Altus ASZRP" sheetId="200" r:id="rId51"/>
    <sheet name="Aviva Dł.Pap.Korp." sheetId="112" r:id="rId52"/>
    <sheet name="Aviva MS" sheetId="97" r:id="rId53"/>
    <sheet name="Aviva Obligacji Dyn." sheetId="98" r:id="rId54"/>
    <sheet name="Aviva PA" sheetId="126" r:id="rId55"/>
    <sheet name="Franklin EDF" sheetId="96" r:id="rId56"/>
    <sheet name="Franklin GFS" sheetId="151" r:id="rId57"/>
    <sheet name="Franklin NR" sheetId="107" r:id="rId58"/>
    <sheet name="Franklin USO" sheetId="152" r:id="rId59"/>
    <sheet name="GS EMDP" sheetId="211" r:id="rId60"/>
    <sheet name="Inwestor Akcji" sheetId="106" r:id="rId61"/>
    <sheet name="Investor Akcji Sp.Dyw." sheetId="123" r:id="rId62"/>
    <sheet name="Investor TOP 25 MS" sheetId="33" r:id="rId63"/>
    <sheet name="Investor Zrównoważony" sheetId="34" r:id="rId64"/>
    <sheet name="Investor Ameryka Łacińska" sheetId="124" r:id="rId65"/>
    <sheet name="Investor BRIC" sheetId="57" r:id="rId66"/>
    <sheet name="Investor Gold" sheetId="55" r:id="rId67"/>
    <sheet name="Investor Got." sheetId="43" r:id="rId68"/>
    <sheet name="Investor Indie i Chiny" sheetId="189" r:id="rId69"/>
    <sheet name="Investor Turcja" sheetId="56" r:id="rId70"/>
    <sheet name="Investor ASW" sheetId="203" r:id="rId71"/>
    <sheet name="Investor OK" sheetId="212" r:id="rId72"/>
    <sheet name="Investor PL" sheetId="202" r:id="rId73"/>
    <sheet name="Investor ZE" sheetId="201" r:id="rId74"/>
    <sheet name="Ipopema A" sheetId="206" r:id="rId75"/>
    <sheet name="JPM EMO" sheetId="24" r:id="rId76"/>
    <sheet name="JPM GH" sheetId="149" r:id="rId77"/>
    <sheet name="JPM GSB" sheetId="148" r:id="rId78"/>
    <sheet name="Legg Mason Akcji" sheetId="186" r:id="rId79"/>
    <sheet name="Legg Mason Obligacji" sheetId="35" r:id="rId80"/>
    <sheet name="Legg Mason Pieniężny" sheetId="153" r:id="rId81"/>
    <sheet name="Legg Mason Strateg" sheetId="47" r:id="rId82"/>
    <sheet name="Millenium Master I" sheetId="27" r:id="rId83"/>
    <sheet name="Millenium Master II" sheetId="70" r:id="rId84"/>
    <sheet name="Millenium Master III" sheetId="71" r:id="rId85"/>
    <sheet name="Millenium Master IV" sheetId="72" r:id="rId86"/>
    <sheet name="Millenium Master V" sheetId="73" r:id="rId87"/>
    <sheet name="Millenium Master VI" sheetId="74" r:id="rId88"/>
    <sheet name="Millenium Master VII" sheetId="75" r:id="rId89"/>
    <sheet name="NN Akcji" sheetId="77" r:id="rId90"/>
    <sheet name="NN Obligacji" sheetId="36" r:id="rId91"/>
    <sheet name="NN Selektywny" sheetId="51" r:id="rId92"/>
    <sheet name="NN AŚ" sheetId="37" r:id="rId93"/>
    <sheet name="NN ŚMS" sheetId="161" r:id="rId94"/>
    <sheet name="NN Eur.SD" sheetId="115" r:id="rId95"/>
    <sheet name="NN Glob. Długu Korp." sheetId="92" r:id="rId96"/>
    <sheet name="NN Glob.SD" sheetId="90" r:id="rId97"/>
    <sheet name="NN J" sheetId="76" r:id="rId98"/>
    <sheet name="NN NA" sheetId="138" r:id="rId99"/>
    <sheet name="NN ORW" sheetId="136" r:id="rId100"/>
    <sheet name="NN Sp.Dyw.USA" sheetId="137" r:id="rId101"/>
    <sheet name="NN SGA" sheetId="163" r:id="rId102"/>
    <sheet name="NN SDRW" sheetId="213" r:id="rId103"/>
    <sheet name="Noble AMiŚS" sheetId="164" r:id="rId104"/>
    <sheet name="Noble A" sheetId="114" r:id="rId105"/>
    <sheet name="Pioneer ARW" sheetId="193" r:id="rId106"/>
    <sheet name="Pioneer AGD" sheetId="88" r:id="rId107"/>
    <sheet name="Pioneer OS" sheetId="167" r:id="rId108"/>
    <sheet name="Pioneer G" sheetId="129" r:id="rId109"/>
    <sheet name="Pioneer WDRE" sheetId="168" r:id="rId110"/>
    <sheet name="Pioneer Surowców i Energii" sheetId="169" r:id="rId111"/>
    <sheet name="Pioneer AP" sheetId="46" r:id="rId112"/>
    <sheet name="Pioneer DS" sheetId="89" r:id="rId113"/>
    <sheet name="Pioneer OP" sheetId="128" r:id="rId114"/>
    <sheet name="Pioneer P" sheetId="85" r:id="rId115"/>
    <sheet name="Pioneer P+" sheetId="103" r:id="rId116"/>
    <sheet name="Pioneer Stab.Inwest." sheetId="102" r:id="rId117"/>
    <sheet name="Pioneer DA2" sheetId="104" r:id="rId118"/>
    <sheet name="Pioneer AS" sheetId="170" r:id="rId119"/>
    <sheet name="Pioneer AA" sheetId="190" r:id="rId120"/>
    <sheet name="Pioneer AE" sheetId="165" r:id="rId121"/>
    <sheet name="Pioneer SG" sheetId="166" r:id="rId122"/>
    <sheet name="Pioneer AMIŚSRR" sheetId="214" r:id="rId123"/>
    <sheet name="PKO Akcji Nowa Europa" sheetId="171" r:id="rId124"/>
    <sheet name="PKO Obligacji Dług." sheetId="38" r:id="rId125"/>
    <sheet name="PKO Stabilnego Wzrostu" sheetId="23" r:id="rId126"/>
    <sheet name="PKO Zrównoważony" sheetId="25" r:id="rId127"/>
    <sheet name="PZU ASD" sheetId="173" r:id="rId128"/>
    <sheet name="PZU AK" sheetId="174" r:id="rId129"/>
    <sheet name="PZU AMiŚS" sheetId="130" r:id="rId130"/>
    <sheet name="PZU EME" sheetId="39" r:id="rId131"/>
    <sheet name="PZU Zrówn." sheetId="100" r:id="rId132"/>
    <sheet name="PZU ARR" sheetId="99" r:id="rId133"/>
    <sheet name="PZU PDP" sheetId="205" r:id="rId134"/>
    <sheet name="PZU S+" sheetId="204" r:id="rId135"/>
    <sheet name="Quercus A" sheetId="101" r:id="rId136"/>
    <sheet name="Quercus G" sheetId="131" r:id="rId137"/>
    <sheet name="Quercus LEV" sheetId="118" r:id="rId138"/>
    <sheet name="Quercus OK" sheetId="143" r:id="rId139"/>
    <sheet name="Quercus R" sheetId="119" r:id="rId140"/>
    <sheet name="Quercus SEL" sheetId="144" r:id="rId141"/>
    <sheet name="Quercus Short" sheetId="145" r:id="rId142"/>
    <sheet name="Quercus Stab." sheetId="117" r:id="rId143"/>
    <sheet name="Quercus T" sheetId="116" r:id="rId144"/>
    <sheet name="Schroder ISF ACB" sheetId="142" r:id="rId145"/>
    <sheet name="Schroder ISF AO" sheetId="147" r:id="rId146"/>
    <sheet name="Schroder ISF EMDAR" sheetId="179" r:id="rId147"/>
    <sheet name="Schroder ISF EE" sheetId="146" r:id="rId148"/>
    <sheet name="Schroder ISF FME" sheetId="133" r:id="rId149"/>
    <sheet name="Schroder ISF GDG" sheetId="132" r:id="rId150"/>
    <sheet name="Schroder ISF GHIB" sheetId="135" r:id="rId151"/>
    <sheet name="Skarbiec K" sheetId="134" r:id="rId152"/>
    <sheet name="Skarbiec L" sheetId="113" r:id="rId153"/>
    <sheet name="Skarbiec MIŚS" sheetId="140" r:id="rId154"/>
    <sheet name="Skarbiec SW" sheetId="175" r:id="rId155"/>
    <sheet name="Skarbiec MN" sheetId="141" r:id="rId156"/>
    <sheet name="Skarbiec A" sheetId="215" r:id="rId157"/>
    <sheet name="Skarbiec Brands" sheetId="216" r:id="rId158"/>
    <sheet name="Templeton AG" sheetId="176" r:id="rId159"/>
    <sheet name="Templeton BRIC" sheetId="150" r:id="rId160"/>
    <sheet name="Templeton GB" sheetId="159" r:id="rId161"/>
    <sheet name="Templeton GTR" sheetId="109" r:id="rId162"/>
    <sheet name="Templeton LA" sheetId="108" r:id="rId163"/>
    <sheet name="UniAkcje Dyw." sheetId="187" r:id="rId164"/>
    <sheet name="Uni Akcje MIŚS" sheetId="177" r:id="rId165"/>
    <sheet name="UniAkcje Nowa Europa" sheetId="41" r:id="rId166"/>
    <sheet name="UniAkcje Wzrostu" sheetId="40" r:id="rId167"/>
    <sheet name="UniKorona Akcje" sheetId="64" r:id="rId168"/>
    <sheet name="UniKorona Obligacje" sheetId="110" r:id="rId169"/>
    <sheet name="UniKorona Pieniężny" sheetId="20" r:id="rId170"/>
    <sheet name="UniKorona Zrównoważony" sheetId="62" r:id="rId171"/>
    <sheet name="UniLokata" sheetId="26" r:id="rId172"/>
    <sheet name="UniObligacje Nowa Europa" sheetId="105" r:id="rId173"/>
    <sheet name="UniStabilny Wzrost" sheetId="63" r:id="rId174"/>
    <sheet name="UniObligacje Zamienne" sheetId="65" r:id="rId175"/>
    <sheet name="UniObligacje Aktywny" sheetId="191" r:id="rId176"/>
    <sheet name="dodatkowedane" sheetId="80" r:id="rId177"/>
  </sheets>
  <definedNames>
    <definedName name="_xlnm.Print_Area" localSheetId="26">'Aktywny - Surowce i Nowe Gosp.'!$B$2:$E$73</definedName>
    <definedName name="_xlnm.Print_Area" localSheetId="33">'Allianz Akcji'!$B$2:$E$74</definedName>
    <definedName name="_xlnm.Print_Area" localSheetId="35">'Allianz Obligacji Plus'!$B$2:$E$74</definedName>
    <definedName name="_xlnm.Print_Area" localSheetId="51">'Aviva Dł.Pap.Korp.'!$B$2:$E$74</definedName>
    <definedName name="_xlnm.Print_Area" localSheetId="52">'Aviva MS'!$B$2:$E$74</definedName>
    <definedName name="_xlnm.Print_Area" localSheetId="53">'Aviva Obligacji Dyn.'!$B$2:$E$74</definedName>
    <definedName name="_xlnm.Print_Area" localSheetId="54">'Aviva PA'!$B$2:$E$74</definedName>
    <definedName name="_xlnm.Print_Area" localSheetId="55">'Franklin EDF'!$B$2:$E$74</definedName>
    <definedName name="_xlnm.Print_Area" localSheetId="57">'Franklin NR'!$B$2:$E$74</definedName>
    <definedName name="_xlnm.Print_Area" localSheetId="10">'Fundusz Akcji Glob.'!$B$2:$E$73</definedName>
    <definedName name="_xlnm.Print_Area" localSheetId="6">'Fundusz Akcji Małych i ŚS'!$B$2:$E$73</definedName>
    <definedName name="_xlnm.Print_Area" localSheetId="5">'Fundusz Akcji Plus'!$B$2:$E$73</definedName>
    <definedName name="_xlnm.Print_Area" localSheetId="4">'Fundusz Aktywnej Alokacji'!$B$2:$E$73</definedName>
    <definedName name="_xlnm.Print_Area" localSheetId="23">'Fundusz Aktywny'!$B$2:$E$73</definedName>
    <definedName name="_xlnm.Print_Area" localSheetId="25">'Fundusz Azjatycki'!$B$2:$E$73</definedName>
    <definedName name="_xlnm.Print_Area" localSheetId="2">'Fundusz Dynamiczny'!$B$2:$E$74</definedName>
    <definedName name="_xlnm.Print_Area" localSheetId="12">'Fundusz Energetyczny'!$B$2:$E$73</definedName>
    <definedName name="_xlnm.Print_Area" localSheetId="0">'Fundusz Gwarantowany'!$B$2:$E$77</definedName>
    <definedName name="_xlnm.Print_Area" localSheetId="21">'Fundusz Konserwatywny'!$B$2:$E$74</definedName>
    <definedName name="_xlnm.Print_Area" localSheetId="24">'Fundusz Międzynarodowy'!$B$2:$E$73</definedName>
    <definedName name="_xlnm.Print_Area" localSheetId="11">'Fundusz Obligacji Glob.'!$B$2:$E$73</definedName>
    <definedName name="_xlnm.Print_Area" localSheetId="3">'Fundusz Obligacji Plus'!$B$2:$E$74</definedName>
    <definedName name="_xlnm.Print_Area" localSheetId="7">'Fundusz Pieniężny'!$B$2:$E$73</definedName>
    <definedName name="_xlnm.Print_Area" localSheetId="8">'Fundusz Polskich Obl. Skarb.'!$B$2:$E$73</definedName>
    <definedName name="_xlnm.Print_Area" localSheetId="9">'Fundusz Selektywny'!$B$2:$E$73</definedName>
    <definedName name="_xlnm.Print_Area" localSheetId="22">'Fundusz Zrównoważony'!$B$2:$E$73</definedName>
    <definedName name="_xlnm.Print_Area" localSheetId="31">INDEKS1!$B$2:$E$73</definedName>
    <definedName name="_xlnm.Print_Area" localSheetId="32">INDEKS2!$B$2:$E$74</definedName>
    <definedName name="_xlnm.Print_Area" localSheetId="61">'Investor Akcji Sp.Dyw.'!$B$2:$E$74</definedName>
    <definedName name="_xlnm.Print_Area" localSheetId="64">'Investor Ameryka Łacińska'!$B$2:$E$74</definedName>
    <definedName name="_xlnm.Print_Area" localSheetId="60">'Inwestor Akcji'!$B$2:$E$74</definedName>
    <definedName name="_xlnm.Print_Area" localSheetId="94">'NN Eur.SD'!$B$2:$E$74</definedName>
    <definedName name="_xlnm.Print_Area" localSheetId="95">'NN Glob. Długu Korp.'!$B$2:$E$74</definedName>
    <definedName name="_xlnm.Print_Area" localSheetId="96">'NN Glob.SD'!$B$2:$E$74</definedName>
    <definedName name="_xlnm.Print_Area" localSheetId="104">'Noble A'!$B$2:$E$74</definedName>
    <definedName name="_xlnm.Print_Area" localSheetId="106">'Pioneer AGD'!$B$2:$E$74</definedName>
    <definedName name="_xlnm.Print_Area" localSheetId="117">'Pioneer DA2'!$B$2:$E$74</definedName>
    <definedName name="_xlnm.Print_Area" localSheetId="112">'Pioneer DS'!$B$2:$E$74</definedName>
    <definedName name="_xlnm.Print_Area" localSheetId="108">'Pioneer G'!$B$2:$E$74</definedName>
    <definedName name="_xlnm.Print_Area" localSheetId="113">'Pioneer OP'!$B$2:$E$74</definedName>
    <definedName name="_xlnm.Print_Area" localSheetId="114">'Pioneer P'!$B$2:$E$74</definedName>
    <definedName name="_xlnm.Print_Area" localSheetId="115">'Pioneer P+'!$B$2:$E$74</definedName>
    <definedName name="_xlnm.Print_Area" localSheetId="116">'Pioneer Stab.Inwest.'!$B$2:$E$74</definedName>
    <definedName name="_xlnm.Print_Area" localSheetId="13">'Portfel Aktywnej Alokacji'!$B$2:$E$73</definedName>
    <definedName name="_xlnm.Print_Area" localSheetId="16">'Portfel ARR'!$B$2:$E$73</definedName>
    <definedName name="_xlnm.Print_Area" localSheetId="17">'Portfel ARW'!$B$2:$E$74</definedName>
    <definedName name="_xlnm.Print_Area" localSheetId="14">'Portfel Dynamiczny'!$B$2:$E$73</definedName>
    <definedName name="_xlnm.Print_Area" localSheetId="18">'Portfel OZ'!$B$2:$E$74</definedName>
    <definedName name="_xlnm.Print_Area" localSheetId="15">'Portfel Stabilnego Wzrostu'!$B$2:$E$73</definedName>
    <definedName name="_xlnm.Print_Area" localSheetId="129">'PZU AMiŚS'!$B$2:$E$74</definedName>
    <definedName name="_xlnm.Print_Area" localSheetId="132">'PZU ARR'!$B$2:$E$74</definedName>
    <definedName name="_xlnm.Print_Area" localSheetId="130">'PZU EME'!$B$2:$E$74</definedName>
    <definedName name="_xlnm.Print_Area" localSheetId="131">'PZU Zrówn.'!$B$2:$E$74</definedName>
    <definedName name="_xlnm.Print_Area" localSheetId="135">'Quercus A'!$B$2:$E$74</definedName>
    <definedName name="_xlnm.Print_Area" localSheetId="136">'Quercus G'!$B$2:$E$74</definedName>
    <definedName name="_xlnm.Print_Area" localSheetId="137">'Quercus LEV'!$B$2:$E$74</definedName>
    <definedName name="_xlnm.Print_Area" localSheetId="139">'Quercus R'!$B$2:$E$74</definedName>
    <definedName name="_xlnm.Print_Area" localSheetId="142">'Quercus Stab.'!$B$2:$E$74</definedName>
    <definedName name="_xlnm.Print_Area" localSheetId="143">'Quercus T'!$B$2:$E$74</definedName>
    <definedName name="_xlnm.Print_Area" localSheetId="148">'Schroder ISF FME'!$B$2:$E$74</definedName>
    <definedName name="_xlnm.Print_Area" localSheetId="149">'Schroder ISF GDG'!$B$2:$E$74</definedName>
    <definedName name="_xlnm.Print_Area" localSheetId="150">'Schroder ISF GHIB'!$B$2:$E$74</definedName>
    <definedName name="_xlnm.Print_Area" localSheetId="151">'Skarbiec K'!$B$2:$E$74</definedName>
    <definedName name="_xlnm.Print_Area" localSheetId="152">'Skarbiec L'!$B$2:$E$74</definedName>
    <definedName name="_xlnm.Print_Area" localSheetId="161">'Templeton GTR'!$B$2:$E$74</definedName>
    <definedName name="_xlnm.Print_Area" localSheetId="162">'Templeton LA'!$B$2:$E$74</definedName>
    <definedName name="_xlnm.Print_Area" localSheetId="168">'UniKorona Obligacje'!$B$2:$E$74</definedName>
    <definedName name="_xlnm.Print_Area" localSheetId="172">'UniObligacje Nowa Europa'!$B$2:$E$74</definedName>
    <definedName name="_xlnm.Print_Area" localSheetId="28">'Zaabezpieczony - Europy Wsch.'!$B$2:$E$73</definedName>
    <definedName name="_xlnm.Print_Area" localSheetId="27">'Zabezpieczony - Dalekiego Wsch.'!$B$2:$E$73</definedName>
  </definedNames>
  <calcPr calcId="125725" concurrentCalc="0"/>
</workbook>
</file>

<file path=xl/calcChain.xml><?xml version="1.0" encoding="utf-8"?>
<calcChain xmlns="http://schemas.openxmlformats.org/spreadsheetml/2006/main">
  <c r="E41" i="215"/>
  <c r="E26"/>
  <c r="E41" i="145"/>
  <c r="E41" i="214"/>
  <c r="E41" i="188"/>
  <c r="E18" i="80"/>
  <c r="D18"/>
  <c r="E41" i="216"/>
  <c r="E41" i="204"/>
  <c r="E41" i="206"/>
  <c r="E41" i="212"/>
  <c r="E21" i="126"/>
  <c r="E41" i="200"/>
  <c r="D21"/>
  <c r="E32" i="198"/>
  <c r="E27"/>
  <c r="E41"/>
  <c r="D21"/>
  <c r="E32" i="197"/>
  <c r="E27"/>
  <c r="E41"/>
  <c r="D21"/>
  <c r="E41" i="210"/>
  <c r="D21"/>
  <c r="E41" i="209"/>
  <c r="E26"/>
  <c r="E41" i="196"/>
  <c r="E32" i="195"/>
  <c r="E27"/>
  <c r="E41"/>
  <c r="G48" i="16"/>
  <c r="E17" i="1"/>
  <c r="E17" i="194"/>
  <c r="E17" i="4"/>
  <c r="E17" i="5"/>
  <c r="E17" i="10"/>
  <c r="E17" i="11"/>
  <c r="E17" i="16"/>
  <c r="E17" i="17"/>
  <c r="E17" i="81"/>
  <c r="E17" i="78"/>
  <c r="E17" i="122"/>
  <c r="E17" i="120"/>
  <c r="E17" i="69"/>
  <c r="E71" i="67"/>
  <c r="E17"/>
  <c r="E32" i="194"/>
  <c r="E27"/>
  <c r="E32" i="5"/>
  <c r="E27"/>
  <c r="E32" i="10"/>
  <c r="E27"/>
  <c r="E32" i="11"/>
  <c r="E27"/>
  <c r="E32" i="16"/>
  <c r="E27"/>
  <c r="E32" i="17"/>
  <c r="E27"/>
  <c r="E32" i="81"/>
  <c r="E27"/>
  <c r="E32" i="78"/>
  <c r="E27"/>
  <c r="E32" i="79"/>
  <c r="E27"/>
  <c r="E32" i="122"/>
  <c r="E27"/>
  <c r="E32" i="121"/>
  <c r="E27"/>
  <c r="E32" i="120"/>
  <c r="E27"/>
  <c r="E32" i="69"/>
  <c r="E27"/>
  <c r="E32" i="67"/>
  <c r="E27"/>
  <c r="E32" i="1"/>
  <c r="E28" i="194"/>
  <c r="E28" i="4"/>
  <c r="E28" i="5"/>
  <c r="E28" i="10"/>
  <c r="E28" i="11"/>
  <c r="E28" i="16"/>
  <c r="E28" i="17"/>
  <c r="E28" i="81"/>
  <c r="E28" i="78"/>
  <c r="E28" i="79"/>
  <c r="E28" i="122"/>
  <c r="E28" i="121"/>
  <c r="E28" i="120"/>
  <c r="E28" i="69"/>
  <c r="E28" i="67"/>
  <c r="E28" i="1"/>
  <c r="E17" i="53"/>
  <c r="E71" i="94"/>
  <c r="E72"/>
  <c r="E17" i="95"/>
  <c r="E17" i="6"/>
  <c r="E17" i="7"/>
  <c r="E27" i="1"/>
  <c r="E41" i="12"/>
  <c r="E73" i="48"/>
  <c r="D74"/>
  <c r="D64"/>
  <c r="D73"/>
  <c r="E21"/>
  <c r="E17"/>
  <c r="E73" i="196"/>
  <c r="D74"/>
  <c r="D64"/>
  <c r="D73"/>
  <c r="E21"/>
  <c r="E17"/>
  <c r="E73" i="70"/>
  <c r="D74"/>
  <c r="D64"/>
  <c r="D73"/>
  <c r="E21"/>
  <c r="E17"/>
  <c r="E73" i="71"/>
  <c r="D74"/>
  <c r="D73"/>
  <c r="D64"/>
  <c r="E21"/>
  <c r="E17"/>
  <c r="E73" i="72"/>
  <c r="D74"/>
  <c r="D64"/>
  <c r="D73"/>
  <c r="E21"/>
  <c r="E17"/>
  <c r="E73" i="73"/>
  <c r="D74"/>
  <c r="D64"/>
  <c r="D73"/>
  <c r="E21"/>
  <c r="E17"/>
  <c r="E73" i="74"/>
  <c r="D74"/>
  <c r="D64"/>
  <c r="D73"/>
  <c r="E21"/>
  <c r="E17"/>
  <c r="E73" i="55"/>
  <c r="D74"/>
  <c r="D64"/>
  <c r="D73"/>
  <c r="E21"/>
  <c r="E17"/>
  <c r="E73" i="37"/>
  <c r="D74"/>
  <c r="D64"/>
  <c r="D73"/>
  <c r="E21"/>
  <c r="E17"/>
  <c r="E73" i="90"/>
  <c r="D74"/>
  <c r="D64"/>
  <c r="D73"/>
  <c r="E21"/>
  <c r="E17"/>
  <c r="E73" i="153"/>
  <c r="D74"/>
  <c r="D64"/>
  <c r="D73"/>
  <c r="E21"/>
  <c r="E17"/>
  <c r="E73" i="23"/>
  <c r="D74"/>
  <c r="D64"/>
  <c r="D73"/>
  <c r="E21"/>
  <c r="E17"/>
  <c r="E73" i="143"/>
  <c r="D74"/>
  <c r="D64"/>
  <c r="D73"/>
  <c r="E21"/>
  <c r="E17"/>
  <c r="D74" i="177"/>
  <c r="D75"/>
  <c r="E73" i="134"/>
  <c r="D74"/>
  <c r="D64"/>
  <c r="D73"/>
  <c r="E21"/>
  <c r="E17"/>
  <c r="E73" i="177"/>
  <c r="D64"/>
  <c r="D73"/>
  <c r="E21"/>
  <c r="E17"/>
  <c r="E73" i="110"/>
  <c r="E73" i="20"/>
  <c r="D74" i="110"/>
  <c r="D64"/>
  <c r="D73"/>
  <c r="E21"/>
  <c r="E17"/>
  <c r="D64" i="20"/>
  <c r="D73"/>
  <c r="E21"/>
  <c r="E17"/>
  <c r="E11" i="215"/>
  <c r="E21"/>
  <c r="E11" i="130"/>
  <c r="E21"/>
  <c r="E27" i="28"/>
  <c r="E41"/>
  <c r="E27" i="49"/>
  <c r="E27" i="30"/>
  <c r="E41"/>
  <c r="E27" i="196"/>
  <c r="E27" i="97"/>
  <c r="E27" i="98"/>
  <c r="E27" i="126"/>
  <c r="E27" i="151"/>
  <c r="E41"/>
  <c r="E32" i="106"/>
  <c r="E27"/>
  <c r="E27" i="212"/>
  <c r="E27" i="202"/>
  <c r="E27" i="206"/>
  <c r="E27" i="51"/>
  <c r="E27" i="37"/>
  <c r="E27" i="169"/>
  <c r="E27" i="170"/>
  <c r="E27" i="165"/>
  <c r="E41"/>
  <c r="E27" i="173"/>
  <c r="E27" i="204"/>
  <c r="E27" i="116"/>
  <c r="E27" i="147"/>
  <c r="E41"/>
  <c r="E27" i="175"/>
  <c r="E27" i="108"/>
  <c r="E27" i="14"/>
  <c r="E32" i="28"/>
  <c r="E32" i="22"/>
  <c r="E32" i="49"/>
  <c r="E32" i="29"/>
  <c r="E27"/>
  <c r="E41"/>
  <c r="E32" i="30"/>
  <c r="E32" i="48"/>
  <c r="E32" i="83"/>
  <c r="E32" i="42"/>
  <c r="E27"/>
  <c r="E41"/>
  <c r="E32" i="188"/>
  <c r="E32" i="196"/>
  <c r="E32" i="209"/>
  <c r="E27"/>
  <c r="E32" i="210"/>
  <c r="E32" i="156"/>
  <c r="E27"/>
  <c r="E41"/>
  <c r="E32" i="200"/>
  <c r="E32" i="112"/>
  <c r="E32" i="97"/>
  <c r="E32" i="98"/>
  <c r="E32" i="126"/>
  <c r="E32" i="96"/>
  <c r="E27"/>
  <c r="E41"/>
  <c r="E32" i="151"/>
  <c r="E32" i="107"/>
  <c r="E32" i="152"/>
  <c r="E32" i="211"/>
  <c r="E32" i="123"/>
  <c r="E27"/>
  <c r="E41"/>
  <c r="E32" i="33"/>
  <c r="E27"/>
  <c r="E41"/>
  <c r="E32" i="34"/>
  <c r="E32" i="124"/>
  <c r="E27"/>
  <c r="E41"/>
  <c r="E32" i="57"/>
  <c r="E27"/>
  <c r="E41"/>
  <c r="E32" i="55"/>
  <c r="E32" i="43"/>
  <c r="E32" i="189"/>
  <c r="E32" i="56"/>
  <c r="E32" i="203"/>
  <c r="E27"/>
  <c r="E32" i="212"/>
  <c r="E32" i="202"/>
  <c r="E32" i="201"/>
  <c r="E27"/>
  <c r="E41"/>
  <c r="E32" i="206"/>
  <c r="E32" i="24"/>
  <c r="E32" i="149"/>
  <c r="E32" i="148"/>
  <c r="E32" i="186"/>
  <c r="E32" i="35"/>
  <c r="E27"/>
  <c r="E41"/>
  <c r="E32" i="153"/>
  <c r="E27"/>
  <c r="E41"/>
  <c r="E32" i="47"/>
  <c r="E27"/>
  <c r="E41"/>
  <c r="E32" i="27"/>
  <c r="E32" i="70"/>
  <c r="E32" i="71"/>
  <c r="E32" i="72"/>
  <c r="E32" i="73"/>
  <c r="E27"/>
  <c r="E41"/>
  <c r="E32" i="74"/>
  <c r="E27"/>
  <c r="E41"/>
  <c r="E32" i="75"/>
  <c r="E32" i="77"/>
  <c r="E27"/>
  <c r="E41"/>
  <c r="E32" i="36"/>
  <c r="E27"/>
  <c r="E41"/>
  <c r="E32" i="51"/>
  <c r="E32" i="37"/>
  <c r="E32" i="161"/>
  <c r="E32" i="115"/>
  <c r="E27"/>
  <c r="E41"/>
  <c r="E32" i="92"/>
  <c r="E32" i="90"/>
  <c r="E27"/>
  <c r="E41"/>
  <c r="E32" i="76"/>
  <c r="E27"/>
  <c r="E41"/>
  <c r="E32" i="138"/>
  <c r="E32" i="136"/>
  <c r="E32" i="137"/>
  <c r="E32" i="163"/>
  <c r="E32" i="213"/>
  <c r="E32" i="164"/>
  <c r="E32" i="114"/>
  <c r="E27"/>
  <c r="E41"/>
  <c r="E32" i="193"/>
  <c r="E32" i="88"/>
  <c r="E32" i="167"/>
  <c r="E32" i="129"/>
  <c r="E32" i="168"/>
  <c r="E32" i="169"/>
  <c r="E32" i="46"/>
  <c r="E32" i="89"/>
  <c r="E32" i="128"/>
  <c r="E32" i="85"/>
  <c r="E32" i="103"/>
  <c r="E32" i="102"/>
  <c r="E27"/>
  <c r="E41"/>
  <c r="E32" i="104"/>
  <c r="E27"/>
  <c r="E41"/>
  <c r="E32" i="170"/>
  <c r="E32" i="190"/>
  <c r="E32" i="165"/>
  <c r="E32" i="166"/>
  <c r="E32" i="214"/>
  <c r="E32" i="171"/>
  <c r="E32" i="38"/>
  <c r="E32" i="23"/>
  <c r="E27"/>
  <c r="E41"/>
  <c r="E32" i="25"/>
  <c r="E27"/>
  <c r="E41"/>
  <c r="E32" i="173"/>
  <c r="E32" i="174"/>
  <c r="E27"/>
  <c r="E41"/>
  <c r="E32" i="130"/>
  <c r="E32" i="39"/>
  <c r="E32" i="100"/>
  <c r="E27"/>
  <c r="E41"/>
  <c r="E32" i="99"/>
  <c r="E32" i="205"/>
  <c r="E32" i="204"/>
  <c r="E32" i="101"/>
  <c r="E32" i="131"/>
  <c r="E32" i="118"/>
  <c r="E32" i="143"/>
  <c r="E27"/>
  <c r="E41"/>
  <c r="E32" i="119"/>
  <c r="E32" i="144"/>
  <c r="E32" i="145"/>
  <c r="E32" i="117"/>
  <c r="E32" i="116"/>
  <c r="E32" i="142"/>
  <c r="E32" i="147"/>
  <c r="E32" i="179"/>
  <c r="E32" i="146"/>
  <c r="E32" i="133"/>
  <c r="E32" i="132"/>
  <c r="E32" i="135"/>
  <c r="E32" i="134"/>
  <c r="E27"/>
  <c r="E41"/>
  <c r="E32" i="113"/>
  <c r="E27"/>
  <c r="E41"/>
  <c r="E32" i="140"/>
  <c r="E27"/>
  <c r="E41"/>
  <c r="E32" i="175"/>
  <c r="E32" i="141"/>
  <c r="E32" i="216"/>
  <c r="E32" i="176"/>
  <c r="E32" i="150"/>
  <c r="E27"/>
  <c r="E32" i="159"/>
  <c r="E32" i="109"/>
  <c r="E27"/>
  <c r="E41"/>
  <c r="E32" i="108"/>
  <c r="E32" i="187"/>
  <c r="E27"/>
  <c r="E41"/>
  <c r="E32" i="177"/>
  <c r="E32" i="41"/>
  <c r="E32" i="40"/>
  <c r="E27"/>
  <c r="E41"/>
  <c r="E32" i="64"/>
  <c r="E32" i="110"/>
  <c r="E32" i="20"/>
  <c r="E27"/>
  <c r="E41"/>
  <c r="E32" i="62"/>
  <c r="E32" i="26"/>
  <c r="E27"/>
  <c r="E41"/>
  <c r="E32" i="105"/>
  <c r="E27"/>
  <c r="E41"/>
  <c r="E32" i="63"/>
  <c r="E27"/>
  <c r="E41"/>
  <c r="E32" i="65"/>
  <c r="E32" i="191"/>
  <c r="E32" i="14"/>
  <c r="E28" i="28"/>
  <c r="E28" i="22"/>
  <c r="E27"/>
  <c r="E41"/>
  <c r="E28" i="49"/>
  <c r="E28" i="29"/>
  <c r="E28" i="30"/>
  <c r="E28" i="48"/>
  <c r="E27"/>
  <c r="E41"/>
  <c r="E28" i="83"/>
  <c r="E28" i="42"/>
  <c r="E28" i="188"/>
  <c r="E27"/>
  <c r="E28" i="195"/>
  <c r="E28" i="196"/>
  <c r="E28" i="209"/>
  <c r="E28" i="210"/>
  <c r="E28" i="197"/>
  <c r="E28" i="198"/>
  <c r="E28" i="156"/>
  <c r="E28" i="200"/>
  <c r="E27"/>
  <c r="E28" i="112"/>
  <c r="E28" i="97"/>
  <c r="E28" i="98"/>
  <c r="E28" i="126"/>
  <c r="E28" i="96"/>
  <c r="E28" i="151"/>
  <c r="E28" i="107"/>
  <c r="E27"/>
  <c r="E41"/>
  <c r="E28" i="152"/>
  <c r="E27"/>
  <c r="E41"/>
  <c r="E28" i="211"/>
  <c r="E27"/>
  <c r="E41"/>
  <c r="E28" i="106"/>
  <c r="E28" i="123"/>
  <c r="E28" i="33"/>
  <c r="E28" i="34"/>
  <c r="E27"/>
  <c r="E41"/>
  <c r="E28" i="124"/>
  <c r="E28" i="57"/>
  <c r="E28" i="55"/>
  <c r="E27"/>
  <c r="E41"/>
  <c r="E28" i="43"/>
  <c r="E27"/>
  <c r="E41"/>
  <c r="E28" i="189"/>
  <c r="E27"/>
  <c r="E41"/>
  <c r="E28" i="56"/>
  <c r="E27"/>
  <c r="E41"/>
  <c r="E28" i="203"/>
  <c r="E28" i="212"/>
  <c r="E28" i="202"/>
  <c r="E28" i="201"/>
  <c r="E28" i="206"/>
  <c r="E28" i="24"/>
  <c r="E27"/>
  <c r="E41"/>
  <c r="E28" i="149"/>
  <c r="E27"/>
  <c r="E41"/>
  <c r="E28" i="148"/>
  <c r="E28" i="186"/>
  <c r="E27"/>
  <c r="E41"/>
  <c r="E28" i="35"/>
  <c r="E28" i="153"/>
  <c r="E28" i="47"/>
  <c r="E28" i="27"/>
  <c r="E28" i="70"/>
  <c r="E28" i="71"/>
  <c r="E28" i="72"/>
  <c r="E28" i="73"/>
  <c r="E28" i="74"/>
  <c r="E28" i="75"/>
  <c r="E27"/>
  <c r="E41"/>
  <c r="E28" i="77"/>
  <c r="E28" i="36"/>
  <c r="E28" i="51"/>
  <c r="E28" i="37"/>
  <c r="E28" i="161"/>
  <c r="E28" i="115"/>
  <c r="E28" i="92"/>
  <c r="E27"/>
  <c r="E41"/>
  <c r="E28" i="90"/>
  <c r="E28" i="76"/>
  <c r="E28" i="138"/>
  <c r="E27"/>
  <c r="E41"/>
  <c r="E28" i="136"/>
  <c r="E27"/>
  <c r="E41"/>
  <c r="E28" i="137"/>
  <c r="E27"/>
  <c r="E41"/>
  <c r="E28" i="163"/>
  <c r="E27"/>
  <c r="E41"/>
  <c r="E28" i="213"/>
  <c r="E27"/>
  <c r="E41"/>
  <c r="E28" i="164"/>
  <c r="E27"/>
  <c r="E41"/>
  <c r="E28" i="193"/>
  <c r="E27"/>
  <c r="E41"/>
  <c r="E28" i="167"/>
  <c r="E27"/>
  <c r="E41"/>
  <c r="E28" i="129"/>
  <c r="E27"/>
  <c r="E41"/>
  <c r="E28" i="168"/>
  <c r="E28" i="169"/>
  <c r="E28" i="46"/>
  <c r="E27"/>
  <c r="E41"/>
  <c r="E28" i="89"/>
  <c r="E28" i="128"/>
  <c r="E27"/>
  <c r="E41"/>
  <c r="E28" i="85"/>
  <c r="E27"/>
  <c r="E41"/>
  <c r="E28" i="103"/>
  <c r="E27"/>
  <c r="E41"/>
  <c r="E28" i="104"/>
  <c r="E28" i="170"/>
  <c r="E28" i="190"/>
  <c r="E28" i="165"/>
  <c r="E28" i="166"/>
  <c r="E27"/>
  <c r="E41"/>
  <c r="E28" i="214"/>
  <c r="E27"/>
  <c r="D21"/>
  <c r="E26"/>
  <c r="E28" i="171"/>
  <c r="E27"/>
  <c r="E41"/>
  <c r="E28" i="38"/>
  <c r="E27"/>
  <c r="E41"/>
  <c r="E28" i="23"/>
  <c r="E28" i="25"/>
  <c r="E28" i="173"/>
  <c r="E28" i="174"/>
  <c r="E28" i="130"/>
  <c r="E27"/>
  <c r="E41"/>
  <c r="E28" i="39"/>
  <c r="E27"/>
  <c r="E41"/>
  <c r="E28" i="99"/>
  <c r="E27"/>
  <c r="E41"/>
  <c r="E28" i="205"/>
  <c r="E28" i="204"/>
  <c r="E28" i="101"/>
  <c r="E27"/>
  <c r="E41"/>
  <c r="E28" i="131"/>
  <c r="E27"/>
  <c r="E28" i="118"/>
  <c r="E27"/>
  <c r="E41"/>
  <c r="E28" i="143"/>
  <c r="E28" i="119"/>
  <c r="E28" i="144"/>
  <c r="E27"/>
  <c r="E41"/>
  <c r="E28" i="145"/>
  <c r="E27"/>
  <c r="E28" i="117"/>
  <c r="E28" i="116"/>
  <c r="E28" i="142"/>
  <c r="E27"/>
  <c r="E41"/>
  <c r="E28" i="147"/>
  <c r="E28" i="179"/>
  <c r="E28" i="146"/>
  <c r="E27"/>
  <c r="E41"/>
  <c r="E28" i="133"/>
  <c r="E27"/>
  <c r="E41"/>
  <c r="E28" i="132"/>
  <c r="E28" i="135"/>
  <c r="E27"/>
  <c r="E41"/>
  <c r="E28" i="134"/>
  <c r="E28" i="113"/>
  <c r="E28" i="140"/>
  <c r="E28" i="175"/>
  <c r="E28" i="141"/>
  <c r="E27"/>
  <c r="E41"/>
  <c r="E28" i="215"/>
  <c r="E27"/>
  <c r="E28" i="216"/>
  <c r="E27"/>
  <c r="E28" i="176"/>
  <c r="E27"/>
  <c r="E41"/>
  <c r="E28" i="150"/>
  <c r="E28" i="159"/>
  <c r="E27"/>
  <c r="E41"/>
  <c r="E28" i="109"/>
  <c r="E28" i="108"/>
  <c r="E28" i="187"/>
  <c r="E28" i="177"/>
  <c r="E28" i="41"/>
  <c r="E27"/>
  <c r="E41"/>
  <c r="E28" i="40"/>
  <c r="E28" i="64"/>
  <c r="E27"/>
  <c r="E41"/>
  <c r="E28" i="110"/>
  <c r="E27"/>
  <c r="E41"/>
  <c r="E28" i="20"/>
  <c r="E28" i="62"/>
  <c r="E27"/>
  <c r="E41"/>
  <c r="E28" i="26"/>
  <c r="E28" i="105"/>
  <c r="E28" i="63"/>
  <c r="E28" i="65"/>
  <c r="E28" i="191"/>
  <c r="E27"/>
  <c r="E41"/>
  <c r="E28" i="14"/>
  <c r="E41" i="49"/>
  <c r="E41" i="97"/>
  <c r="E41" i="106"/>
  <c r="E41" i="202"/>
  <c r="E41" i="37"/>
  <c r="E41" i="169"/>
  <c r="E41" i="170"/>
  <c r="E41" i="173"/>
  <c r="E41" i="175"/>
  <c r="E41" i="108"/>
  <c r="E41" i="14"/>
  <c r="E41" i="59"/>
  <c r="E41" i="84"/>
  <c r="E41" i="60"/>
  <c r="E41" i="61"/>
  <c r="E41" i="58"/>
  <c r="E41" i="13"/>
  <c r="E41" i="6"/>
  <c r="E41" i="7"/>
  <c r="E41" i="8"/>
  <c r="E41" i="9"/>
  <c r="E41" i="95"/>
  <c r="E41" i="217"/>
  <c r="E41" i="199"/>
  <c r="E41" i="93"/>
  <c r="E41" i="94"/>
  <c r="E41" i="53"/>
  <c r="E41" i="67"/>
  <c r="E41" i="69"/>
  <c r="E41" i="120"/>
  <c r="E41" i="121"/>
  <c r="E41" i="122"/>
  <c r="E41" i="79"/>
  <c r="E41" i="78"/>
  <c r="E41" i="81"/>
  <c r="E41" i="17"/>
  <c r="E41" i="16"/>
  <c r="E41" i="11"/>
  <c r="E41" i="10"/>
  <c r="E40"/>
  <c r="E40" i="93"/>
  <c r="E40" i="94"/>
  <c r="E40" i="53"/>
  <c r="E40" i="67"/>
  <c r="E40" i="69"/>
  <c r="E40" i="120"/>
  <c r="E40" i="78"/>
  <c r="E40" i="81"/>
  <c r="E40" i="17"/>
  <c r="E40" i="16"/>
  <c r="E40" i="11"/>
  <c r="E40" i="5"/>
  <c r="E40" i="4"/>
  <c r="E40" i="194"/>
  <c r="E40" i="1"/>
  <c r="E41" i="5"/>
  <c r="E41" i="194"/>
  <c r="E41" i="1"/>
  <c r="E11" i="8"/>
  <c r="E21"/>
  <c r="E12" i="84"/>
  <c r="E12" i="60"/>
  <c r="E12" i="61"/>
  <c r="E12" i="58"/>
  <c r="E12" i="13"/>
  <c r="E14" i="8"/>
  <c r="D73" i="217"/>
  <c r="D72"/>
  <c r="D71"/>
  <c r="D58"/>
  <c r="D74"/>
  <c r="D75"/>
  <c r="E11"/>
  <c r="E21"/>
  <c r="E12" i="199"/>
  <c r="D74" i="93"/>
  <c r="D69"/>
  <c r="E11"/>
  <c r="E12"/>
  <c r="D74" i="94"/>
  <c r="D69"/>
  <c r="E11"/>
  <c r="E14"/>
  <c r="E12"/>
  <c r="D69" i="53"/>
  <c r="E11"/>
  <c r="E12"/>
  <c r="D69" i="67"/>
  <c r="E12"/>
  <c r="D69" i="69"/>
  <c r="E12"/>
  <c r="D69" i="120"/>
  <c r="E11"/>
  <c r="E12"/>
  <c r="D69" i="121"/>
  <c r="E15"/>
  <c r="E12"/>
  <c r="D69" i="122"/>
  <c r="E15"/>
  <c r="E12"/>
  <c r="D69" i="79"/>
  <c r="E15"/>
  <c r="E12"/>
  <c r="D69" i="78"/>
  <c r="E15"/>
  <c r="E12"/>
  <c r="D69" i="81"/>
  <c r="E15"/>
  <c r="E12"/>
  <c r="D69" i="17"/>
  <c r="E15"/>
  <c r="E12"/>
  <c r="D69" i="16"/>
  <c r="E15"/>
  <c r="E12"/>
  <c r="D69" i="11"/>
  <c r="E15"/>
  <c r="E12"/>
  <c r="E11" i="4"/>
  <c r="E21"/>
  <c r="D71"/>
  <c r="D71" i="5"/>
  <c r="D71" i="10"/>
  <c r="D71" i="11"/>
  <c r="D71" i="16"/>
  <c r="D71" i="17"/>
  <c r="D71" i="81"/>
  <c r="D71" i="78"/>
  <c r="D71" i="79"/>
  <c r="D71" i="122"/>
  <c r="D71" i="121"/>
  <c r="D71" i="120"/>
  <c r="D71" i="69"/>
  <c r="D71" i="67"/>
  <c r="D71" i="53"/>
  <c r="D71" i="94"/>
  <c r="D71" i="93"/>
  <c r="D71" i="199"/>
  <c r="D71" i="194"/>
  <c r="E11"/>
  <c r="E69" i="217"/>
  <c r="E58"/>
  <c r="E74"/>
  <c r="E75"/>
  <c r="E64"/>
  <c r="E73"/>
  <c r="D72" i="216"/>
  <c r="E11"/>
  <c r="E21"/>
  <c r="D72" i="215"/>
  <c r="D72" i="214"/>
  <c r="E21"/>
  <c r="E11"/>
  <c r="D64" i="216"/>
  <c r="D58"/>
  <c r="D74"/>
  <c r="D75"/>
  <c r="E58"/>
  <c r="D64" i="215"/>
  <c r="D58"/>
  <c r="D64" i="214"/>
  <c r="D58"/>
  <c r="E74" i="216"/>
  <c r="E75"/>
  <c r="E64"/>
  <c r="D74" i="214"/>
  <c r="D75"/>
  <c r="E58"/>
  <c r="E74"/>
  <c r="E75"/>
  <c r="E64"/>
  <c r="D72" i="213"/>
  <c r="D21"/>
  <c r="E11"/>
  <c r="E21"/>
  <c r="D72" i="212"/>
  <c r="D21"/>
  <c r="E26"/>
  <c r="E11"/>
  <c r="E21"/>
  <c r="D72" i="211"/>
  <c r="E11"/>
  <c r="E21"/>
  <c r="D72" i="210"/>
  <c r="E21"/>
  <c r="E26"/>
  <c r="E11"/>
  <c r="D72" i="209"/>
  <c r="E21"/>
  <c r="E11"/>
  <c r="D64" i="213"/>
  <c r="D58"/>
  <c r="D64" i="212"/>
  <c r="D58"/>
  <c r="D64" i="211"/>
  <c r="D58"/>
  <c r="D64" i="210"/>
  <c r="D58"/>
  <c r="D64" i="209"/>
  <c r="D58"/>
  <c r="D58" i="126"/>
  <c r="E26" i="9"/>
  <c r="E26" i="42"/>
  <c r="E26" i="156"/>
  <c r="E26" i="98"/>
  <c r="E26" i="151"/>
  <c r="E26" i="107"/>
  <c r="E26" i="106"/>
  <c r="E26" i="72"/>
  <c r="E26" i="75"/>
  <c r="E26" i="138"/>
  <c r="E26" i="164"/>
  <c r="E26" i="114"/>
  <c r="E26" i="88"/>
  <c r="E26" i="129"/>
  <c r="E26" i="46"/>
  <c r="E26" i="102"/>
  <c r="E26" i="104"/>
  <c r="E26" i="170"/>
  <c r="E26" i="166"/>
  <c r="E26" i="174"/>
  <c r="E26" i="130"/>
  <c r="D21" i="205"/>
  <c r="E26"/>
  <c r="E26" i="118"/>
  <c r="E26" i="145"/>
  <c r="E26" i="117"/>
  <c r="E26" i="147"/>
  <c r="E26" i="176"/>
  <c r="E26" i="109"/>
  <c r="E26" i="105"/>
  <c r="D75" i="8"/>
  <c r="D72" i="206"/>
  <c r="D21"/>
  <c r="E26"/>
  <c r="E11"/>
  <c r="E21"/>
  <c r="D72" i="204"/>
  <c r="D21"/>
  <c r="E26"/>
  <c r="E11"/>
  <c r="E21"/>
  <c r="D72" i="205"/>
  <c r="E11"/>
  <c r="E21"/>
  <c r="D72" i="201"/>
  <c r="D21"/>
  <c r="E11"/>
  <c r="E21"/>
  <c r="D72" i="202"/>
  <c r="D21"/>
  <c r="E11"/>
  <c r="E21"/>
  <c r="D72" i="203"/>
  <c r="D21"/>
  <c r="E26"/>
  <c r="E21"/>
  <c r="D64" i="204"/>
  <c r="D58"/>
  <c r="D64" i="205"/>
  <c r="D58"/>
  <c r="D74" i="213"/>
  <c r="D75"/>
  <c r="E58"/>
  <c r="D64" i="206"/>
  <c r="D58"/>
  <c r="D74" i="212"/>
  <c r="D75"/>
  <c r="E58"/>
  <c r="D64" i="203"/>
  <c r="D58"/>
  <c r="D64" i="201"/>
  <c r="D58"/>
  <c r="D64" i="202"/>
  <c r="D58"/>
  <c r="D74" i="211"/>
  <c r="D76"/>
  <c r="E58"/>
  <c r="D74" i="210"/>
  <c r="D75"/>
  <c r="E58"/>
  <c r="D74" i="209"/>
  <c r="D75"/>
  <c r="E58"/>
  <c r="E11" i="107"/>
  <c r="E21"/>
  <c r="E11" i="152"/>
  <c r="E21"/>
  <c r="E11" i="106"/>
  <c r="E21"/>
  <c r="E11" i="123"/>
  <c r="E21"/>
  <c r="E11" i="33"/>
  <c r="E21"/>
  <c r="E11" i="34"/>
  <c r="E21"/>
  <c r="E11" i="124"/>
  <c r="E21"/>
  <c r="E11" i="57"/>
  <c r="E21"/>
  <c r="E11" i="55"/>
  <c r="E11" i="43"/>
  <c r="E21"/>
  <c r="E11" i="189"/>
  <c r="E21"/>
  <c r="E11" i="56"/>
  <c r="E21"/>
  <c r="E11" i="24"/>
  <c r="E21"/>
  <c r="E11" i="149"/>
  <c r="E21"/>
  <c r="E11" i="148"/>
  <c r="E21"/>
  <c r="E11" i="186"/>
  <c r="E21"/>
  <c r="E11" i="35"/>
  <c r="E21"/>
  <c r="E11" i="153"/>
  <c r="E11" i="47"/>
  <c r="E21"/>
  <c r="E11" i="27"/>
  <c r="E21"/>
  <c r="E11" i="70"/>
  <c r="E11" i="71"/>
  <c r="E11" i="72"/>
  <c r="E11" i="73"/>
  <c r="E11" i="74"/>
  <c r="E11" i="75"/>
  <c r="E21"/>
  <c r="E11" i="77"/>
  <c r="E21"/>
  <c r="E11" i="36"/>
  <c r="E21"/>
  <c r="E21" i="51"/>
  <c r="D58"/>
  <c r="E11" i="37"/>
  <c r="E11" i="161"/>
  <c r="E21"/>
  <c r="E11" i="115"/>
  <c r="E21"/>
  <c r="E11" i="92"/>
  <c r="E21"/>
  <c r="E11" i="90"/>
  <c r="E11" i="76"/>
  <c r="E21"/>
  <c r="E11" i="138"/>
  <c r="E21"/>
  <c r="E11" i="136"/>
  <c r="E21"/>
  <c r="E11" i="137"/>
  <c r="E21"/>
  <c r="E11" i="163"/>
  <c r="E21"/>
  <c r="E11" i="164"/>
  <c r="E21"/>
  <c r="E11" i="114"/>
  <c r="E21"/>
  <c r="E11" i="193"/>
  <c r="E21"/>
  <c r="E11" i="88"/>
  <c r="E21"/>
  <c r="E11" i="167"/>
  <c r="E21"/>
  <c r="E11" i="129"/>
  <c r="E21"/>
  <c r="E11" i="168"/>
  <c r="E21"/>
  <c r="E11" i="169"/>
  <c r="E21"/>
  <c r="E11" i="46"/>
  <c r="E21"/>
  <c r="E11" i="89"/>
  <c r="E21"/>
  <c r="E11" i="128"/>
  <c r="E21"/>
  <c r="E11" i="85"/>
  <c r="E21"/>
  <c r="E11" i="103"/>
  <c r="E21"/>
  <c r="E11" i="102"/>
  <c r="E21"/>
  <c r="E11" i="104"/>
  <c r="E21"/>
  <c r="E11" i="170"/>
  <c r="E21"/>
  <c r="E11" i="190"/>
  <c r="E21"/>
  <c r="E11" i="165"/>
  <c r="E21"/>
  <c r="E11" i="166"/>
  <c r="E21"/>
  <c r="E11" i="171"/>
  <c r="E21"/>
  <c r="E11" i="38"/>
  <c r="E21"/>
  <c r="E11" i="23"/>
  <c r="E11" i="25"/>
  <c r="E21"/>
  <c r="E11" i="173"/>
  <c r="E21"/>
  <c r="E11" i="174"/>
  <c r="E21"/>
  <c r="E11" i="39"/>
  <c r="E21"/>
  <c r="E11" i="100"/>
  <c r="E21"/>
  <c r="E11" i="99"/>
  <c r="E21"/>
  <c r="E11" i="101"/>
  <c r="E21"/>
  <c r="E21" i="131"/>
  <c r="E11" i="118"/>
  <c r="E21"/>
  <c r="E11" i="143"/>
  <c r="E11" i="119"/>
  <c r="E21"/>
  <c r="E11" i="144"/>
  <c r="E21"/>
  <c r="E11" i="145"/>
  <c r="E21"/>
  <c r="E11" i="117"/>
  <c r="E21"/>
  <c r="E21" i="116"/>
  <c r="D58"/>
  <c r="D75"/>
  <c r="E11" i="142"/>
  <c r="E21"/>
  <c r="E11" i="147"/>
  <c r="E21"/>
  <c r="E11" i="179"/>
  <c r="E21"/>
  <c r="E11" i="146"/>
  <c r="E21"/>
  <c r="E11" i="133"/>
  <c r="E21"/>
  <c r="E11" i="132"/>
  <c r="E21"/>
  <c r="E11" i="135"/>
  <c r="E21"/>
  <c r="E11" i="134"/>
  <c r="E11" i="113"/>
  <c r="E21"/>
  <c r="E11" i="140"/>
  <c r="E21"/>
  <c r="E11" i="175"/>
  <c r="E21"/>
  <c r="E11" i="141"/>
  <c r="E21"/>
  <c r="E11" i="176"/>
  <c r="E21"/>
  <c r="E21" i="150"/>
  <c r="E11" i="159"/>
  <c r="E21"/>
  <c r="E11" i="109"/>
  <c r="E21"/>
  <c r="E11" i="108"/>
  <c r="E21"/>
  <c r="E11" i="187"/>
  <c r="E21"/>
  <c r="E11" i="177"/>
  <c r="E11" i="41"/>
  <c r="E21"/>
  <c r="E11" i="40"/>
  <c r="E21"/>
  <c r="E11" i="64"/>
  <c r="E21"/>
  <c r="E11" i="110"/>
  <c r="E11" i="20"/>
  <c r="E11" i="62"/>
  <c r="E21"/>
  <c r="E11" i="26"/>
  <c r="E21"/>
  <c r="E11" i="105"/>
  <c r="E21"/>
  <c r="E11" i="63"/>
  <c r="E21"/>
  <c r="E11" i="65"/>
  <c r="E21"/>
  <c r="E11" i="191"/>
  <c r="E21"/>
  <c r="E11" i="151"/>
  <c r="E21"/>
  <c r="E11" i="96"/>
  <c r="E21"/>
  <c r="E11" i="98"/>
  <c r="E21"/>
  <c r="D64" i="187"/>
  <c r="D58"/>
  <c r="D64" i="191"/>
  <c r="D58"/>
  <c r="D64" i="65"/>
  <c r="D58"/>
  <c r="D64" i="63"/>
  <c r="D58"/>
  <c r="D64" i="105"/>
  <c r="D58"/>
  <c r="D64" i="26"/>
  <c r="D58"/>
  <c r="D64" i="62"/>
  <c r="D58"/>
  <c r="D58" i="20"/>
  <c r="D74"/>
  <c r="D75"/>
  <c r="D58" i="110"/>
  <c r="D64" i="64"/>
  <c r="D58"/>
  <c r="D64" i="40"/>
  <c r="D58"/>
  <c r="D64" i="41"/>
  <c r="D58"/>
  <c r="D58" i="177"/>
  <c r="D64" i="108"/>
  <c r="D58"/>
  <c r="D64" i="109"/>
  <c r="D58"/>
  <c r="D64" i="159"/>
  <c r="D58"/>
  <c r="D64" i="150"/>
  <c r="D58"/>
  <c r="D64" i="176"/>
  <c r="D58"/>
  <c r="D64" i="141"/>
  <c r="D58"/>
  <c r="D64" i="175"/>
  <c r="D58"/>
  <c r="D64" i="140"/>
  <c r="D58"/>
  <c r="D64" i="113"/>
  <c r="D58"/>
  <c r="D58" i="134"/>
  <c r="D64" i="135"/>
  <c r="D58"/>
  <c r="D64" i="132"/>
  <c r="D58"/>
  <c r="D64" i="133"/>
  <c r="D58"/>
  <c r="D64" i="146"/>
  <c r="D58"/>
  <c r="D64" i="179"/>
  <c r="D58"/>
  <c r="D64" i="147"/>
  <c r="D58"/>
  <c r="D64" i="142"/>
  <c r="D58"/>
  <c r="D64" i="117"/>
  <c r="D58"/>
  <c r="D64" i="145"/>
  <c r="D58"/>
  <c r="D64" i="144"/>
  <c r="D58"/>
  <c r="D64" i="119"/>
  <c r="D58"/>
  <c r="D58" i="143"/>
  <c r="D64" i="118"/>
  <c r="D58"/>
  <c r="D64" i="131"/>
  <c r="D58"/>
  <c r="D64" i="101"/>
  <c r="D58"/>
  <c r="D74" i="204"/>
  <c r="D75"/>
  <c r="E58"/>
  <c r="D74" i="205"/>
  <c r="D75"/>
  <c r="E58"/>
  <c r="D64" i="99"/>
  <c r="D58"/>
  <c r="D64" i="100"/>
  <c r="D58"/>
  <c r="D64" i="39"/>
  <c r="D58"/>
  <c r="D64" i="130"/>
  <c r="D58"/>
  <c r="D64" i="174"/>
  <c r="D58"/>
  <c r="D64" i="173"/>
  <c r="D58"/>
  <c r="D64" i="25"/>
  <c r="D58"/>
  <c r="D58" i="23"/>
  <c r="D64" i="38"/>
  <c r="D58"/>
  <c r="D64" i="171"/>
  <c r="D58"/>
  <c r="D64" i="166"/>
  <c r="D58"/>
  <c r="D64" i="165"/>
  <c r="D58"/>
  <c r="D64" i="190"/>
  <c r="D58"/>
  <c r="D74"/>
  <c r="D64" i="170"/>
  <c r="D58"/>
  <c r="D64" i="104"/>
  <c r="D58"/>
  <c r="D64" i="102"/>
  <c r="D58"/>
  <c r="D64" i="103"/>
  <c r="D58"/>
  <c r="D64" i="85"/>
  <c r="D58"/>
  <c r="D64" i="128"/>
  <c r="D58"/>
  <c r="D64" i="89"/>
  <c r="D58"/>
  <c r="D64" i="46"/>
  <c r="D58"/>
  <c r="D64" i="169"/>
  <c r="D58"/>
  <c r="D64" i="168"/>
  <c r="D58"/>
  <c r="D64" i="129"/>
  <c r="D58"/>
  <c r="D64" i="167"/>
  <c r="D58"/>
  <c r="D64" i="88"/>
  <c r="D58"/>
  <c r="D64" i="193"/>
  <c r="D58"/>
  <c r="D64" i="114"/>
  <c r="D58"/>
  <c r="D64" i="164"/>
  <c r="D58"/>
  <c r="E64" i="213"/>
  <c r="E74"/>
  <c r="E75"/>
  <c r="D64" i="163"/>
  <c r="D58"/>
  <c r="D64" i="137"/>
  <c r="D58"/>
  <c r="D64" i="136"/>
  <c r="D58"/>
  <c r="D64" i="138"/>
  <c r="D58"/>
  <c r="D64" i="76"/>
  <c r="D58"/>
  <c r="D58" i="90"/>
  <c r="D64" i="92"/>
  <c r="D58"/>
  <c r="D64" i="115"/>
  <c r="D58"/>
  <c r="D64" i="161"/>
  <c r="D58"/>
  <c r="D58" i="37"/>
  <c r="D64" i="36"/>
  <c r="D58"/>
  <c r="D64" i="77"/>
  <c r="D58"/>
  <c r="D64" i="75"/>
  <c r="D58"/>
  <c r="D58" i="74"/>
  <c r="D58" i="73"/>
  <c r="D58" i="72"/>
  <c r="D58" i="71"/>
  <c r="D58" i="70"/>
  <c r="D64" i="27"/>
  <c r="D58"/>
  <c r="D64" i="47"/>
  <c r="D58"/>
  <c r="D58" i="153"/>
  <c r="D64" i="35"/>
  <c r="D58"/>
  <c r="D64" i="186"/>
  <c r="D58"/>
  <c r="D64" i="148"/>
  <c r="D58"/>
  <c r="D64" i="149"/>
  <c r="D58"/>
  <c r="D64" i="24"/>
  <c r="D58"/>
  <c r="E58" i="206"/>
  <c r="D74"/>
  <c r="D75"/>
  <c r="E74" i="212"/>
  <c r="E75"/>
  <c r="E64"/>
  <c r="D74" i="203"/>
  <c r="D75"/>
  <c r="D74" i="201"/>
  <c r="D75"/>
  <c r="E58"/>
  <c r="D74" i="202"/>
  <c r="D75"/>
  <c r="E58"/>
  <c r="D64" i="56"/>
  <c r="D58"/>
  <c r="D64" i="189"/>
  <c r="D58"/>
  <c r="D64" i="43"/>
  <c r="D58"/>
  <c r="D58" i="55"/>
  <c r="D64" i="57"/>
  <c r="D58"/>
  <c r="D64" i="124"/>
  <c r="D58"/>
  <c r="D64" i="34"/>
  <c r="D58"/>
  <c r="D64" i="33"/>
  <c r="D58"/>
  <c r="D64" i="123"/>
  <c r="D58"/>
  <c r="D64" i="106"/>
  <c r="D58"/>
  <c r="E74" i="211"/>
  <c r="E76"/>
  <c r="E64"/>
  <c r="D64" i="152"/>
  <c r="D58"/>
  <c r="D64" i="107"/>
  <c r="D58"/>
  <c r="D64" i="151"/>
  <c r="D58"/>
  <c r="D64" i="96"/>
  <c r="D58"/>
  <c r="D64" i="98"/>
  <c r="D58"/>
  <c r="E64" i="210"/>
  <c r="E74"/>
  <c r="E75"/>
  <c r="E64" i="209"/>
  <c r="E74"/>
  <c r="E75"/>
  <c r="D72" i="200"/>
  <c r="E21"/>
  <c r="E11"/>
  <c r="E26"/>
  <c r="D58" i="84"/>
  <c r="E17"/>
  <c r="D73"/>
  <c r="E14"/>
  <c r="E11"/>
  <c r="D58" i="60"/>
  <c r="E17"/>
  <c r="D73"/>
  <c r="E14"/>
  <c r="E11"/>
  <c r="D58" i="61"/>
  <c r="E14"/>
  <c r="E11"/>
  <c r="E17"/>
  <c r="D73"/>
  <c r="D58" i="58"/>
  <c r="D73"/>
  <c r="E14"/>
  <c r="E11"/>
  <c r="E21"/>
  <c r="E17"/>
  <c r="D58" i="13"/>
  <c r="E14"/>
  <c r="E11"/>
  <c r="E21"/>
  <c r="E17"/>
  <c r="D73"/>
  <c r="D64" i="9"/>
  <c r="E17"/>
  <c r="D73"/>
  <c r="E73"/>
  <c r="E11"/>
  <c r="D74" i="8"/>
  <c r="D58"/>
  <c r="E17"/>
  <c r="D73" i="7"/>
  <c r="E11"/>
  <c r="D64" i="6"/>
  <c r="E11"/>
  <c r="D73"/>
  <c r="D71" i="95"/>
  <c r="D64"/>
  <c r="D58"/>
  <c r="E11"/>
  <c r="D72" i="199"/>
  <c r="D58"/>
  <c r="D73"/>
  <c r="E11"/>
  <c r="D72" i="198"/>
  <c r="E26"/>
  <c r="E11"/>
  <c r="E21"/>
  <c r="D72" i="197"/>
  <c r="E26"/>
  <c r="E11"/>
  <c r="E21"/>
  <c r="D72" i="196"/>
  <c r="E26"/>
  <c r="E11"/>
  <c r="D72" i="195"/>
  <c r="E26"/>
  <c r="E11"/>
  <c r="E21"/>
  <c r="E21" i="84"/>
  <c r="E73"/>
  <c r="E21" i="60"/>
  <c r="E58"/>
  <c r="E64"/>
  <c r="E69"/>
  <c r="E21" i="61"/>
  <c r="E58"/>
  <c r="E64"/>
  <c r="E73" i="58"/>
  <c r="E58"/>
  <c r="E64"/>
  <c r="E69"/>
  <c r="E73" i="13"/>
  <c r="E58"/>
  <c r="E64"/>
  <c r="E69"/>
  <c r="E21" i="9"/>
  <c r="E64"/>
  <c r="D58"/>
  <c r="E21" i="7"/>
  <c r="D64"/>
  <c r="E21" i="6"/>
  <c r="D58"/>
  <c r="E58" i="187"/>
  <c r="E64"/>
  <c r="D74"/>
  <c r="D74" i="191"/>
  <c r="E58"/>
  <c r="E64"/>
  <c r="E58" i="65"/>
  <c r="E64"/>
  <c r="D74"/>
  <c r="D74" i="63"/>
  <c r="E58"/>
  <c r="E64"/>
  <c r="E58" i="105"/>
  <c r="E64"/>
  <c r="D74"/>
  <c r="D74" i="26"/>
  <c r="E58"/>
  <c r="E64"/>
  <c r="E58" i="62"/>
  <c r="E64"/>
  <c r="D74"/>
  <c r="E58" i="110"/>
  <c r="E64"/>
  <c r="D74" i="64"/>
  <c r="E58"/>
  <c r="E64"/>
  <c r="E58" i="40"/>
  <c r="E64"/>
  <c r="D74"/>
  <c r="D74" i="41"/>
  <c r="E58"/>
  <c r="E64"/>
  <c r="D74" i="108"/>
  <c r="D76"/>
  <c r="E58"/>
  <c r="E64"/>
  <c r="E58" i="109"/>
  <c r="E64"/>
  <c r="D74"/>
  <c r="D76"/>
  <c r="D74" i="159"/>
  <c r="D76"/>
  <c r="E58"/>
  <c r="E64"/>
  <c r="E64" i="150"/>
  <c r="D74"/>
  <c r="D76"/>
  <c r="D74" i="176"/>
  <c r="D76"/>
  <c r="E58"/>
  <c r="E64"/>
  <c r="D74" i="141"/>
  <c r="E58"/>
  <c r="E64"/>
  <c r="D74" i="175"/>
  <c r="E58"/>
  <c r="E64"/>
  <c r="D74" i="140"/>
  <c r="E58"/>
  <c r="E64"/>
  <c r="D74" i="113"/>
  <c r="E58"/>
  <c r="E64"/>
  <c r="D74" i="135"/>
  <c r="D76"/>
  <c r="E58"/>
  <c r="E64"/>
  <c r="D74" i="132"/>
  <c r="D76"/>
  <c r="E58"/>
  <c r="E64"/>
  <c r="D74" i="133"/>
  <c r="D76"/>
  <c r="E58"/>
  <c r="E64"/>
  <c r="D74" i="146"/>
  <c r="D76"/>
  <c r="E58"/>
  <c r="E64"/>
  <c r="D74" i="179"/>
  <c r="D76"/>
  <c r="E58"/>
  <c r="E64"/>
  <c r="D74" i="147"/>
  <c r="D76"/>
  <c r="E58"/>
  <c r="E64"/>
  <c r="D74" i="142"/>
  <c r="D76"/>
  <c r="E58"/>
  <c r="E64"/>
  <c r="D74" i="117"/>
  <c r="E58"/>
  <c r="E64"/>
  <c r="D74" i="145"/>
  <c r="E58"/>
  <c r="E64"/>
  <c r="D74" i="144"/>
  <c r="E58"/>
  <c r="E64"/>
  <c r="D74" i="119"/>
  <c r="E58"/>
  <c r="E64"/>
  <c r="E58" i="143"/>
  <c r="E64"/>
  <c r="D74" i="118"/>
  <c r="E58"/>
  <c r="E64"/>
  <c r="D74" i="131"/>
  <c r="E64"/>
  <c r="D74" i="101"/>
  <c r="E58"/>
  <c r="E64"/>
  <c r="E64" i="204"/>
  <c r="E74"/>
  <c r="E75"/>
  <c r="E74" i="205"/>
  <c r="E75"/>
  <c r="E64"/>
  <c r="D74" i="99"/>
  <c r="E58"/>
  <c r="E64"/>
  <c r="D74" i="100"/>
  <c r="E58"/>
  <c r="E64"/>
  <c r="D74" i="39"/>
  <c r="E58"/>
  <c r="E64"/>
  <c r="D74" i="130"/>
  <c r="E58"/>
  <c r="E64"/>
  <c r="D74" i="174"/>
  <c r="E58"/>
  <c r="E64"/>
  <c r="D74" i="173"/>
  <c r="E58"/>
  <c r="E64"/>
  <c r="D74" i="25"/>
  <c r="E58"/>
  <c r="E64"/>
  <c r="E58" i="23"/>
  <c r="E64"/>
  <c r="D74" i="38"/>
  <c r="E58"/>
  <c r="E64"/>
  <c r="D74" i="171"/>
  <c r="E58"/>
  <c r="E64"/>
  <c r="D74" i="166"/>
  <c r="E58"/>
  <c r="E64"/>
  <c r="D74" i="165"/>
  <c r="E58"/>
  <c r="E64"/>
  <c r="D74" i="170"/>
  <c r="E58"/>
  <c r="E64"/>
  <c r="D74" i="104"/>
  <c r="E58"/>
  <c r="E64"/>
  <c r="D74" i="102"/>
  <c r="E58"/>
  <c r="E64"/>
  <c r="D74" i="103"/>
  <c r="E58"/>
  <c r="E64"/>
  <c r="D74" i="85"/>
  <c r="E58"/>
  <c r="E64"/>
  <c r="D74" i="128"/>
  <c r="E58"/>
  <c r="E64"/>
  <c r="D74" i="89"/>
  <c r="E58"/>
  <c r="E64"/>
  <c r="D74" i="46"/>
  <c r="E58"/>
  <c r="E64"/>
  <c r="D74" i="169"/>
  <c r="E58"/>
  <c r="E64"/>
  <c r="D74" i="168"/>
  <c r="E58"/>
  <c r="E64"/>
  <c r="D74" i="129"/>
  <c r="E58"/>
  <c r="E64"/>
  <c r="D74" i="167"/>
  <c r="E58"/>
  <c r="E64"/>
  <c r="D74" i="88"/>
  <c r="E58"/>
  <c r="E64"/>
  <c r="D74" i="193"/>
  <c r="E58"/>
  <c r="E64"/>
  <c r="D74" i="114"/>
  <c r="E58"/>
  <c r="E64"/>
  <c r="D74" i="164"/>
  <c r="E58"/>
  <c r="E64"/>
  <c r="D74" i="163"/>
  <c r="E58"/>
  <c r="E64"/>
  <c r="E58" i="137"/>
  <c r="E64"/>
  <c r="D74"/>
  <c r="D74" i="136"/>
  <c r="E58"/>
  <c r="E64"/>
  <c r="E58" i="138"/>
  <c r="E64"/>
  <c r="D74"/>
  <c r="D74" i="76"/>
  <c r="E58"/>
  <c r="E64"/>
  <c r="D74" i="92"/>
  <c r="E58"/>
  <c r="E64"/>
  <c r="E58" i="115"/>
  <c r="E64"/>
  <c r="D74"/>
  <c r="D74" i="161"/>
  <c r="E58"/>
  <c r="E64"/>
  <c r="E58" i="37"/>
  <c r="E64"/>
  <c r="E58" i="36"/>
  <c r="E64"/>
  <c r="D74"/>
  <c r="E58" i="77"/>
  <c r="E64"/>
  <c r="D74"/>
  <c r="E58" i="75"/>
  <c r="E64"/>
  <c r="D74"/>
  <c r="D76"/>
  <c r="E58" i="27"/>
  <c r="E64"/>
  <c r="D74"/>
  <c r="D76"/>
  <c r="D74" i="47"/>
  <c r="E58"/>
  <c r="E64"/>
  <c r="D74" i="35"/>
  <c r="E58"/>
  <c r="E64"/>
  <c r="E58" i="186"/>
  <c r="E64"/>
  <c r="D74"/>
  <c r="E58" i="148"/>
  <c r="E64"/>
  <c r="D74"/>
  <c r="D76"/>
  <c r="E58" i="149"/>
  <c r="E64"/>
  <c r="D74"/>
  <c r="D76"/>
  <c r="E58" i="24"/>
  <c r="E64"/>
  <c r="D74"/>
  <c r="D76"/>
  <c r="E64" i="206"/>
  <c r="E74"/>
  <c r="E75"/>
  <c r="E74" i="203"/>
  <c r="E75"/>
  <c r="E64" i="201"/>
  <c r="E74"/>
  <c r="E75"/>
  <c r="E74" i="202"/>
  <c r="E75"/>
  <c r="E64"/>
  <c r="E58" i="56"/>
  <c r="E64"/>
  <c r="D74"/>
  <c r="D74" i="189"/>
  <c r="E58"/>
  <c r="E64"/>
  <c r="E58" i="43"/>
  <c r="E64"/>
  <c r="D74"/>
  <c r="E58" i="57"/>
  <c r="E64"/>
  <c r="D74"/>
  <c r="D74" i="124"/>
  <c r="E58"/>
  <c r="E64"/>
  <c r="E58" i="34"/>
  <c r="E64"/>
  <c r="D74"/>
  <c r="D74" i="33"/>
  <c r="E58"/>
  <c r="E64"/>
  <c r="E58" i="123"/>
  <c r="E64"/>
  <c r="D74"/>
  <c r="D74" i="106"/>
  <c r="E58"/>
  <c r="E64"/>
  <c r="E58" i="152"/>
  <c r="E64"/>
  <c r="D74"/>
  <c r="D76"/>
  <c r="E58" i="107"/>
  <c r="E64"/>
  <c r="D74"/>
  <c r="D76"/>
  <c r="E58" i="151"/>
  <c r="E64"/>
  <c r="D74"/>
  <c r="D76"/>
  <c r="E58" i="96"/>
  <c r="E64"/>
  <c r="D74"/>
  <c r="D76"/>
  <c r="D74" i="98"/>
  <c r="D64" i="200"/>
  <c r="D58"/>
  <c r="D64" i="195"/>
  <c r="D58"/>
  <c r="D64" i="198"/>
  <c r="D58"/>
  <c r="D64" i="197"/>
  <c r="D58"/>
  <c r="D58" i="196"/>
  <c r="E21" i="95"/>
  <c r="D73"/>
  <c r="D74"/>
  <c r="D75"/>
  <c r="E21" i="199"/>
  <c r="E58"/>
  <c r="E74"/>
  <c r="E75"/>
  <c r="D74"/>
  <c r="D75"/>
  <c r="E64" i="84"/>
  <c r="E69"/>
  <c r="E58"/>
  <c r="E73" i="60"/>
  <c r="E69" i="61"/>
  <c r="E73"/>
  <c r="E58" i="9"/>
  <c r="D74"/>
  <c r="E64" i="7"/>
  <c r="D58"/>
  <c r="E64" i="6"/>
  <c r="E58"/>
  <c r="D74"/>
  <c r="E73" i="199"/>
  <c r="D74" i="200"/>
  <c r="D75"/>
  <c r="E58"/>
  <c r="D74" i="195"/>
  <c r="D75"/>
  <c r="E58"/>
  <c r="E58" i="198"/>
  <c r="D74"/>
  <c r="D75"/>
  <c r="D74" i="197"/>
  <c r="D75"/>
  <c r="E58"/>
  <c r="E58" i="7"/>
  <c r="D74"/>
  <c r="E64" i="200"/>
  <c r="E74"/>
  <c r="E75"/>
  <c r="E64" i="195"/>
  <c r="E74"/>
  <c r="E75"/>
  <c r="E64" i="198"/>
  <c r="E74"/>
  <c r="E75"/>
  <c r="E64" i="197"/>
  <c r="E74"/>
  <c r="E75"/>
  <c r="E11" i="188"/>
  <c r="E21"/>
  <c r="E11" i="12"/>
  <c r="E21"/>
  <c r="D64"/>
  <c r="E21" i="59"/>
  <c r="E11" i="42"/>
  <c r="E21"/>
  <c r="D58" i="93"/>
  <c r="E17"/>
  <c r="D73"/>
  <c r="E21"/>
  <c r="D58" i="94"/>
  <c r="E17"/>
  <c r="D73"/>
  <c r="D58" i="53"/>
  <c r="D73"/>
  <c r="D58" i="67"/>
  <c r="D73"/>
  <c r="E14"/>
  <c r="E11"/>
  <c r="D58" i="69"/>
  <c r="D73"/>
  <c r="E14"/>
  <c r="E11"/>
  <c r="D58" i="120"/>
  <c r="D73"/>
  <c r="E14"/>
  <c r="D58" i="10"/>
  <c r="D58" i="11"/>
  <c r="D58" i="16"/>
  <c r="D58" i="17"/>
  <c r="D58" i="81"/>
  <c r="D58" i="78"/>
  <c r="D58" i="79"/>
  <c r="D58" i="122"/>
  <c r="D58" i="121"/>
  <c r="D58" i="5"/>
  <c r="D73" i="10"/>
  <c r="E73"/>
  <c r="D73" i="11"/>
  <c r="D73" i="16"/>
  <c r="D74"/>
  <c r="D75"/>
  <c r="D73" i="17"/>
  <c r="E73"/>
  <c r="D73" i="81"/>
  <c r="D73" i="78"/>
  <c r="E17" i="79"/>
  <c r="D73"/>
  <c r="D73" i="122"/>
  <c r="E17" i="121"/>
  <c r="D73"/>
  <c r="D73" i="5"/>
  <c r="D74"/>
  <c r="D75"/>
  <c r="E14" i="10"/>
  <c r="D72"/>
  <c r="E14" i="11"/>
  <c r="E11"/>
  <c r="E14" i="16"/>
  <c r="E11"/>
  <c r="E14" i="17"/>
  <c r="E11"/>
  <c r="E14" i="81"/>
  <c r="E11"/>
  <c r="E14" i="78"/>
  <c r="D72"/>
  <c r="E14" i="79"/>
  <c r="E11"/>
  <c r="E14" i="122"/>
  <c r="E11"/>
  <c r="E14" i="121"/>
  <c r="D72"/>
  <c r="E14" i="5"/>
  <c r="D72"/>
  <c r="E11" i="121"/>
  <c r="E21"/>
  <c r="D58" i="4"/>
  <c r="D73"/>
  <c r="D74"/>
  <c r="D75"/>
  <c r="E14"/>
  <c r="D58" i="194"/>
  <c r="E14"/>
  <c r="E73" i="93"/>
  <c r="E58"/>
  <c r="E64"/>
  <c r="E69"/>
  <c r="E21" i="94"/>
  <c r="E73"/>
  <c r="E58"/>
  <c r="E21" i="53"/>
  <c r="E21" i="67"/>
  <c r="E21" i="69"/>
  <c r="E58"/>
  <c r="E74"/>
  <c r="E75"/>
  <c r="E71"/>
  <c r="E21" i="120"/>
  <c r="E73" i="121"/>
  <c r="E58"/>
  <c r="E64"/>
  <c r="E69"/>
  <c r="E72"/>
  <c r="E21" i="122"/>
  <c r="D72"/>
  <c r="E73"/>
  <c r="E58"/>
  <c r="E64"/>
  <c r="E69"/>
  <c r="E21" i="79"/>
  <c r="E73"/>
  <c r="E64"/>
  <c r="E69"/>
  <c r="E58"/>
  <c r="E11" i="78"/>
  <c r="E21"/>
  <c r="E64"/>
  <c r="E21" i="81"/>
  <c r="E72"/>
  <c r="E74"/>
  <c r="E75"/>
  <c r="D72"/>
  <c r="E21" i="17"/>
  <c r="E64"/>
  <c r="E21" i="16"/>
  <c r="E72"/>
  <c r="E74"/>
  <c r="E75"/>
  <c r="E21" i="11"/>
  <c r="E58"/>
  <c r="E74"/>
  <c r="E75"/>
  <c r="D72"/>
  <c r="E11" i="10"/>
  <c r="E21"/>
  <c r="E69" i="4"/>
  <c r="E21" i="194"/>
  <c r="D64" i="188"/>
  <c r="D58"/>
  <c r="D64" i="42"/>
  <c r="D58"/>
  <c r="E64" i="12"/>
  <c r="E58"/>
  <c r="D58"/>
  <c r="D74"/>
  <c r="D76"/>
  <c r="D58" i="59"/>
  <c r="E58"/>
  <c r="D74"/>
  <c r="D73" i="194"/>
  <c r="D74"/>
  <c r="D75"/>
  <c r="E69" i="16"/>
  <c r="D74" i="121"/>
  <c r="D74" i="122"/>
  <c r="D72" i="79"/>
  <c r="D74"/>
  <c r="D74" i="78"/>
  <c r="D74" i="81"/>
  <c r="D72" i="17"/>
  <c r="D74"/>
  <c r="D72" i="16"/>
  <c r="D74" i="11"/>
  <c r="D74" i="10"/>
  <c r="E11" i="5"/>
  <c r="E21"/>
  <c r="D58" i="1"/>
  <c r="E14"/>
  <c r="E11" i="97"/>
  <c r="E21"/>
  <c r="E21" i="112"/>
  <c r="E11"/>
  <c r="E21" i="156"/>
  <c r="E11"/>
  <c r="E21" i="83"/>
  <c r="E11"/>
  <c r="E21" i="30"/>
  <c r="E11"/>
  <c r="E11" i="48"/>
  <c r="E11" i="29"/>
  <c r="E21"/>
  <c r="E11" i="49"/>
  <c r="E21"/>
  <c r="E11" i="22"/>
  <c r="E21"/>
  <c r="E11" i="28"/>
  <c r="E21"/>
  <c r="D73" i="1"/>
  <c r="E11"/>
  <c r="E64" i="94"/>
  <c r="E69"/>
  <c r="E58" i="53"/>
  <c r="E64" i="67"/>
  <c r="E73"/>
  <c r="E58"/>
  <c r="E74"/>
  <c r="E75"/>
  <c r="E64" i="69"/>
  <c r="E73"/>
  <c r="E73" i="120"/>
  <c r="E58"/>
  <c r="E72" i="122"/>
  <c r="E72" i="79"/>
  <c r="E69" i="78"/>
  <c r="E72"/>
  <c r="E74"/>
  <c r="E75"/>
  <c r="E58"/>
  <c r="E73"/>
  <c r="E73" i="81"/>
  <c r="E64"/>
  <c r="E58"/>
  <c r="E69" i="17"/>
  <c r="E72"/>
  <c r="E64" i="16"/>
  <c r="E73"/>
  <c r="E58"/>
  <c r="E69" i="11"/>
  <c r="E73"/>
  <c r="E72"/>
  <c r="E69" i="10"/>
  <c r="E72"/>
  <c r="E74"/>
  <c r="E75"/>
  <c r="E58"/>
  <c r="E64"/>
  <c r="E69" i="5"/>
  <c r="E73"/>
  <c r="E64"/>
  <c r="E73" i="4"/>
  <c r="E64"/>
  <c r="E58"/>
  <c r="E74"/>
  <c r="E75"/>
  <c r="E64" i="194"/>
  <c r="E21" i="1"/>
  <c r="E73"/>
  <c r="D64" i="97"/>
  <c r="D58"/>
  <c r="D64" i="112"/>
  <c r="D58"/>
  <c r="D64" i="156"/>
  <c r="D58"/>
  <c r="D74" i="188"/>
  <c r="E58"/>
  <c r="E64"/>
  <c r="E58" i="42"/>
  <c r="E64"/>
  <c r="D74"/>
  <c r="D64" i="83"/>
  <c r="D58"/>
  <c r="D58" i="48"/>
  <c r="D64" i="30"/>
  <c r="D58"/>
  <c r="D64" i="29"/>
  <c r="D58"/>
  <c r="D64" i="49"/>
  <c r="D58"/>
  <c r="D64" i="22"/>
  <c r="D58"/>
  <c r="D64" i="28"/>
  <c r="D58"/>
  <c r="D76" i="59"/>
  <c r="E59" i="1"/>
  <c r="E58"/>
  <c r="D74" i="97"/>
  <c r="E58"/>
  <c r="E64"/>
  <c r="D74" i="112"/>
  <c r="E58"/>
  <c r="E64"/>
  <c r="D74" i="156"/>
  <c r="E58"/>
  <c r="E64"/>
  <c r="D74" i="83"/>
  <c r="E58"/>
  <c r="E64"/>
  <c r="D74" i="30"/>
  <c r="E58"/>
  <c r="E64"/>
  <c r="E58" i="29"/>
  <c r="E64"/>
  <c r="D74"/>
  <c r="D74" i="49"/>
  <c r="E58"/>
  <c r="E64"/>
  <c r="E58" i="22"/>
  <c r="E64"/>
  <c r="D74"/>
  <c r="D74" i="28"/>
  <c r="E58"/>
  <c r="E64"/>
  <c r="E11" i="14"/>
  <c r="E21"/>
  <c r="D64"/>
  <c r="D58"/>
  <c r="D21" i="126"/>
  <c r="E26"/>
  <c r="D74" i="14"/>
  <c r="E58"/>
  <c r="E64"/>
  <c r="D11" i="75"/>
  <c r="D11" i="74"/>
  <c r="D11" i="73"/>
  <c r="D11" i="72"/>
  <c r="D11" i="71"/>
  <c r="D11" i="70"/>
  <c r="D11" i="27"/>
  <c r="D75" i="191"/>
  <c r="E74"/>
  <c r="E75"/>
  <c r="D72"/>
  <c r="D21"/>
  <c r="D75" i="65"/>
  <c r="E74"/>
  <c r="E75"/>
  <c r="D72"/>
  <c r="D21"/>
  <c r="D75" i="63"/>
  <c r="E74"/>
  <c r="E75"/>
  <c r="D72"/>
  <c r="D21"/>
  <c r="D75" i="105"/>
  <c r="E74"/>
  <c r="E75"/>
  <c r="D72"/>
  <c r="D21"/>
  <c r="D75" i="26"/>
  <c r="E74"/>
  <c r="E75"/>
  <c r="D72"/>
  <c r="D21"/>
  <c r="D11" i="62"/>
  <c r="D75"/>
  <c r="E74"/>
  <c r="E75"/>
  <c r="D72"/>
  <c r="D21"/>
  <c r="D72" i="20"/>
  <c r="D21"/>
  <c r="D75" i="110"/>
  <c r="E74"/>
  <c r="E75"/>
  <c r="D72"/>
  <c r="D21"/>
  <c r="D75" i="64"/>
  <c r="E74"/>
  <c r="E75"/>
  <c r="D72"/>
  <c r="D21"/>
  <c r="D11" i="40"/>
  <c r="D75"/>
  <c r="E74"/>
  <c r="E75"/>
  <c r="D72"/>
  <c r="D21"/>
  <c r="D75" i="41"/>
  <c r="E74"/>
  <c r="E75"/>
  <c r="D72"/>
  <c r="D21"/>
  <c r="D72" i="177"/>
  <c r="D21"/>
  <c r="D75" i="187"/>
  <c r="E74"/>
  <c r="E75"/>
  <c r="D72"/>
  <c r="D21"/>
  <c r="E74" i="108"/>
  <c r="E76"/>
  <c r="D72"/>
  <c r="D21"/>
  <c r="E74" i="109"/>
  <c r="E76"/>
  <c r="D72"/>
  <c r="D21"/>
  <c r="E74" i="159"/>
  <c r="E76"/>
  <c r="D72"/>
  <c r="D21"/>
  <c r="E74" i="150"/>
  <c r="E76"/>
  <c r="D72"/>
  <c r="D21"/>
  <c r="E26"/>
  <c r="E74" i="176"/>
  <c r="E76"/>
  <c r="D72"/>
  <c r="D21"/>
  <c r="D75" i="141"/>
  <c r="E74"/>
  <c r="E75"/>
  <c r="D72"/>
  <c r="D21"/>
  <c r="D75" i="175"/>
  <c r="E74"/>
  <c r="E75"/>
  <c r="D72"/>
  <c r="D21"/>
  <c r="D75" i="140"/>
  <c r="E74"/>
  <c r="E75"/>
  <c r="D72"/>
  <c r="D21"/>
  <c r="D75" i="113"/>
  <c r="E74"/>
  <c r="E75"/>
  <c r="D72"/>
  <c r="D21"/>
  <c r="D72" i="134"/>
  <c r="D21"/>
  <c r="E74" i="135"/>
  <c r="E76"/>
  <c r="D72"/>
  <c r="D21"/>
  <c r="E74" i="132"/>
  <c r="E76"/>
  <c r="D72"/>
  <c r="D21"/>
  <c r="E74" i="133"/>
  <c r="E76"/>
  <c r="D72"/>
  <c r="D21"/>
  <c r="E74" i="146"/>
  <c r="E76"/>
  <c r="D72"/>
  <c r="D21"/>
  <c r="E74" i="179"/>
  <c r="E76"/>
  <c r="D72"/>
  <c r="D21"/>
  <c r="E74" i="147"/>
  <c r="E76"/>
  <c r="D72"/>
  <c r="D21"/>
  <c r="E74" i="142"/>
  <c r="E76"/>
  <c r="D72"/>
  <c r="D21"/>
  <c r="E74" i="116"/>
  <c r="E75"/>
  <c r="D72"/>
  <c r="D21"/>
  <c r="D75" i="117"/>
  <c r="E74"/>
  <c r="E75"/>
  <c r="D72"/>
  <c r="D21"/>
  <c r="D75" i="145"/>
  <c r="E74"/>
  <c r="E75"/>
  <c r="D72"/>
  <c r="D75" i="144"/>
  <c r="E74"/>
  <c r="E75"/>
  <c r="D72"/>
  <c r="D21"/>
  <c r="D75" i="119"/>
  <c r="E74"/>
  <c r="E75"/>
  <c r="D72"/>
  <c r="D21"/>
  <c r="D75" i="143"/>
  <c r="E74"/>
  <c r="E75"/>
  <c r="D72"/>
  <c r="D21"/>
  <c r="D11" i="118"/>
  <c r="D75"/>
  <c r="E74"/>
  <c r="E75"/>
  <c r="D72"/>
  <c r="D21"/>
  <c r="D75" i="131"/>
  <c r="E74"/>
  <c r="E75"/>
  <c r="D72"/>
  <c r="D21"/>
  <c r="E75" i="101"/>
  <c r="D75"/>
  <c r="E74"/>
  <c r="D72"/>
  <c r="D21"/>
  <c r="D75" i="99"/>
  <c r="E74"/>
  <c r="E75"/>
  <c r="D72"/>
  <c r="D21"/>
  <c r="D75" i="100"/>
  <c r="E74"/>
  <c r="E75"/>
  <c r="D72"/>
  <c r="D21"/>
  <c r="D75" i="39"/>
  <c r="E74"/>
  <c r="E75"/>
  <c r="D72"/>
  <c r="D21"/>
  <c r="D75" i="130"/>
  <c r="D72"/>
  <c r="D21"/>
  <c r="D75" i="174"/>
  <c r="E74"/>
  <c r="E75"/>
  <c r="D72"/>
  <c r="D21"/>
  <c r="D75" i="173"/>
  <c r="E74"/>
  <c r="E75"/>
  <c r="D72"/>
  <c r="D21"/>
  <c r="D75" i="25"/>
  <c r="E74"/>
  <c r="E75"/>
  <c r="D72"/>
  <c r="D21"/>
  <c r="D75" i="23"/>
  <c r="E74"/>
  <c r="E75"/>
  <c r="D72"/>
  <c r="D21"/>
  <c r="D75" i="38"/>
  <c r="E74"/>
  <c r="E75"/>
  <c r="D72"/>
  <c r="D21"/>
  <c r="D75" i="171"/>
  <c r="E74"/>
  <c r="E75"/>
  <c r="D72"/>
  <c r="D21"/>
  <c r="D75" i="166"/>
  <c r="E74"/>
  <c r="E75"/>
  <c r="D72"/>
  <c r="D21"/>
  <c r="D11" i="165"/>
  <c r="D75"/>
  <c r="E74"/>
  <c r="E75"/>
  <c r="D72"/>
  <c r="D21"/>
  <c r="D75" i="190"/>
  <c r="E75"/>
  <c r="D72"/>
  <c r="D21"/>
  <c r="D75" i="170"/>
  <c r="E74"/>
  <c r="E75"/>
  <c r="D72"/>
  <c r="D21"/>
  <c r="D75" i="104"/>
  <c r="E74"/>
  <c r="E75"/>
  <c r="D72"/>
  <c r="D21"/>
  <c r="D75" i="102"/>
  <c r="E74"/>
  <c r="E75"/>
  <c r="D72"/>
  <c r="D21"/>
  <c r="E75" i="103"/>
  <c r="D75"/>
  <c r="E74"/>
  <c r="D72"/>
  <c r="D21"/>
  <c r="D75" i="85"/>
  <c r="E74"/>
  <c r="E75"/>
  <c r="D72"/>
  <c r="D21"/>
  <c r="D75" i="128"/>
  <c r="E74"/>
  <c r="E75"/>
  <c r="D72"/>
  <c r="D21"/>
  <c r="D75" i="89"/>
  <c r="E74"/>
  <c r="E75"/>
  <c r="D72"/>
  <c r="D21"/>
  <c r="D75" i="46"/>
  <c r="E74"/>
  <c r="E75"/>
  <c r="D72"/>
  <c r="D21"/>
  <c r="D75" i="169"/>
  <c r="E74"/>
  <c r="E75"/>
  <c r="D72"/>
  <c r="D21"/>
  <c r="D75" i="168"/>
  <c r="E74"/>
  <c r="E75"/>
  <c r="D72"/>
  <c r="D21"/>
  <c r="D75" i="129"/>
  <c r="E74"/>
  <c r="E75"/>
  <c r="D72"/>
  <c r="D21"/>
  <c r="D75" i="167"/>
  <c r="E74"/>
  <c r="E75"/>
  <c r="D72"/>
  <c r="D21"/>
  <c r="D75" i="88"/>
  <c r="E74"/>
  <c r="E75"/>
  <c r="D72"/>
  <c r="D21"/>
  <c r="D75" i="193"/>
  <c r="E74"/>
  <c r="E75"/>
  <c r="D72"/>
  <c r="D21"/>
  <c r="D75" i="114"/>
  <c r="E74"/>
  <c r="E75"/>
  <c r="D72"/>
  <c r="D21"/>
  <c r="D75" i="164"/>
  <c r="E74"/>
  <c r="E75"/>
  <c r="D72"/>
  <c r="D21"/>
  <c r="D75" i="163"/>
  <c r="E74"/>
  <c r="E75"/>
  <c r="D72"/>
  <c r="D21"/>
  <c r="D75" i="137"/>
  <c r="E74"/>
  <c r="E75"/>
  <c r="D72"/>
  <c r="D21"/>
  <c r="D75" i="136"/>
  <c r="E74"/>
  <c r="E75"/>
  <c r="D72"/>
  <c r="D21"/>
  <c r="D75" i="138"/>
  <c r="E74"/>
  <c r="E75"/>
  <c r="D72"/>
  <c r="D21"/>
  <c r="D75" i="76"/>
  <c r="E74"/>
  <c r="E75"/>
  <c r="D72"/>
  <c r="D21"/>
  <c r="D72" i="90"/>
  <c r="D21"/>
  <c r="D75" i="92"/>
  <c r="E74"/>
  <c r="E75"/>
  <c r="D72"/>
  <c r="D21"/>
  <c r="D75" i="115"/>
  <c r="E74"/>
  <c r="E75"/>
  <c r="D72"/>
  <c r="D21"/>
  <c r="D75" i="161"/>
  <c r="E74"/>
  <c r="E75"/>
  <c r="D72"/>
  <c r="D21"/>
  <c r="D75" i="37"/>
  <c r="E74"/>
  <c r="E75"/>
  <c r="D72"/>
  <c r="D21"/>
  <c r="E74" i="51"/>
  <c r="E75"/>
  <c r="D72"/>
  <c r="D21"/>
  <c r="D75" i="36"/>
  <c r="E74"/>
  <c r="E75"/>
  <c r="D72"/>
  <c r="D21"/>
  <c r="D75" i="77"/>
  <c r="E74"/>
  <c r="E75"/>
  <c r="D72"/>
  <c r="D21"/>
  <c r="E74" i="75"/>
  <c r="E76"/>
  <c r="D72"/>
  <c r="D21"/>
  <c r="D72" i="74"/>
  <c r="D21"/>
  <c r="D72" i="73"/>
  <c r="D21"/>
  <c r="D72" i="72"/>
  <c r="D21"/>
  <c r="D72" i="71"/>
  <c r="D21"/>
  <c r="D21" i="70"/>
  <c r="E74" i="27"/>
  <c r="E76"/>
  <c r="D72"/>
  <c r="D21"/>
  <c r="D75" i="47"/>
  <c r="E74"/>
  <c r="E75"/>
  <c r="D72"/>
  <c r="D21"/>
  <c r="D72" i="153"/>
  <c r="D21"/>
  <c r="D75" i="35"/>
  <c r="E74"/>
  <c r="E75"/>
  <c r="D72"/>
  <c r="D21"/>
  <c r="D75" i="186"/>
  <c r="E74"/>
  <c r="E75"/>
  <c r="D72"/>
  <c r="D21"/>
  <c r="E74" i="148"/>
  <c r="E76"/>
  <c r="D72"/>
  <c r="D21"/>
  <c r="E74" i="149"/>
  <c r="E76"/>
  <c r="D72"/>
  <c r="D21"/>
  <c r="E74" i="24"/>
  <c r="E76"/>
  <c r="D72"/>
  <c r="D21"/>
  <c r="D75" i="56"/>
  <c r="E74"/>
  <c r="E75"/>
  <c r="D72"/>
  <c r="D21"/>
  <c r="D11" i="189"/>
  <c r="D75"/>
  <c r="E74"/>
  <c r="E75"/>
  <c r="D72"/>
  <c r="D21"/>
  <c r="D75" i="43"/>
  <c r="E74"/>
  <c r="E75"/>
  <c r="D72"/>
  <c r="D21"/>
  <c r="D72" i="55"/>
  <c r="D21"/>
  <c r="D75" i="57"/>
  <c r="E74"/>
  <c r="E75"/>
  <c r="D72"/>
  <c r="D21"/>
  <c r="D75" i="124"/>
  <c r="E74"/>
  <c r="E75"/>
  <c r="D72"/>
  <c r="D21"/>
  <c r="D75" i="34"/>
  <c r="E74"/>
  <c r="E75"/>
  <c r="D72"/>
  <c r="D21"/>
  <c r="D11" i="33"/>
  <c r="D21"/>
  <c r="D75"/>
  <c r="E74"/>
  <c r="E75"/>
  <c r="D72"/>
  <c r="D75" i="123"/>
  <c r="E74"/>
  <c r="E75"/>
  <c r="D72"/>
  <c r="D21"/>
  <c r="D75" i="106"/>
  <c r="E74"/>
  <c r="E75"/>
  <c r="D72"/>
  <c r="D21"/>
  <c r="E74" i="152"/>
  <c r="E76"/>
  <c r="D72"/>
  <c r="D21"/>
  <c r="D11" i="107"/>
  <c r="E74"/>
  <c r="E76"/>
  <c r="D72"/>
  <c r="D21"/>
  <c r="E74" i="151"/>
  <c r="E76"/>
  <c r="D72"/>
  <c r="D21"/>
  <c r="D21" i="96"/>
  <c r="D21" i="98"/>
  <c r="E74" i="96"/>
  <c r="E76"/>
  <c r="D72"/>
  <c r="E74" i="126"/>
  <c r="E75"/>
  <c r="D72"/>
  <c r="D75" i="98"/>
  <c r="D72"/>
  <c r="D75" i="97"/>
  <c r="E74"/>
  <c r="E75"/>
  <c r="D72"/>
  <c r="D21"/>
  <c r="D75" i="112"/>
  <c r="E74"/>
  <c r="E75"/>
  <c r="D72"/>
  <c r="D21"/>
  <c r="D11" i="156"/>
  <c r="D75"/>
  <c r="E74"/>
  <c r="E75"/>
  <c r="D72"/>
  <c r="D21"/>
  <c r="D75" i="188"/>
  <c r="E74"/>
  <c r="E75"/>
  <c r="D72"/>
  <c r="D75" i="42"/>
  <c r="E74"/>
  <c r="E75"/>
  <c r="D72"/>
  <c r="D21"/>
  <c r="D75" i="83"/>
  <c r="E74"/>
  <c r="E75"/>
  <c r="D72"/>
  <c r="D21"/>
  <c r="D72" i="48"/>
  <c r="D21"/>
  <c r="D75" i="30"/>
  <c r="E74"/>
  <c r="E75"/>
  <c r="D72"/>
  <c r="D21"/>
  <c r="E75" i="29"/>
  <c r="D75"/>
  <c r="E74"/>
  <c r="D72"/>
  <c r="D21"/>
  <c r="D75" i="49"/>
  <c r="E74"/>
  <c r="E75"/>
  <c r="D72"/>
  <c r="D21"/>
  <c r="D75" i="22"/>
  <c r="E74"/>
  <c r="E75"/>
  <c r="D72"/>
  <c r="D21"/>
  <c r="D75" i="28"/>
  <c r="E74"/>
  <c r="E75"/>
  <c r="D72"/>
  <c r="D21"/>
  <c r="D75" i="14"/>
  <c r="E74"/>
  <c r="E75"/>
  <c r="D72"/>
  <c r="D21"/>
  <c r="E74" i="12"/>
  <c r="E76"/>
  <c r="D72"/>
  <c r="D21"/>
  <c r="D72" i="59"/>
  <c r="D21"/>
  <c r="D72" i="84"/>
  <c r="D21"/>
  <c r="D72" i="60"/>
  <c r="D21"/>
  <c r="D21" i="61"/>
  <c r="D72"/>
  <c r="D72" i="58"/>
  <c r="D21"/>
  <c r="D72" i="13"/>
  <c r="D21"/>
  <c r="D21" i="9"/>
  <c r="D75"/>
  <c r="E74"/>
  <c r="E75"/>
  <c r="D72"/>
  <c r="D72" i="8"/>
  <c r="D21"/>
  <c r="D75" i="7"/>
  <c r="D72"/>
  <c r="D21"/>
  <c r="D75" i="6"/>
  <c r="D72"/>
  <c r="D21"/>
  <c r="D72" i="95"/>
  <c r="D21"/>
  <c r="D75" i="93"/>
  <c r="E74"/>
  <c r="E75"/>
  <c r="D72"/>
  <c r="D21"/>
  <c r="D75" i="94"/>
  <c r="E74"/>
  <c r="E75"/>
  <c r="D72"/>
  <c r="D21"/>
  <c r="D12" i="53"/>
  <c r="D11"/>
  <c r="D21"/>
  <c r="D72"/>
  <c r="E72"/>
  <c r="D72" i="67"/>
  <c r="D21"/>
  <c r="D72" i="69"/>
  <c r="D21"/>
  <c r="D72" i="120"/>
  <c r="D21"/>
  <c r="D75" i="121"/>
  <c r="E74"/>
  <c r="E75"/>
  <c r="D21"/>
  <c r="D75" i="122"/>
  <c r="E74"/>
  <c r="E75"/>
  <c r="D21"/>
  <c r="D75" i="79"/>
  <c r="E74"/>
  <c r="E75"/>
  <c r="D21"/>
  <c r="D75" i="78"/>
  <c r="D21"/>
  <c r="D75" i="81"/>
  <c r="D21"/>
  <c r="D75" i="17"/>
  <c r="D21"/>
  <c r="D21" i="16"/>
  <c r="D75" i="11"/>
  <c r="D21"/>
  <c r="D75" i="10"/>
  <c r="D21"/>
  <c r="D21" i="5"/>
  <c r="D72" i="4"/>
  <c r="D21"/>
  <c r="D72" i="194"/>
  <c r="D21"/>
  <c r="D12" i="1"/>
  <c r="D11"/>
  <c r="D21"/>
  <c r="D74" i="84"/>
  <c r="D75"/>
  <c r="E72"/>
  <c r="E74"/>
  <c r="E75"/>
  <c r="D74" i="60"/>
  <c r="D75"/>
  <c r="E72"/>
  <c r="E74"/>
  <c r="E75"/>
  <c r="D74" i="61"/>
  <c r="D75"/>
  <c r="E72"/>
  <c r="E74"/>
  <c r="E75"/>
  <c r="D74" i="58"/>
  <c r="D75"/>
  <c r="E72"/>
  <c r="E74"/>
  <c r="E75"/>
  <c r="D74" i="13"/>
  <c r="D75"/>
  <c r="E72"/>
  <c r="E74"/>
  <c r="E75"/>
  <c r="D74" i="67"/>
  <c r="D75"/>
  <c r="E72"/>
  <c r="D74" i="69"/>
  <c r="D75"/>
  <c r="E72"/>
  <c r="E72" i="4"/>
  <c r="E72" i="194"/>
  <c r="E72" i="120"/>
  <c r="E74"/>
  <c r="E75"/>
  <c r="D74"/>
  <c r="D75"/>
  <c r="D23" i="80"/>
  <c r="D72" i="1"/>
  <c r="D74"/>
  <c r="D75"/>
  <c r="E72"/>
  <c r="E27" i="119"/>
  <c r="E41"/>
  <c r="E27" i="83"/>
  <c r="E41"/>
  <c r="E74" i="1"/>
  <c r="E75"/>
  <c r="E69"/>
  <c r="G41"/>
  <c r="E73" i="194"/>
  <c r="E69"/>
  <c r="E58"/>
  <c r="E74"/>
  <c r="E75"/>
  <c r="E72" i="5"/>
  <c r="E58"/>
  <c r="E74"/>
  <c r="E75"/>
  <c r="E64" i="11"/>
  <c r="E58" i="17"/>
  <c r="E74"/>
  <c r="E75"/>
  <c r="E69" i="81"/>
  <c r="E64" i="120"/>
  <c r="E69"/>
  <c r="E69" i="69"/>
  <c r="E69" i="67"/>
  <c r="E69" i="53"/>
  <c r="E64"/>
  <c r="D74"/>
  <c r="D75"/>
  <c r="E73"/>
  <c r="E74"/>
  <c r="E75"/>
  <c r="E64" i="199"/>
  <c r="E69"/>
  <c r="E71" i="95"/>
  <c r="E64"/>
  <c r="E58"/>
  <c r="E74"/>
  <c r="E75"/>
  <c r="E73"/>
  <c r="E73" i="6"/>
  <c r="E74"/>
  <c r="E75"/>
  <c r="E73" i="7"/>
  <c r="E74"/>
  <c r="E75"/>
  <c r="E58" i="8"/>
  <c r="E64"/>
  <c r="E73"/>
  <c r="E71"/>
  <c r="D75" i="48"/>
  <c r="E58"/>
  <c r="D75" i="196"/>
  <c r="E58"/>
  <c r="E27" i="210"/>
  <c r="D76" i="70"/>
  <c r="E58"/>
  <c r="E27" i="71"/>
  <c r="E41"/>
  <c r="E58"/>
  <c r="D76"/>
  <c r="D76" i="72"/>
  <c r="E58"/>
  <c r="D76" i="73"/>
  <c r="E58"/>
  <c r="E58" i="74"/>
  <c r="D76"/>
  <c r="E58" i="55"/>
  <c r="D75"/>
  <c r="E58" i="90"/>
  <c r="D75"/>
  <c r="E58" i="153"/>
  <c r="D75"/>
  <c r="E58" i="134"/>
  <c r="D75"/>
  <c r="E27" i="177"/>
  <c r="E41"/>
  <c r="E58"/>
  <c r="E58" i="20"/>
  <c r="E27" i="65"/>
  <c r="E41"/>
  <c r="D74" i="215"/>
  <c r="D75"/>
  <c r="E58"/>
  <c r="E27" i="132"/>
  <c r="E41"/>
  <c r="E27" i="179"/>
  <c r="E41"/>
  <c r="E27" i="117"/>
  <c r="E41"/>
  <c r="E27" i="205"/>
  <c r="E41"/>
  <c r="E74" i="130"/>
  <c r="E75"/>
  <c r="E27" i="190"/>
  <c r="E41"/>
  <c r="E27" i="89"/>
  <c r="E41"/>
  <c r="E27" i="168"/>
  <c r="E41"/>
  <c r="E27" i="88"/>
  <c r="E41"/>
  <c r="E27" i="161"/>
  <c r="E41"/>
  <c r="E27" i="72"/>
  <c r="E41"/>
  <c r="E27" i="70"/>
  <c r="E41"/>
  <c r="E27" i="27"/>
  <c r="E41"/>
  <c r="E27" i="148"/>
  <c r="E41"/>
  <c r="E27" i="112"/>
  <c r="E41"/>
  <c r="E74" i="8"/>
  <c r="E75"/>
  <c r="E64" i="48"/>
  <c r="E74"/>
  <c r="E75"/>
  <c r="E74" i="196"/>
  <c r="E75"/>
  <c r="E64"/>
  <c r="E64" i="70"/>
  <c r="E74"/>
  <c r="E76"/>
  <c r="E64" i="71"/>
  <c r="E74"/>
  <c r="E76"/>
  <c r="E64" i="72"/>
  <c r="E74"/>
  <c r="E76"/>
  <c r="E64" i="73"/>
  <c r="E74"/>
  <c r="E76"/>
  <c r="E74" i="74"/>
  <c r="E76"/>
  <c r="E64"/>
  <c r="E64" i="55"/>
  <c r="E74"/>
  <c r="E75"/>
  <c r="E74" i="90"/>
  <c r="E75"/>
  <c r="E64"/>
  <c r="E74" i="153"/>
  <c r="E75"/>
  <c r="E64"/>
  <c r="E64" i="134"/>
  <c r="E74"/>
  <c r="E75"/>
  <c r="E64" i="177"/>
  <c r="E74"/>
  <c r="E75"/>
  <c r="E64" i="20"/>
  <c r="E74"/>
  <c r="E75"/>
  <c r="E64" i="215"/>
  <c r="E74"/>
  <c r="E75"/>
  <c r="E32" i="4"/>
  <c r="E27"/>
  <c r="E41"/>
  <c r="E23" i="80"/>
</calcChain>
</file>

<file path=xl/sharedStrings.xml><?xml version="1.0" encoding="utf-8"?>
<sst xmlns="http://schemas.openxmlformats.org/spreadsheetml/2006/main" count="23504" uniqueCount="276">
  <si>
    <t>PÓŁROCZNE SPRAWOZDANIE UBEZPIECZENIOWEGO FUNDUSZU KAPITAŁOWEGO</t>
  </si>
  <si>
    <t>TOWARZYSTWO UBEZPIECZEŃ  ALLIANZ ŻYCIE POLSKA S.A.</t>
  </si>
  <si>
    <t>(w zł)</t>
  </si>
  <si>
    <t xml:space="preserve">I.  </t>
  </si>
  <si>
    <t>1.</t>
  </si>
  <si>
    <t>lokaty</t>
  </si>
  <si>
    <t>2.</t>
  </si>
  <si>
    <t>środki pieniężne</t>
  </si>
  <si>
    <t>3.</t>
  </si>
  <si>
    <t>4.</t>
  </si>
  <si>
    <t>należności</t>
  </si>
  <si>
    <t>z tytułu transakcji zawartych na rynku finansowym</t>
  </si>
  <si>
    <t>pozostałe</t>
  </si>
  <si>
    <t xml:space="preserve">II.  </t>
  </si>
  <si>
    <t xml:space="preserve">pozostałe </t>
  </si>
  <si>
    <t>A.</t>
  </si>
  <si>
    <t>Aktywa netto funduszu na początek okresu sprawozdawczego</t>
  </si>
  <si>
    <t>B.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</si>
  <si>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</si>
  <si>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</si>
  <si>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</si>
  <si>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</si>
  <si>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</si>
  <si>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</si>
  <si>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</si>
  <si>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</si>
  <si>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</si>
  <si>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</si>
  <si>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</si>
  <si>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</si>
  <si>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</si>
  <si>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</si>
  <si>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</si>
  <si>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</si>
  <si>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</si>
  <si>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</si>
  <si>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</si>
  <si>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</si>
  <si>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</si>
  <si>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Pozycja</t>
  </si>
  <si>
    <t>na początek okresu sprawozdawczego</t>
  </si>
  <si>
    <t>na koniec okresu sprawozdawczego</t>
  </si>
  <si>
    <t xml:space="preserve">LOKATY 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</si>
  <si>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</si>
  <si>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</si>
  <si>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</si>
  <si>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</si>
  <si>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</si>
  <si>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</si>
  <si>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</si>
  <si>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</si>
  <si>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</si>
  <si>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</si>
  <si>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</si>
  <si>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</si>
  <si>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</si>
  <si>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</si>
  <si>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</si>
  <si>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</si>
  <si>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</si>
  <si>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III.</t>
  </si>
  <si>
    <t>Środki pieniężne</t>
  </si>
  <si>
    <t>IV.</t>
  </si>
  <si>
    <t>Należności</t>
  </si>
  <si>
    <t>V.</t>
  </si>
  <si>
    <t>Zobowiązania</t>
  </si>
  <si>
    <t>Aktywa netto (w tym)</t>
  </si>
  <si>
    <t>krajowe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</si>
  <si>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</si>
  <si>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</si>
  <si>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</si>
  <si>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</si>
  <si>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</si>
  <si>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</si>
  <si>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</si>
  <si>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</si>
  <si>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</si>
  <si>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</si>
  <si>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</si>
  <si>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</si>
  <si>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</si>
  <si>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</si>
  <si>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</si>
  <si>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</si>
  <si>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</si>
  <si>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</si>
  <si>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</si>
  <si>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</si>
  <si>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</si>
  <si>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</si>
  <si>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</si>
  <si>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</si>
  <si>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</si>
  <si>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</si>
  <si>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</si>
  <si>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</si>
  <si>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</si>
  <si>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</si>
  <si>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</si>
  <si>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</si>
  <si>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>Fundusz Pieniężny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</si>
  <si>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</si>
  <si>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</si>
  <si>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</si>
  <si>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</si>
  <si>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</si>
  <si>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</si>
  <si>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Allianz FIO Akcji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</si>
  <si>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</si>
  <si>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</si>
  <si>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</si>
  <si>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</si>
  <si>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</si>
  <si>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Polskich Obligacji Skarbowych</t>
  </si>
  <si>
    <t>Altus FIO Absolutnej Stopy Zwrotu Dłużny C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</si>
  <si>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</si>
  <si>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</si>
  <si>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</si>
  <si>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</si>
  <si>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SFIO Gold Otwarty</t>
  </si>
  <si>
    <t xml:space="preserve"> Investor FIO TOP 25 Małych Spółek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</si>
  <si>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</si>
  <si>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</si>
  <si>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</si>
  <si>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</si>
  <si>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</si>
  <si>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</si>
  <si>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</si>
  <si>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</si>
  <si>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</si>
  <si>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</si>
  <si>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</si>
  <si>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</si>
  <si>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</si>
  <si>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</si>
  <si>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</si>
  <si>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</si>
  <si>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</si>
  <si>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</si>
  <si>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</si>
  <si>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</si>
  <si>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</si>
  <si>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</si>
  <si>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</si>
  <si>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</si>
  <si>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</si>
  <si>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</si>
  <si>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</si>
  <si>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</si>
  <si>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</si>
  <si>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</si>
  <si>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</si>
  <si>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</si>
  <si>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</si>
  <si>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</si>
  <si>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</si>
  <si>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</si>
  <si>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</si>
  <si>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</si>
  <si>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</si>
  <si>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</si>
  <si>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</si>
  <si>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</si>
  <si>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</si>
  <si>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</si>
  <si>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</si>
  <si>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</si>
  <si>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</si>
  <si>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</si>
  <si>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</si>
  <si>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</si>
  <si>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</si>
  <si>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</si>
  <si>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</si>
  <si>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</si>
  <si>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</si>
  <si>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</si>
  <si>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</si>
  <si>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</si>
  <si>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</si>
  <si>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</si>
  <si>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</si>
  <si>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</si>
  <si>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</si>
  <si>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</si>
  <si>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 xml:space="preserve"> Aviva Investors FIO Małych Spółek</t>
  </si>
  <si>
    <t>NN FIO Subfundusz Akcji Środkowoeuropejskich</t>
  </si>
  <si>
    <t>NN FIO Subfundusz Średnich i Małych Spółek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</si>
  <si>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</si>
  <si>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</si>
  <si>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</si>
  <si>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</si>
  <si>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</si>
  <si>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</si>
  <si>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</si>
  <si>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</si>
  <si>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</si>
  <si>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</si>
  <si>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</si>
  <si>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</si>
  <si>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</si>
  <si>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</si>
  <si>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</si>
  <si>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</si>
  <si>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</si>
  <si>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NN FIO Akcji</t>
  </si>
  <si>
    <t>NN FIO Obligacji</t>
  </si>
  <si>
    <t>NN FIO Selektywny</t>
  </si>
  <si>
    <t>NN SFIO (L) Spółek Dywidendowych USA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</si>
  <si>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</si>
  <si>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</si>
  <si>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</si>
  <si>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</si>
  <si>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</si>
  <si>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</si>
  <si>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>31-12-2015</t>
  </si>
  <si>
    <t>Allianz FIO Akcji Globalnych</t>
  </si>
  <si>
    <t xml:space="preserve"> Investor SFIO Gotówkowy</t>
  </si>
  <si>
    <t xml:space="preserve"> Pioneer FIO Subf. Pioneer Akcji - Aktywna Selekcja</t>
  </si>
  <si>
    <t>UniFundusze SFIO Subf. UniObligacje Zamienne</t>
  </si>
  <si>
    <t>WARTOŚĆ AKTYWÓW NETTO FUNDUSZU</t>
  </si>
  <si>
    <t xml:space="preserve">II. </t>
  </si>
  <si>
    <t>ZMIANY WARTOŚCI AKTYWÓW NETTO FUNDUSZU</t>
  </si>
  <si>
    <t>3.1.</t>
  </si>
  <si>
    <t>3.2.</t>
  </si>
  <si>
    <t>wobec ubezpieczających, ubezpieczonych lub uprawnionych z umów ubezpieczenia</t>
  </si>
  <si>
    <t>Aktywa</t>
  </si>
  <si>
    <t>III.  Aktywa netto (I-II)</t>
  </si>
  <si>
    <t>Wynik netto z działalności operacyjnej (I-II)</t>
  </si>
  <si>
    <t>Liczba jednostek uczestnictwa funduszu:</t>
  </si>
  <si>
    <t>Wartość jednostki uczestnictwa funduszu:</t>
  </si>
  <si>
    <t>minimalna wartość jednostki uczestnictwa funduszu w okresie sprawozdawczym</t>
  </si>
  <si>
    <t>maksymalna wartość jednostki uczestnictwa funduszu w okresie sprawozdawczym</t>
  </si>
  <si>
    <t xml:space="preserve">     ZESTAWIENIE AKTYWÓW NETTO FUNDUSZU</t>
  </si>
  <si>
    <t>Udział w aktywach       netto funduszu (w %)</t>
  </si>
  <si>
    <t>instrumenty pochodne</t>
  </si>
  <si>
    <t>zagraniczne - państwa UE</t>
  </si>
  <si>
    <t>zagraniczne - państwa poza UE</t>
  </si>
  <si>
    <t>Portfel Aktywnej Alokacji</t>
  </si>
  <si>
    <t>Portfel Dynamiczny</t>
  </si>
  <si>
    <t>Allianz Pieniężny</t>
  </si>
  <si>
    <t xml:space="preserve">Skarbiec FIO Kasa </t>
  </si>
  <si>
    <t>Allianz FIO Surowców i Energii</t>
  </si>
  <si>
    <t>Allianz Akcji Azjatyckich SFIO</t>
  </si>
  <si>
    <t>Allianz Dynamiczna Multistrategia SFIO</t>
  </si>
  <si>
    <t>Allianz Globalny Stabilnego Dochodu SFIO</t>
  </si>
  <si>
    <t>Allianz FIO Subfundusz Allianz Obligacji Globalnych</t>
  </si>
  <si>
    <t>Altus FIO Absolutnej Stopy Zwrotu Rynku Polskiego C</t>
  </si>
  <si>
    <t xml:space="preserve"> PKO Parasolowy FIO Subf. Stabilnego Wzrostu </t>
  </si>
  <si>
    <t>PKO Parasolowy FIO Subf. Zrównoważony</t>
  </si>
  <si>
    <t xml:space="preserve"> Investor SFIO Akcji Spółek Wzrostowych</t>
  </si>
  <si>
    <t xml:space="preserve"> Investor FIO Płynna Lokata</t>
  </si>
  <si>
    <t xml:space="preserve"> Investor FIO Zabezpieczenia Emerytalnego</t>
  </si>
  <si>
    <t xml:space="preserve"> PZU FIO Papierów Dłużnych Polonez FIO Parasolowy</t>
  </si>
  <si>
    <t xml:space="preserve"> PZU FIO Parasolowy PZU Sejf+</t>
  </si>
  <si>
    <t xml:space="preserve"> Ipopema SFIO Akcji kat. B</t>
  </si>
  <si>
    <t>LICZBA I WARTOŚĆ JEDNOSTEK ROZRACHUNKOWYCH uczestnictwa funduszu</t>
  </si>
  <si>
    <t>Wartość bilansowa (w zł)</t>
  </si>
  <si>
    <t>SPORZĄDZONE NA DZIEŃ 31-12-2016</t>
  </si>
  <si>
    <t>31-12-2016</t>
  </si>
  <si>
    <t>-</t>
  </si>
  <si>
    <t>Allianz Defensywna Multistrategia SFIO</t>
  </si>
  <si>
    <t>GS Emerging Markets Debt Portfolio A (Acc) (PLN) (Hedged)</t>
  </si>
  <si>
    <t xml:space="preserve"> Investor FIO Akcji Spółek Dywidendowych</t>
  </si>
  <si>
    <t xml:space="preserve"> Investor SFIO Obligacji Korporacyjnych</t>
  </si>
  <si>
    <t>Pioneer Akcji MiŚS Rynków Rozwiniętych FG SFIO</t>
  </si>
  <si>
    <t>PZU FIO Akcji Krakowiak</t>
  </si>
  <si>
    <t xml:space="preserve"> Skarbiec Akcja (Skarbiec FIO)</t>
  </si>
  <si>
    <t xml:space="preserve"> Skarbiec FIO TOP Brands</t>
  </si>
  <si>
    <t>Portfel Strategicznej Alokacji</t>
  </si>
  <si>
    <t>NA DZIEŃ 31-12-2016</t>
  </si>
  <si>
    <t>Allianz Zbalansowana Multistrategia SFIO</t>
  </si>
  <si>
    <t>Portfel Obniżonego Ryzyka</t>
  </si>
  <si>
    <t>Fundusz Energetyczny</t>
  </si>
  <si>
    <t>NN SFIO Subfundusz Stabilny Globalnej Alokacji (L)</t>
  </si>
  <si>
    <t>NN SFIO Subf.Spółek Dywidendowych Rynków Wschodzących (L)</t>
  </si>
</sst>
</file>

<file path=xl/styles.xml><?xml version="1.0" encoding="utf-8"?>
<styleSheet xmlns="http://schemas.openxmlformats.org/spreadsheetml/2006/main">
  <numFmts count="10">
    <numFmt numFmtId="43" formatCode="_-* #,##0.00\ _z_ł_-;\-* #,##0.00\ _z_ł_-;_-* &quot;-&quot;??\ _z_ł_-;_-@_-"/>
    <numFmt numFmtId="164" formatCode="#,##0.0000"/>
    <numFmt numFmtId="165" formatCode="0.0000"/>
    <numFmt numFmtId="166" formatCode="_-* #,##0.0000\ _z_ł_-;\-* #,##0.0000\ _z_ł_-;_-* &quot;-&quot;????\ _z_ł_-;_-@_-"/>
    <numFmt numFmtId="167" formatCode="#,##0.0000_ ;\-#,##0.0000\ "/>
    <numFmt numFmtId="168" formatCode="0.000"/>
    <numFmt numFmtId="169" formatCode="#,##0.00000"/>
    <numFmt numFmtId="170" formatCode="#,##0.000000"/>
    <numFmt numFmtId="171" formatCode="0.000000"/>
    <numFmt numFmtId="172" formatCode="0.00000"/>
  </numFmts>
  <fonts count="5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20" borderId="1" applyNumberFormat="0" applyAlignment="0" applyProtection="0"/>
    <xf numFmtId="9" fontId="1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23" borderId="9" applyNumberFormat="0" applyFont="0" applyAlignment="0" applyProtection="0"/>
    <xf numFmtId="0" fontId="25" fillId="3" borderId="0" applyNumberFormat="0" applyBorder="0" applyAlignment="0" applyProtection="0"/>
    <xf numFmtId="0" fontId="31" fillId="0" borderId="0"/>
    <xf numFmtId="0" fontId="19" fillId="23" borderId="66" applyNumberFormat="0" applyFont="0" applyAlignment="0" applyProtection="0"/>
    <xf numFmtId="0" fontId="21" fillId="0" borderId="65" applyNumberFormat="0" applyFill="0" applyAlignment="0" applyProtection="0"/>
    <xf numFmtId="0" fontId="20" fillId="20" borderId="63" applyNumberFormat="0" applyAlignment="0" applyProtection="0"/>
    <xf numFmtId="0" fontId="11" fillId="20" borderId="64" applyNumberFormat="0" applyAlignment="0" applyProtection="0"/>
    <xf numFmtId="0" fontId="10" fillId="7" borderId="63" applyNumberFormat="0" applyAlignment="0" applyProtection="0"/>
    <xf numFmtId="0" fontId="1" fillId="0" borderId="0"/>
    <xf numFmtId="0" fontId="19" fillId="23" borderId="70" applyNumberFormat="0" applyFont="0" applyAlignment="0" applyProtection="0"/>
    <xf numFmtId="0" fontId="21" fillId="0" borderId="69" applyNumberFormat="0" applyFill="0" applyAlignment="0" applyProtection="0"/>
    <xf numFmtId="0" fontId="20" fillId="20" borderId="67" applyNumberFormat="0" applyAlignment="0" applyProtection="0"/>
    <xf numFmtId="0" fontId="11" fillId="20" borderId="68" applyNumberFormat="0" applyAlignment="0" applyProtection="0"/>
    <xf numFmtId="0" fontId="10" fillId="7" borderId="67" applyNumberFormat="0" applyAlignment="0" applyProtection="0"/>
    <xf numFmtId="0" fontId="33" fillId="0" borderId="0"/>
    <xf numFmtId="0" fontId="34" fillId="33" borderId="0" applyNumberFormat="0" applyBorder="0" applyAlignment="0" applyProtection="0"/>
    <xf numFmtId="0" fontId="34" fillId="37" borderId="0" applyNumberFormat="0" applyBorder="0" applyAlignment="0" applyProtection="0"/>
    <xf numFmtId="0" fontId="34" fillId="41" borderId="0" applyNumberFormat="0" applyBorder="0" applyAlignment="0" applyProtection="0"/>
    <xf numFmtId="0" fontId="34" fillId="45" borderId="0" applyNumberFormat="0" applyBorder="0" applyAlignment="0" applyProtection="0"/>
    <xf numFmtId="0" fontId="34" fillId="49" borderId="0" applyNumberFormat="0" applyBorder="0" applyAlignment="0" applyProtection="0"/>
    <xf numFmtId="0" fontId="34" fillId="53" borderId="0" applyNumberFormat="0" applyBorder="0" applyAlignment="0" applyProtection="0"/>
    <xf numFmtId="0" fontId="34" fillId="34" borderId="0" applyNumberFormat="0" applyBorder="0" applyAlignment="0" applyProtection="0"/>
    <xf numFmtId="0" fontId="34" fillId="38" borderId="0" applyNumberFormat="0" applyBorder="0" applyAlignment="0" applyProtection="0"/>
    <xf numFmtId="0" fontId="34" fillId="42" borderId="0" applyNumberFormat="0" applyBorder="0" applyAlignment="0" applyProtection="0"/>
    <xf numFmtId="0" fontId="34" fillId="46" borderId="0" applyNumberFormat="0" applyBorder="0" applyAlignment="0" applyProtection="0"/>
    <xf numFmtId="0" fontId="34" fillId="50" borderId="0" applyNumberFormat="0" applyBorder="0" applyAlignment="0" applyProtection="0"/>
    <xf numFmtId="0" fontId="34" fillId="54" borderId="0" applyNumberFormat="0" applyBorder="0" applyAlignment="0" applyProtection="0"/>
    <xf numFmtId="0" fontId="35" fillId="35" borderId="0" applyNumberFormat="0" applyBorder="0" applyAlignment="0" applyProtection="0"/>
    <xf numFmtId="0" fontId="35" fillId="39" borderId="0" applyNumberFormat="0" applyBorder="0" applyAlignment="0" applyProtection="0"/>
    <xf numFmtId="0" fontId="35" fillId="43" borderId="0" applyNumberFormat="0" applyBorder="0" applyAlignment="0" applyProtection="0"/>
    <xf numFmtId="0" fontId="35" fillId="47" borderId="0" applyNumberFormat="0" applyBorder="0" applyAlignment="0" applyProtection="0"/>
    <xf numFmtId="0" fontId="35" fillId="51" borderId="0" applyNumberFormat="0" applyBorder="0" applyAlignment="0" applyProtection="0"/>
    <xf numFmtId="0" fontId="35" fillId="55" borderId="0" applyNumberFormat="0" applyBorder="0" applyAlignment="0" applyProtection="0"/>
    <xf numFmtId="0" fontId="35" fillId="32" borderId="0" applyNumberFormat="0" applyBorder="0" applyAlignment="0" applyProtection="0"/>
    <xf numFmtId="0" fontId="35" fillId="36" borderId="0" applyNumberFormat="0" applyBorder="0" applyAlignment="0" applyProtection="0"/>
    <xf numFmtId="0" fontId="35" fillId="40" borderId="0" applyNumberFormat="0" applyBorder="0" applyAlignment="0" applyProtection="0"/>
    <xf numFmtId="0" fontId="35" fillId="44" borderId="0" applyNumberFormat="0" applyBorder="0" applyAlignment="0" applyProtection="0"/>
    <xf numFmtId="0" fontId="35" fillId="48" borderId="0" applyNumberFormat="0" applyBorder="0" applyAlignment="0" applyProtection="0"/>
    <xf numFmtId="0" fontId="35" fillId="52" borderId="0" applyNumberFormat="0" applyBorder="0" applyAlignment="0" applyProtection="0"/>
    <xf numFmtId="0" fontId="36" fillId="26" borderId="0" applyNumberFormat="0" applyBorder="0" applyAlignment="0" applyProtection="0"/>
    <xf numFmtId="0" fontId="37" fillId="29" borderId="74" applyNumberFormat="0" applyAlignment="0" applyProtection="0"/>
    <xf numFmtId="0" fontId="38" fillId="30" borderId="77" applyNumberFormat="0" applyAlignment="0" applyProtection="0"/>
    <xf numFmtId="0" fontId="39" fillId="0" borderId="0" applyNumberFormat="0" applyFill="0" applyBorder="0" applyAlignment="0" applyProtection="0"/>
    <xf numFmtId="0" fontId="40" fillId="25" borderId="0" applyNumberFormat="0" applyBorder="0" applyAlignment="0" applyProtection="0"/>
    <xf numFmtId="0" fontId="41" fillId="0" borderId="71" applyNumberFormat="0" applyFill="0" applyAlignment="0" applyProtection="0"/>
    <xf numFmtId="0" fontId="42" fillId="0" borderId="72" applyNumberFormat="0" applyFill="0" applyAlignment="0" applyProtection="0"/>
    <xf numFmtId="0" fontId="43" fillId="0" borderId="73" applyNumberFormat="0" applyFill="0" applyAlignment="0" applyProtection="0"/>
    <xf numFmtId="0" fontId="43" fillId="0" borderId="0" applyNumberFormat="0" applyFill="0" applyBorder="0" applyAlignment="0" applyProtection="0"/>
    <xf numFmtId="0" fontId="44" fillId="28" borderId="74" applyNumberFormat="0" applyAlignment="0" applyProtection="0"/>
    <xf numFmtId="0" fontId="45" fillId="0" borderId="76" applyNumberFormat="0" applyFill="0" applyAlignment="0" applyProtection="0"/>
    <xf numFmtId="0" fontId="46" fillId="27" borderId="0" applyNumberFormat="0" applyBorder="0" applyAlignment="0" applyProtection="0"/>
    <xf numFmtId="0" fontId="33" fillId="31" borderId="78" applyNumberFormat="0" applyFont="0" applyAlignment="0" applyProtection="0"/>
    <xf numFmtId="0" fontId="47" fillId="29" borderId="75" applyNumberFormat="0" applyAlignment="0" applyProtection="0"/>
    <xf numFmtId="0" fontId="48" fillId="0" borderId="0" applyNumberFormat="0" applyFill="0" applyBorder="0" applyAlignment="0" applyProtection="0"/>
    <xf numFmtId="0" fontId="49" fillId="0" borderId="79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1" fillId="31" borderId="78" applyNumberFormat="0" applyFont="0" applyAlignment="0" applyProtection="0"/>
    <xf numFmtId="0" fontId="1" fillId="31" borderId="78" applyNumberFormat="0" applyFont="0" applyAlignment="0" applyProtection="0"/>
  </cellStyleXfs>
  <cellXfs count="356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5" fillId="24" borderId="10" xfId="0" applyFont="1" applyFill="1" applyBorder="1" applyAlignment="1">
      <alignment wrapText="1"/>
    </xf>
    <xf numFmtId="0" fontId="6" fillId="24" borderId="13" xfId="0" applyFont="1" applyFill="1" applyBorder="1" applyAlignment="1">
      <alignment horizontal="center"/>
    </xf>
    <xf numFmtId="0" fontId="6" fillId="24" borderId="18" xfId="0" applyFont="1" applyFill="1" applyBorder="1" applyAlignment="1">
      <alignment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5" fillId="24" borderId="24" xfId="0" applyNumberFormat="1" applyFont="1" applyFill="1" applyBorder="1" applyAlignment="1">
      <alignment horizontal="right" wrapText="1"/>
    </xf>
    <xf numFmtId="0" fontId="5" fillId="24" borderId="17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wrapText="1"/>
    </xf>
    <xf numFmtId="0" fontId="6" fillId="24" borderId="27" xfId="0" applyFont="1" applyFill="1" applyBorder="1" applyAlignment="1">
      <alignment wrapText="1"/>
    </xf>
    <xf numFmtId="0" fontId="5" fillId="24" borderId="22" xfId="0" applyFont="1" applyFill="1" applyBorder="1"/>
    <xf numFmtId="0" fontId="6" fillId="24" borderId="17" xfId="0" applyFont="1" applyFill="1" applyBorder="1" applyAlignment="1">
      <alignment horizontal="center"/>
    </xf>
    <xf numFmtId="0" fontId="6" fillId="24" borderId="18" xfId="0" applyNumberFormat="1" applyFont="1" applyFill="1" applyBorder="1" applyAlignment="1">
      <alignment wrapText="1"/>
    </xf>
    <xf numFmtId="0" fontId="6" fillId="24" borderId="20" xfId="0" applyFont="1" applyFill="1" applyBorder="1" applyAlignment="1">
      <alignment horizontal="center"/>
    </xf>
    <xf numFmtId="0" fontId="6" fillId="24" borderId="19" xfId="0" applyNumberFormat="1" applyFont="1" applyFill="1" applyBorder="1" applyAlignment="1">
      <alignment wrapText="1"/>
    </xf>
    <xf numFmtId="4" fontId="2" fillId="24" borderId="27" xfId="0" applyNumberFormat="1" applyFont="1" applyFill="1" applyBorder="1" applyAlignment="1">
      <alignment horizontal="center" wrapText="1"/>
    </xf>
    <xf numFmtId="4" fontId="2" fillId="24" borderId="28" xfId="0" applyNumberFormat="1" applyFont="1" applyFill="1" applyBorder="1" applyAlignment="1">
      <alignment horizontal="center" wrapText="1"/>
    </xf>
    <xf numFmtId="0" fontId="5" fillId="24" borderId="29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center"/>
    </xf>
    <xf numFmtId="0" fontId="6" fillId="24" borderId="27" xfId="0" applyNumberFormat="1" applyFont="1" applyFill="1" applyBorder="1" applyAlignment="1">
      <alignment wrapText="1"/>
    </xf>
    <xf numFmtId="0" fontId="5" fillId="24" borderId="32" xfId="0" applyFont="1" applyFill="1" applyBorder="1"/>
    <xf numFmtId="0" fontId="5" fillId="24" borderId="33" xfId="0" applyNumberFormat="1" applyFont="1" applyFill="1" applyBorder="1" applyAlignment="1">
      <alignment wrapText="1"/>
    </xf>
    <xf numFmtId="4" fontId="5" fillId="24" borderId="33" xfId="0" applyNumberFormat="1" applyFont="1" applyFill="1" applyBorder="1"/>
    <xf numFmtId="10" fontId="5" fillId="24" borderId="34" xfId="37" applyNumberFormat="1" applyFont="1" applyFill="1" applyBorder="1"/>
    <xf numFmtId="0" fontId="0" fillId="24" borderId="0" xfId="0" applyFill="1"/>
    <xf numFmtId="4" fontId="5" fillId="24" borderId="24" xfId="0" applyNumberFormat="1" applyFont="1" applyFill="1" applyBorder="1"/>
    <xf numFmtId="4" fontId="5" fillId="24" borderId="37" xfId="0" applyNumberFormat="1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/>
    </xf>
    <xf numFmtId="0" fontId="5" fillId="24" borderId="38" xfId="0" applyNumberFormat="1" applyFont="1" applyFill="1" applyBorder="1" applyAlignment="1">
      <alignment wrapText="1"/>
    </xf>
    <xf numFmtId="10" fontId="5" fillId="24" borderId="15" xfId="37" applyNumberFormat="1" applyFont="1" applyFill="1" applyBorder="1"/>
    <xf numFmtId="0" fontId="19" fillId="0" borderId="0" xfId="35"/>
    <xf numFmtId="0" fontId="26" fillId="0" borderId="0" xfId="35" applyFont="1"/>
    <xf numFmtId="43" fontId="26" fillId="0" borderId="0" xfId="35" applyNumberFormat="1" applyFont="1"/>
    <xf numFmtId="0" fontId="27" fillId="0" borderId="29" xfId="35" applyFont="1" applyBorder="1"/>
    <xf numFmtId="0" fontId="27" fillId="0" borderId="41" xfId="35" applyFont="1" applyBorder="1"/>
    <xf numFmtId="43" fontId="27" fillId="0" borderId="42" xfId="35" applyNumberFormat="1" applyFont="1" applyBorder="1"/>
    <xf numFmtId="43" fontId="27" fillId="0" borderId="37" xfId="35" applyNumberFormat="1" applyFont="1" applyBorder="1"/>
    <xf numFmtId="43" fontId="27" fillId="0" borderId="0" xfId="35" applyNumberFormat="1" applyFont="1"/>
    <xf numFmtId="0" fontId="27" fillId="0" borderId="0" xfId="35" applyFont="1"/>
    <xf numFmtId="0" fontId="27" fillId="0" borderId="43" xfId="35" applyFont="1" applyBorder="1"/>
    <xf numFmtId="0" fontId="27" fillId="0" borderId="0" xfId="35" applyFont="1" applyBorder="1"/>
    <xf numFmtId="43" fontId="28" fillId="0" borderId="44" xfId="35" applyNumberFormat="1" applyFont="1" applyBorder="1" applyAlignment="1">
      <alignment horizontal="center"/>
    </xf>
    <xf numFmtId="43" fontId="28" fillId="0" borderId="45" xfId="35" applyNumberFormat="1" applyFont="1" applyBorder="1" applyAlignment="1">
      <alignment horizontal="center"/>
    </xf>
    <xf numFmtId="0" fontId="27" fillId="0" borderId="46" xfId="35" applyFont="1" applyBorder="1"/>
    <xf numFmtId="0" fontId="27" fillId="0" borderId="47" xfId="35" applyFont="1" applyBorder="1"/>
    <xf numFmtId="43" fontId="28" fillId="0" borderId="48" xfId="35" applyNumberFormat="1" applyFont="1" applyBorder="1" applyAlignment="1">
      <alignment horizontal="center"/>
    </xf>
    <xf numFmtId="43" fontId="28" fillId="0" borderId="49" xfId="35" applyNumberFormat="1" applyFont="1" applyBorder="1" applyAlignment="1">
      <alignment horizontal="center"/>
    </xf>
    <xf numFmtId="43" fontId="27" fillId="0" borderId="44" xfId="35" applyNumberFormat="1" applyFont="1" applyBorder="1"/>
    <xf numFmtId="43" fontId="27" fillId="0" borderId="45" xfId="35" applyNumberFormat="1" applyFont="1" applyBorder="1"/>
    <xf numFmtId="0" fontId="28" fillId="0" borderId="43" xfId="35" applyFont="1" applyBorder="1"/>
    <xf numFmtId="0" fontId="28" fillId="0" borderId="0" xfId="35" applyFont="1" applyBorder="1"/>
    <xf numFmtId="43" fontId="28" fillId="0" borderId="44" xfId="35" applyNumberFormat="1" applyFont="1" applyFill="1" applyBorder="1"/>
    <xf numFmtId="43" fontId="28" fillId="0" borderId="45" xfId="35" applyNumberFormat="1" applyFont="1" applyFill="1" applyBorder="1"/>
    <xf numFmtId="43" fontId="28" fillId="0" borderId="44" xfId="35" applyNumberFormat="1" applyFont="1" applyBorder="1"/>
    <xf numFmtId="43" fontId="28" fillId="0" borderId="45" xfId="35" applyNumberFormat="1" applyFont="1" applyBorder="1"/>
    <xf numFmtId="4" fontId="27" fillId="0" borderId="0" xfId="35" applyNumberFormat="1" applyFont="1"/>
    <xf numFmtId="0" fontId="28" fillId="0" borderId="29" xfId="35" applyFont="1" applyBorder="1"/>
    <xf numFmtId="0" fontId="28" fillId="0" borderId="41" xfId="35" applyFont="1" applyBorder="1"/>
    <xf numFmtId="43" fontId="28" fillId="0" borderId="42" xfId="35" applyNumberFormat="1" applyFont="1" applyBorder="1"/>
    <xf numFmtId="43" fontId="28" fillId="0" borderId="37" xfId="35" applyNumberFormat="1" applyFont="1" applyBorder="1"/>
    <xf numFmtId="0" fontId="28" fillId="0" borderId="46" xfId="35" applyFont="1" applyBorder="1"/>
    <xf numFmtId="0" fontId="28" fillId="0" borderId="47" xfId="35" applyFont="1" applyBorder="1"/>
    <xf numFmtId="43" fontId="28" fillId="0" borderId="48" xfId="35" applyNumberFormat="1" applyFont="1" applyBorder="1"/>
    <xf numFmtId="43" fontId="28" fillId="0" borderId="49" xfId="35" applyNumberFormat="1" applyFont="1" applyBorder="1"/>
    <xf numFmtId="43" fontId="27" fillId="0" borderId="48" xfId="35" applyNumberFormat="1" applyFont="1" applyBorder="1"/>
    <xf numFmtId="43" fontId="27" fillId="0" borderId="49" xfId="35" applyNumberFormat="1" applyFont="1" applyBorder="1"/>
    <xf numFmtId="10" fontId="5" fillId="24" borderId="31" xfId="37" applyNumberFormat="1" applyFont="1" applyFill="1" applyBorder="1"/>
    <xf numFmtId="43" fontId="0" fillId="0" borderId="0" xfId="0" applyNumberFormat="1"/>
    <xf numFmtId="0" fontId="6" fillId="24" borderId="39" xfId="0" applyFont="1" applyFill="1" applyBorder="1" applyAlignment="1">
      <alignment wrapText="1"/>
    </xf>
    <xf numFmtId="0" fontId="6" fillId="24" borderId="40" xfId="0" applyFont="1" applyFill="1" applyBorder="1" applyAlignment="1">
      <alignment wrapText="1"/>
    </xf>
    <xf numFmtId="43" fontId="5" fillId="24" borderId="23" xfId="0" applyNumberFormat="1" applyFont="1" applyFill="1" applyBorder="1" applyAlignment="1">
      <alignment horizontal="right" wrapText="1"/>
    </xf>
    <xf numFmtId="4" fontId="5" fillId="24" borderId="14" xfId="0" applyNumberFormat="1" applyFont="1" applyFill="1" applyBorder="1" applyAlignment="1">
      <alignment horizontal="center" wrapText="1"/>
    </xf>
    <xf numFmtId="43" fontId="19" fillId="0" borderId="0" xfId="35" applyNumberFormat="1"/>
    <xf numFmtId="4" fontId="19" fillId="0" borderId="0" xfId="35" applyNumberFormat="1"/>
    <xf numFmtId="0" fontId="19" fillId="0" borderId="0" xfId="35" quotePrefix="1"/>
    <xf numFmtId="4" fontId="0" fillId="0" borderId="0" xfId="0" applyNumberFormat="1"/>
    <xf numFmtId="43" fontId="19" fillId="0" borderId="0" xfId="35" applyNumberFormat="1" applyAlignment="1">
      <alignment horizontal="right"/>
    </xf>
    <xf numFmtId="43" fontId="5" fillId="0" borderId="25" xfId="0" applyNumberFormat="1" applyFont="1" applyFill="1" applyBorder="1" applyAlignment="1">
      <alignment horizontal="right" wrapText="1"/>
    </xf>
    <xf numFmtId="43" fontId="29" fillId="0" borderId="44" xfId="35" applyNumberFormat="1" applyFont="1" applyFill="1" applyBorder="1"/>
    <xf numFmtId="164" fontId="1" fillId="24" borderId="25" xfId="0" applyNumberFormat="1" applyFont="1" applyFill="1" applyBorder="1"/>
    <xf numFmtId="4" fontId="5" fillId="0" borderId="0" xfId="0" applyNumberFormat="1" applyFont="1"/>
    <xf numFmtId="165" fontId="1" fillId="24" borderId="25" xfId="0" applyNumberFormat="1" applyFont="1" applyFill="1" applyBorder="1"/>
    <xf numFmtId="165" fontId="1" fillId="24" borderId="36" xfId="0" applyNumberFormat="1" applyFont="1" applyFill="1" applyBorder="1"/>
    <xf numFmtId="164" fontId="1" fillId="24" borderId="50" xfId="0" applyNumberFormat="1" applyFont="1" applyFill="1" applyBorder="1"/>
    <xf numFmtId="0" fontId="6" fillId="24" borderId="11" xfId="0" applyFont="1" applyFill="1" applyBorder="1" applyAlignment="1">
      <alignment horizontal="center"/>
    </xf>
    <xf numFmtId="4" fontId="30" fillId="0" borderId="0" xfId="0" applyNumberFormat="1" applyFont="1"/>
    <xf numFmtId="43" fontId="1" fillId="24" borderId="18" xfId="0" applyNumberFormat="1" applyFont="1" applyFill="1" applyBorder="1" applyAlignment="1">
      <alignment horizontal="right" wrapText="1"/>
    </xf>
    <xf numFmtId="43" fontId="1" fillId="24" borderId="27" xfId="0" applyNumberFormat="1" applyFont="1" applyFill="1" applyBorder="1" applyAlignment="1">
      <alignment horizontal="right" wrapText="1"/>
    </xf>
    <xf numFmtId="43" fontId="1" fillId="24" borderId="19" xfId="0" applyNumberFormat="1" applyFont="1" applyFill="1" applyBorder="1" applyAlignment="1">
      <alignment horizontal="right" wrapText="1"/>
    </xf>
    <xf numFmtId="43" fontId="5" fillId="24" borderId="21" xfId="0" applyNumberFormat="1" applyFont="1" applyFill="1" applyBorder="1" applyAlignment="1">
      <alignment horizontal="right" wrapText="1"/>
    </xf>
    <xf numFmtId="4" fontId="1" fillId="24" borderId="18" xfId="0" applyNumberFormat="1" applyFont="1" applyFill="1" applyBorder="1"/>
    <xf numFmtId="10" fontId="1" fillId="24" borderId="31" xfId="37" applyNumberFormat="1" applyFont="1" applyFill="1" applyBorder="1"/>
    <xf numFmtId="4" fontId="1" fillId="24" borderId="27" xfId="0" applyNumberFormat="1" applyFont="1" applyFill="1" applyBorder="1"/>
    <xf numFmtId="10" fontId="1" fillId="24" borderId="28" xfId="37" applyNumberFormat="1" applyFont="1" applyFill="1" applyBorder="1"/>
    <xf numFmtId="4" fontId="1" fillId="24" borderId="19" xfId="0" applyNumberFormat="1" applyFont="1" applyFill="1" applyBorder="1"/>
    <xf numFmtId="10" fontId="1" fillId="24" borderId="35" xfId="37" applyNumberFormat="1" applyFont="1" applyFill="1" applyBorder="1"/>
    <xf numFmtId="0" fontId="1" fillId="24" borderId="0" xfId="0" applyFont="1" applyFill="1"/>
    <xf numFmtId="43" fontId="1" fillId="24" borderId="55" xfId="0" applyNumberFormat="1" applyFont="1" applyFill="1" applyBorder="1" applyAlignment="1">
      <alignment horizontal="right" wrapText="1"/>
    </xf>
    <xf numFmtId="43" fontId="1" fillId="24" borderId="50" xfId="0" applyNumberFormat="1" applyFont="1" applyFill="1" applyBorder="1" applyAlignment="1">
      <alignment horizontal="right" wrapText="1"/>
    </xf>
    <xf numFmtId="43" fontId="1" fillId="24" borderId="36" xfId="0" applyNumberFormat="1" applyFont="1" applyFill="1" applyBorder="1" applyAlignment="1">
      <alignment horizontal="right" wrapText="1"/>
    </xf>
    <xf numFmtId="43" fontId="5" fillId="24" borderId="12" xfId="0" applyNumberFormat="1" applyFont="1" applyFill="1" applyBorder="1" applyAlignment="1">
      <alignment horizontal="right" wrapText="1"/>
    </xf>
    <xf numFmtId="43" fontId="1" fillId="0" borderId="25" xfId="0" applyNumberFormat="1" applyFont="1" applyFill="1" applyBorder="1" applyAlignment="1">
      <alignment horizontal="right" wrapText="1"/>
    </xf>
    <xf numFmtId="43" fontId="1" fillId="0" borderId="50" xfId="0" applyNumberFormat="1" applyFont="1" applyFill="1" applyBorder="1" applyAlignment="1">
      <alignment horizontal="right" wrapText="1"/>
    </xf>
    <xf numFmtId="0" fontId="5" fillId="0" borderId="0" xfId="0" applyFont="1"/>
    <xf numFmtId="43" fontId="5" fillId="0" borderId="55" xfId="0" applyNumberFormat="1" applyFont="1" applyFill="1" applyBorder="1" applyAlignment="1">
      <alignment horizontal="right"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22" xfId="0" applyFont="1" applyFill="1" applyBorder="1" applyAlignment="1">
      <alignment wrapText="1"/>
    </xf>
    <xf numFmtId="0" fontId="6" fillId="24" borderId="57" xfId="0" applyFont="1" applyFill="1" applyBorder="1" applyAlignment="1">
      <alignment wrapText="1"/>
    </xf>
    <xf numFmtId="0" fontId="5" fillId="24" borderId="17" xfId="0" applyFont="1" applyFill="1" applyBorder="1" applyAlignment="1">
      <alignment wrapText="1"/>
    </xf>
    <xf numFmtId="43" fontId="5" fillId="24" borderId="55" xfId="0" applyNumberFormat="1" applyFont="1" applyFill="1" applyBorder="1" applyAlignment="1">
      <alignment horizontal="right" wrapText="1"/>
    </xf>
    <xf numFmtId="0" fontId="5" fillId="24" borderId="0" xfId="0" applyFont="1" applyFill="1" applyBorder="1" applyAlignment="1">
      <alignment horizontal="left" wrapText="1"/>
    </xf>
    <xf numFmtId="43" fontId="5" fillId="24" borderId="0" xfId="0" applyNumberFormat="1" applyFont="1" applyFill="1" applyBorder="1" applyAlignment="1">
      <alignment horizontal="right" wrapText="1"/>
    </xf>
    <xf numFmtId="0" fontId="5" fillId="24" borderId="30" xfId="0" applyFont="1" applyFill="1" applyBorder="1" applyAlignment="1">
      <alignment horizontal="left" wrapText="1"/>
    </xf>
    <xf numFmtId="0" fontId="5" fillId="24" borderId="14" xfId="0" applyFont="1" applyFill="1" applyBorder="1" applyAlignment="1">
      <alignment horizontal="left" wrapText="1"/>
    </xf>
    <xf numFmtId="43" fontId="5" fillId="24" borderId="53" xfId="0" applyNumberFormat="1" applyFont="1" applyFill="1" applyBorder="1" applyAlignment="1">
      <alignment horizontal="right" wrapText="1"/>
    </xf>
    <xf numFmtId="43" fontId="5" fillId="24" borderId="37" xfId="0" applyNumberFormat="1" applyFont="1" applyFill="1" applyBorder="1" applyAlignment="1">
      <alignment horizontal="right" wrapText="1"/>
    </xf>
    <xf numFmtId="43" fontId="1" fillId="24" borderId="59" xfId="0" applyNumberFormat="1" applyFont="1" applyFill="1" applyBorder="1" applyAlignment="1">
      <alignment horizontal="right" wrapText="1"/>
    </xf>
    <xf numFmtId="0" fontId="5" fillId="24" borderId="26" xfId="0" applyFont="1" applyFill="1" applyBorder="1" applyAlignment="1">
      <alignment horizontal="left" wrapText="1"/>
    </xf>
    <xf numFmtId="0" fontId="5" fillId="24" borderId="27" xfId="0" applyFont="1" applyFill="1" applyBorder="1" applyAlignment="1">
      <alignment horizontal="left" wrapText="1"/>
    </xf>
    <xf numFmtId="43" fontId="5" fillId="24" borderId="59" xfId="0" applyNumberFormat="1" applyFont="1" applyFill="1" applyBorder="1" applyAlignment="1">
      <alignment horizontal="right" wrapText="1"/>
    </xf>
    <xf numFmtId="43" fontId="5" fillId="24" borderId="50" xfId="0" applyNumberFormat="1" applyFont="1" applyFill="1" applyBorder="1" applyAlignment="1">
      <alignment horizontal="right" wrapText="1"/>
    </xf>
    <xf numFmtId="0" fontId="5" fillId="24" borderId="54" xfId="0" applyFont="1" applyFill="1" applyBorder="1" applyAlignment="1">
      <alignment horizontal="left" wrapText="1"/>
    </xf>
    <xf numFmtId="0" fontId="5" fillId="24" borderId="21" xfId="0" applyFont="1" applyFill="1" applyBorder="1" applyAlignment="1">
      <alignment horizontal="left" wrapText="1"/>
    </xf>
    <xf numFmtId="43" fontId="5" fillId="24" borderId="13" xfId="0" applyNumberFormat="1" applyFont="1" applyFill="1" applyBorder="1" applyAlignment="1">
      <alignment horizontal="right" wrapText="1"/>
    </xf>
    <xf numFmtId="4" fontId="5" fillId="24" borderId="16" xfId="0" applyNumberFormat="1" applyFont="1" applyFill="1" applyBorder="1"/>
    <xf numFmtId="0" fontId="6" fillId="24" borderId="17" xfId="0" applyFont="1" applyFill="1" applyBorder="1" applyAlignment="1">
      <alignment horizontal="left"/>
    </xf>
    <xf numFmtId="0" fontId="6" fillId="24" borderId="20" xfId="0" applyFont="1" applyFill="1" applyBorder="1" applyAlignment="1">
      <alignment horizontal="left"/>
    </xf>
    <xf numFmtId="0" fontId="6" fillId="24" borderId="17" xfId="0" applyFont="1" applyFill="1" applyBorder="1" applyAlignment="1">
      <alignment wrapText="1"/>
    </xf>
    <xf numFmtId="0" fontId="6" fillId="24" borderId="26" xfId="0" applyFont="1" applyFill="1" applyBorder="1" applyAlignment="1">
      <alignment wrapText="1"/>
    </xf>
    <xf numFmtId="0" fontId="6" fillId="24" borderId="17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left" wrapText="1"/>
    </xf>
    <xf numFmtId="0" fontId="6" fillId="24" borderId="20" xfId="0" applyFont="1" applyFill="1" applyBorder="1" applyAlignment="1">
      <alignment horizontal="left" wrapText="1"/>
    </xf>
    <xf numFmtId="0" fontId="6" fillId="24" borderId="0" xfId="0" applyFont="1" applyFill="1" applyBorder="1" applyAlignment="1">
      <alignment horizontal="left"/>
    </xf>
    <xf numFmtId="0" fontId="6" fillId="24" borderId="0" xfId="0" applyNumberFormat="1" applyFont="1" applyFill="1" applyBorder="1" applyAlignment="1">
      <alignment wrapText="1"/>
    </xf>
    <xf numFmtId="165" fontId="1" fillId="24" borderId="0" xfId="0" applyNumberFormat="1" applyFont="1" applyFill="1" applyBorder="1"/>
    <xf numFmtId="0" fontId="6" fillId="24" borderId="32" xfId="0" applyFont="1" applyFill="1" applyBorder="1" applyAlignment="1">
      <alignment horizontal="center"/>
    </xf>
    <xf numFmtId="0" fontId="6" fillId="24" borderId="33" xfId="0" applyNumberFormat="1" applyFont="1" applyFill="1" applyBorder="1" applyAlignment="1">
      <alignment wrapText="1"/>
    </xf>
    <xf numFmtId="4" fontId="1" fillId="24" borderId="33" xfId="0" applyNumberFormat="1" applyFont="1" applyFill="1" applyBorder="1"/>
    <xf numFmtId="10" fontId="1" fillId="24" borderId="34" xfId="37" applyNumberFormat="1" applyFont="1" applyFill="1" applyBorder="1"/>
    <xf numFmtId="0" fontId="5" fillId="24" borderId="60" xfId="0" applyFont="1" applyFill="1" applyBorder="1"/>
    <xf numFmtId="0" fontId="5" fillId="24" borderId="61" xfId="0" applyNumberFormat="1" applyFont="1" applyFill="1" applyBorder="1" applyAlignment="1">
      <alignment wrapText="1"/>
    </xf>
    <xf numFmtId="4" fontId="5" fillId="24" borderId="61" xfId="0" applyNumberFormat="1" applyFont="1" applyFill="1" applyBorder="1"/>
    <xf numFmtId="10" fontId="5" fillId="24" borderId="62" xfId="37" applyNumberFormat="1" applyFont="1" applyFill="1" applyBorder="1"/>
    <xf numFmtId="0" fontId="5" fillId="24" borderId="17" xfId="0" applyFont="1" applyFill="1" applyBorder="1"/>
    <xf numFmtId="0" fontId="5" fillId="24" borderId="18" xfId="0" applyNumberFormat="1" applyFont="1" applyFill="1" applyBorder="1" applyAlignment="1">
      <alignment wrapText="1"/>
    </xf>
    <xf numFmtId="4" fontId="5" fillId="24" borderId="18" xfId="0" applyNumberFormat="1" applyFont="1" applyFill="1" applyBorder="1"/>
    <xf numFmtId="0" fontId="6" fillId="24" borderId="26" xfId="0" applyFont="1" applyFill="1" applyBorder="1" applyAlignment="1">
      <alignment horizontal="left"/>
    </xf>
    <xf numFmtId="0" fontId="5" fillId="24" borderId="39" xfId="0" applyNumberFormat="1" applyFont="1" applyFill="1" applyBorder="1" applyAlignment="1">
      <alignment wrapText="1"/>
    </xf>
    <xf numFmtId="4" fontId="1" fillId="24" borderId="55" xfId="0" applyNumberFormat="1" applyFont="1" applyFill="1" applyBorder="1"/>
    <xf numFmtId="0" fontId="5" fillId="24" borderId="14" xfId="0" applyNumberFormat="1" applyFont="1" applyFill="1" applyBorder="1" applyAlignment="1">
      <alignment wrapText="1"/>
    </xf>
    <xf numFmtId="4" fontId="5" fillId="24" borderId="14" xfId="0" applyNumberFormat="1" applyFont="1" applyFill="1" applyBorder="1" applyAlignment="1">
      <alignment horizontal="right" wrapText="1"/>
    </xf>
    <xf numFmtId="0" fontId="5" fillId="24" borderId="23" xfId="0" applyFont="1" applyFill="1" applyBorder="1" applyAlignment="1">
      <alignment wrapText="1"/>
    </xf>
    <xf numFmtId="43" fontId="5" fillId="24" borderId="27" xfId="0" applyNumberFormat="1" applyFont="1" applyFill="1" applyBorder="1" applyAlignment="1">
      <alignment horizontal="right" wrapText="1"/>
    </xf>
    <xf numFmtId="0" fontId="6" fillId="24" borderId="32" xfId="0" applyFont="1" applyFill="1" applyBorder="1" applyAlignment="1">
      <alignment horizontal="left"/>
    </xf>
    <xf numFmtId="0" fontId="5" fillId="24" borderId="17" xfId="0" applyFont="1" applyFill="1" applyBorder="1" applyAlignment="1">
      <alignment horizontal="left"/>
    </xf>
    <xf numFmtId="0" fontId="5" fillId="24" borderId="60" xfId="0" applyFont="1" applyFill="1" applyBorder="1" applyAlignment="1">
      <alignment horizontal="left"/>
    </xf>
    <xf numFmtId="0" fontId="5" fillId="24" borderId="32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43" fontId="5" fillId="0" borderId="55" xfId="0" applyNumberFormat="1" applyFont="1" applyFill="1" applyBorder="1" applyAlignment="1">
      <alignment horizontal="right" wrapText="1"/>
    </xf>
    <xf numFmtId="43" fontId="5" fillId="24" borderId="12" xfId="0" applyNumberFormat="1" applyFont="1" applyFill="1" applyBorder="1" applyAlignment="1">
      <alignment horizontal="right" wrapText="1"/>
    </xf>
    <xf numFmtId="43" fontId="5" fillId="24" borderId="51" xfId="0" applyNumberFormat="1" applyFont="1" applyFill="1" applyBorder="1" applyAlignment="1">
      <alignment horizontal="right" wrapText="1"/>
    </xf>
    <xf numFmtId="43" fontId="1" fillId="24" borderId="51" xfId="0" applyNumberFormat="1" applyFont="1" applyFill="1" applyBorder="1" applyAlignment="1">
      <alignment horizontal="right" wrapText="1"/>
    </xf>
    <xf numFmtId="43" fontId="1" fillId="0" borderId="50" xfId="0" applyNumberFormat="1" applyFont="1" applyFill="1" applyBorder="1" applyAlignment="1">
      <alignment horizontal="right" wrapText="1"/>
    </xf>
    <xf numFmtId="164" fontId="1" fillId="24" borderId="50" xfId="0" applyNumberFormat="1" applyFont="1" applyFill="1" applyBorder="1"/>
    <xf numFmtId="165" fontId="1" fillId="24" borderId="35" xfId="0" applyNumberFormat="1" applyFont="1" applyFill="1" applyBorder="1"/>
    <xf numFmtId="165" fontId="1" fillId="24" borderId="36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3" fontId="1" fillId="0" borderId="55" xfId="0" applyNumberFormat="1" applyFont="1" applyFill="1" applyBorder="1" applyAlignment="1">
      <alignment horizontal="right" wrapText="1"/>
    </xf>
    <xf numFmtId="43" fontId="5" fillId="0" borderId="12" xfId="0" applyNumberFormat="1" applyFont="1" applyFill="1" applyBorder="1" applyAlignment="1">
      <alignment horizontal="right" wrapText="1"/>
    </xf>
    <xf numFmtId="166" fontId="0" fillId="0" borderId="0" xfId="0" applyNumberFormat="1"/>
    <xf numFmtId="4" fontId="1" fillId="0" borderId="0" xfId="0" applyNumberFormat="1" applyFont="1"/>
    <xf numFmtId="0" fontId="0" fillId="0" borderId="0" xfId="0" applyAlignment="1">
      <alignment vertical="top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" fontId="1" fillId="24" borderId="86" xfId="0" applyNumberFormat="1" applyFont="1" applyFill="1" applyBorder="1"/>
    <xf numFmtId="0" fontId="27" fillId="0" borderId="0" xfId="35" applyNumberFormat="1" applyFont="1"/>
    <xf numFmtId="4" fontId="1" fillId="0" borderId="0" xfId="35" applyNumberFormat="1" applyFont="1"/>
    <xf numFmtId="164" fontId="0" fillId="0" borderId="0" xfId="0" applyNumberFormat="1"/>
    <xf numFmtId="43" fontId="5" fillId="0" borderId="37" xfId="0" applyNumberFormat="1" applyFont="1" applyFill="1" applyBorder="1" applyAlignment="1">
      <alignment horizontal="right" wrapText="1"/>
    </xf>
    <xf numFmtId="0" fontId="0" fillId="0" borderId="0" xfId="0" applyFill="1"/>
    <xf numFmtId="0" fontId="5" fillId="0" borderId="0" xfId="0" applyFont="1" applyFill="1"/>
    <xf numFmtId="4" fontId="0" fillId="0" borderId="0" xfId="0" applyNumberFormat="1" applyFill="1"/>
    <xf numFmtId="4" fontId="5" fillId="0" borderId="0" xfId="0" applyNumberFormat="1" applyFont="1" applyFill="1"/>
    <xf numFmtId="0" fontId="0" fillId="0" borderId="0" xfId="0" applyNumberFormat="1" applyFill="1"/>
    <xf numFmtId="4" fontId="30" fillId="0" borderId="0" xfId="0" applyNumberFormat="1" applyFont="1" applyFill="1"/>
    <xf numFmtId="43" fontId="0" fillId="0" borderId="0" xfId="0" applyNumberFormat="1" applyFill="1"/>
    <xf numFmtId="4" fontId="5" fillId="0" borderId="16" xfId="0" applyNumberFormat="1" applyFont="1" applyFill="1" applyBorder="1"/>
    <xf numFmtId="4" fontId="5" fillId="0" borderId="24" xfId="0" applyNumberFormat="1" applyFont="1" applyFill="1" applyBorder="1"/>
    <xf numFmtId="4" fontId="1" fillId="0" borderId="55" xfId="0" applyNumberFormat="1" applyFont="1" applyFill="1" applyBorder="1"/>
    <xf numFmtId="43" fontId="30" fillId="0" borderId="0" xfId="0" applyNumberFormat="1" applyFont="1"/>
    <xf numFmtId="2" fontId="30" fillId="0" borderId="0" xfId="0" applyNumberFormat="1" applyFont="1"/>
    <xf numFmtId="43" fontId="5" fillId="0" borderId="0" xfId="0" applyNumberFormat="1" applyFont="1" applyFill="1" applyBorder="1" applyAlignment="1">
      <alignment horizontal="right" wrapText="1"/>
    </xf>
    <xf numFmtId="43" fontId="52" fillId="24" borderId="53" xfId="0" applyNumberFormat="1" applyFont="1" applyFill="1" applyBorder="1" applyAlignment="1">
      <alignment horizontal="right" wrapText="1"/>
    </xf>
    <xf numFmtId="43" fontId="52" fillId="24" borderId="51" xfId="0" applyNumberFormat="1" applyFont="1" applyFill="1" applyBorder="1" applyAlignment="1">
      <alignment horizontal="right" wrapText="1"/>
    </xf>
    <xf numFmtId="43" fontId="30" fillId="24" borderId="51" xfId="0" applyNumberFormat="1" applyFont="1" applyFill="1" applyBorder="1" applyAlignment="1">
      <alignment horizontal="right" wrapText="1"/>
    </xf>
    <xf numFmtId="43" fontId="30" fillId="24" borderId="59" xfId="0" applyNumberFormat="1" applyFont="1" applyFill="1" applyBorder="1" applyAlignment="1">
      <alignment horizontal="right" wrapText="1"/>
    </xf>
    <xf numFmtId="43" fontId="52" fillId="24" borderId="59" xfId="0" applyNumberFormat="1" applyFont="1" applyFill="1" applyBorder="1" applyAlignment="1">
      <alignment horizontal="right" wrapText="1"/>
    </xf>
    <xf numFmtId="43" fontId="52" fillId="24" borderId="13" xfId="0" applyNumberFormat="1" applyFont="1" applyFill="1" applyBorder="1" applyAlignment="1">
      <alignment horizontal="right" wrapText="1"/>
    </xf>
    <xf numFmtId="164" fontId="30" fillId="24" borderId="51" xfId="0" applyNumberFormat="1" applyFont="1" applyFill="1" applyBorder="1"/>
    <xf numFmtId="164" fontId="30" fillId="24" borderId="59" xfId="0" applyNumberFormat="1" applyFont="1" applyFill="1" applyBorder="1"/>
    <xf numFmtId="4" fontId="30" fillId="24" borderId="58" xfId="0" applyNumberFormat="1" applyFont="1" applyFill="1" applyBorder="1"/>
    <xf numFmtId="165" fontId="30" fillId="24" borderId="51" xfId="0" applyNumberFormat="1" applyFont="1" applyFill="1" applyBorder="1"/>
    <xf numFmtId="165" fontId="30" fillId="24" borderId="52" xfId="0" applyNumberFormat="1" applyFont="1" applyFill="1" applyBorder="1"/>
    <xf numFmtId="0" fontId="30" fillId="24" borderId="51" xfId="0" applyNumberFormat="1" applyFont="1" applyFill="1" applyBorder="1"/>
    <xf numFmtId="43" fontId="53" fillId="24" borderId="53" xfId="0" applyNumberFormat="1" applyFont="1" applyFill="1" applyBorder="1" applyAlignment="1">
      <alignment horizontal="right" wrapText="1"/>
    </xf>
    <xf numFmtId="43" fontId="53" fillId="24" borderId="51" xfId="0" applyNumberFormat="1" applyFont="1" applyFill="1" applyBorder="1" applyAlignment="1">
      <alignment horizontal="right" wrapText="1"/>
    </xf>
    <xf numFmtId="43" fontId="54" fillId="24" borderId="51" xfId="0" applyNumberFormat="1" applyFont="1" applyFill="1" applyBorder="1" applyAlignment="1">
      <alignment horizontal="right" wrapText="1"/>
    </xf>
    <xf numFmtId="43" fontId="54" fillId="24" borderId="59" xfId="0" applyNumberFormat="1" applyFont="1" applyFill="1" applyBorder="1" applyAlignment="1">
      <alignment horizontal="right" wrapText="1"/>
    </xf>
    <xf numFmtId="43" fontId="53" fillId="24" borderId="59" xfId="0" applyNumberFormat="1" applyFont="1" applyFill="1" applyBorder="1" applyAlignment="1">
      <alignment horizontal="right" wrapText="1"/>
    </xf>
    <xf numFmtId="43" fontId="53" fillId="24" borderId="13" xfId="0" applyNumberFormat="1" applyFont="1" applyFill="1" applyBorder="1" applyAlignment="1">
      <alignment horizontal="right" wrapText="1"/>
    </xf>
    <xf numFmtId="164" fontId="54" fillId="24" borderId="51" xfId="0" applyNumberFormat="1" applyFont="1" applyFill="1" applyBorder="1"/>
    <xf numFmtId="164" fontId="54" fillId="24" borderId="59" xfId="0" applyNumberFormat="1" applyFont="1" applyFill="1" applyBorder="1"/>
    <xf numFmtId="4" fontId="54" fillId="24" borderId="58" xfId="0" applyNumberFormat="1" applyFont="1" applyFill="1" applyBorder="1"/>
    <xf numFmtId="165" fontId="54" fillId="24" borderId="51" xfId="0" applyNumberFormat="1" applyFont="1" applyFill="1" applyBorder="1"/>
    <xf numFmtId="165" fontId="54" fillId="24" borderId="52" xfId="0" applyNumberFormat="1" applyFont="1" applyFill="1" applyBorder="1"/>
    <xf numFmtId="0" fontId="54" fillId="24" borderId="51" xfId="0" applyNumberFormat="1" applyFont="1" applyFill="1" applyBorder="1"/>
    <xf numFmtId="164" fontId="54" fillId="24" borderId="25" xfId="0" applyNumberFormat="1" applyFont="1" applyFill="1" applyBorder="1"/>
    <xf numFmtId="164" fontId="54" fillId="24" borderId="58" xfId="0" applyNumberFormat="1" applyFont="1" applyFill="1" applyBorder="1"/>
    <xf numFmtId="164" fontId="54" fillId="24" borderId="52" xfId="0" applyNumberFormat="1" applyFont="1" applyFill="1" applyBorder="1"/>
    <xf numFmtId="165" fontId="54" fillId="24" borderId="25" xfId="0" applyNumberFormat="1" applyFont="1" applyFill="1" applyBorder="1"/>
    <xf numFmtId="164" fontId="54" fillId="24" borderId="50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3" fontId="54" fillId="24" borderId="55" xfId="0" applyNumberFormat="1" applyFont="1" applyFill="1" applyBorder="1" applyAlignment="1">
      <alignment horizontal="right" wrapText="1"/>
    </xf>
    <xf numFmtId="43" fontId="54" fillId="24" borderId="50" xfId="0" applyNumberFormat="1" applyFont="1" applyFill="1" applyBorder="1" applyAlignment="1">
      <alignment horizontal="right" wrapText="1"/>
    </xf>
    <xf numFmtId="43" fontId="54" fillId="24" borderId="36" xfId="0" applyNumberFormat="1" applyFont="1" applyFill="1" applyBorder="1" applyAlignment="1">
      <alignment horizontal="right" wrapText="1"/>
    </xf>
    <xf numFmtId="43" fontId="27" fillId="0" borderId="0" xfId="35" applyNumberFormat="1" applyFont="1" applyAlignment="1">
      <alignment horizontal="left"/>
    </xf>
    <xf numFmtId="43" fontId="19" fillId="0" borderId="0" xfId="35" applyNumberFormat="1" applyAlignment="1">
      <alignment horizontal="left"/>
    </xf>
    <xf numFmtId="168" fontId="0" fillId="0" borderId="0" xfId="0" applyNumberFormat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3" fontId="0" fillId="0" borderId="0" xfId="0" applyNumberFormat="1"/>
    <xf numFmtId="43" fontId="5" fillId="56" borderId="86" xfId="0" applyNumberFormat="1" applyFont="1" applyFill="1" applyBorder="1" applyAlignment="1">
      <alignment horizontal="right" wrapText="1"/>
    </xf>
    <xf numFmtId="43" fontId="1" fillId="56" borderId="86" xfId="0" applyNumberFormat="1" applyFont="1" applyFill="1" applyBorder="1" applyAlignment="1">
      <alignment horizontal="right" wrapText="1"/>
    </xf>
    <xf numFmtId="0" fontId="5" fillId="24" borderId="10" xfId="0" applyFont="1" applyFill="1" applyBorder="1" applyAlignment="1">
      <alignment wrapText="1"/>
    </xf>
    <xf numFmtId="0" fontId="5" fillId="24" borderId="10" xfId="0" applyFont="1" applyFill="1" applyBorder="1" applyAlignment="1">
      <alignment wrapText="1"/>
    </xf>
    <xf numFmtId="43" fontId="5" fillId="0" borderId="24" xfId="0" applyNumberFormat="1" applyFont="1" applyFill="1" applyBorder="1" applyAlignment="1">
      <alignment horizontal="right" wrapText="1"/>
    </xf>
    <xf numFmtId="43" fontId="1" fillId="0" borderId="36" xfId="0" applyNumberFormat="1" applyFont="1" applyFill="1" applyBorder="1" applyAlignment="1">
      <alignment horizontal="right" wrapText="1"/>
    </xf>
    <xf numFmtId="164" fontId="1" fillId="24" borderId="51" xfId="0" applyNumberFormat="1" applyFont="1" applyFill="1" applyBorder="1"/>
    <xf numFmtId="164" fontId="1" fillId="24" borderId="59" xfId="0" applyNumberFormat="1" applyFont="1" applyFill="1" applyBorder="1"/>
    <xf numFmtId="165" fontId="1" fillId="0" borderId="25" xfId="0" applyNumberFormat="1" applyFont="1" applyFill="1" applyBorder="1"/>
    <xf numFmtId="4" fontId="1" fillId="24" borderId="58" xfId="0" applyNumberFormat="1" applyFont="1" applyFill="1" applyBorder="1"/>
    <xf numFmtId="165" fontId="1" fillId="24" borderId="51" xfId="0" applyNumberFormat="1" applyFont="1" applyFill="1" applyBorder="1"/>
    <xf numFmtId="165" fontId="1" fillId="24" borderId="52" xfId="0" applyNumberFormat="1" applyFont="1" applyFill="1" applyBorder="1"/>
    <xf numFmtId="165" fontId="1" fillId="0" borderId="36" xfId="0" applyNumberFormat="1" applyFont="1" applyFill="1" applyBorder="1"/>
    <xf numFmtId="164" fontId="1" fillId="24" borderId="36" xfId="0" applyNumberFormat="1" applyFont="1" applyFill="1" applyBorder="1"/>
    <xf numFmtId="0" fontId="1" fillId="0" borderId="0" xfId="0" applyFont="1"/>
    <xf numFmtId="0" fontId="1" fillId="24" borderId="17" xfId="0" applyFont="1" applyFill="1" applyBorder="1" applyAlignment="1">
      <alignment horizontal="left" wrapText="1"/>
    </xf>
    <xf numFmtId="0" fontId="1" fillId="24" borderId="18" xfId="0" applyFont="1" applyFill="1" applyBorder="1" applyAlignment="1">
      <alignment wrapText="1"/>
    </xf>
    <xf numFmtId="0" fontId="1" fillId="24" borderId="39" xfId="0" applyFont="1" applyFill="1" applyBorder="1" applyAlignment="1">
      <alignment wrapText="1"/>
    </xf>
    <xf numFmtId="0" fontId="1" fillId="24" borderId="26" xfId="0" applyFont="1" applyFill="1" applyBorder="1" applyAlignment="1">
      <alignment horizontal="left" wrapText="1"/>
    </xf>
    <xf numFmtId="0" fontId="1" fillId="24" borderId="57" xfId="0" applyFont="1" applyFill="1" applyBorder="1" applyAlignment="1">
      <alignment wrapText="1"/>
    </xf>
    <xf numFmtId="0" fontId="1" fillId="24" borderId="20" xfId="0" applyFont="1" applyFill="1" applyBorder="1" applyAlignment="1">
      <alignment horizontal="left" wrapText="1"/>
    </xf>
    <xf numFmtId="0" fontId="1" fillId="24" borderId="40" xfId="0" applyFont="1" applyFill="1" applyBorder="1" applyAlignment="1">
      <alignment wrapText="1"/>
    </xf>
    <xf numFmtId="0" fontId="1" fillId="24" borderId="13" xfId="0" applyFont="1" applyFill="1" applyBorder="1" applyAlignment="1">
      <alignment horizontal="center"/>
    </xf>
    <xf numFmtId="0" fontId="1" fillId="24" borderId="17" xfId="0" applyFont="1" applyFill="1" applyBorder="1" applyAlignment="1">
      <alignment wrapText="1"/>
    </xf>
    <xf numFmtId="0" fontId="1" fillId="24" borderId="26" xfId="0" applyFont="1" applyFill="1" applyBorder="1" applyAlignment="1">
      <alignment wrapText="1"/>
    </xf>
    <xf numFmtId="0" fontId="1" fillId="24" borderId="27" xfId="0" applyFont="1" applyFill="1" applyBorder="1" applyAlignment="1">
      <alignment wrapText="1"/>
    </xf>
    <xf numFmtId="0" fontId="1" fillId="24" borderId="17" xfId="0" applyFont="1" applyFill="1" applyBorder="1" applyAlignment="1">
      <alignment horizontal="left"/>
    </xf>
    <xf numFmtId="0" fontId="1" fillId="24" borderId="18" xfId="0" applyNumberFormat="1" applyFont="1" applyFill="1" applyBorder="1" applyAlignment="1">
      <alignment wrapText="1"/>
    </xf>
    <xf numFmtId="0" fontId="1" fillId="24" borderId="26" xfId="0" applyFont="1" applyFill="1" applyBorder="1" applyAlignment="1">
      <alignment horizontal="left"/>
    </xf>
    <xf numFmtId="0" fontId="1" fillId="24" borderId="27" xfId="0" applyNumberFormat="1" applyFont="1" applyFill="1" applyBorder="1" applyAlignment="1">
      <alignment wrapText="1"/>
    </xf>
    <xf numFmtId="0" fontId="1" fillId="24" borderId="20" xfId="0" applyFont="1" applyFill="1" applyBorder="1" applyAlignment="1">
      <alignment horizontal="left"/>
    </xf>
    <xf numFmtId="0" fontId="1" fillId="24" borderId="19" xfId="0" applyNumberFormat="1" applyFont="1" applyFill="1" applyBorder="1" applyAlignment="1">
      <alignment wrapText="1"/>
    </xf>
    <xf numFmtId="43" fontId="5" fillId="24" borderId="14" xfId="0" applyNumberFormat="1" applyFont="1" applyFill="1" applyBorder="1" applyAlignment="1">
      <alignment horizontal="right" wrapText="1"/>
    </xf>
    <xf numFmtId="43" fontId="5" fillId="0" borderId="80" xfId="0" applyNumberFormat="1" applyFont="1" applyFill="1" applyBorder="1" applyAlignment="1">
      <alignment horizontal="right" wrapText="1"/>
    </xf>
    <xf numFmtId="43" fontId="1" fillId="0" borderId="80" xfId="0" applyNumberFormat="1" applyFont="1" applyFill="1" applyBorder="1" applyAlignment="1">
      <alignment horizontal="right" wrapText="1"/>
    </xf>
    <xf numFmtId="43" fontId="1" fillId="0" borderId="81" xfId="0" applyNumberFormat="1" applyFont="1" applyFill="1" applyBorder="1" applyAlignment="1">
      <alignment horizontal="right" wrapText="1"/>
    </xf>
    <xf numFmtId="43" fontId="5" fillId="24" borderId="81" xfId="0" applyNumberFormat="1" applyFont="1" applyFill="1" applyBorder="1" applyAlignment="1">
      <alignment horizontal="right" wrapText="1"/>
    </xf>
    <xf numFmtId="164" fontId="1" fillId="24" borderId="82" xfId="0" applyNumberFormat="1" applyFont="1" applyFill="1" applyBorder="1"/>
    <xf numFmtId="164" fontId="1" fillId="24" borderId="83" xfId="0" applyNumberFormat="1" applyFont="1" applyFill="1" applyBorder="1"/>
    <xf numFmtId="4" fontId="1" fillId="24" borderId="84" xfId="0" applyNumberFormat="1" applyFont="1" applyFill="1" applyBorder="1"/>
    <xf numFmtId="165" fontId="1" fillId="24" borderId="82" xfId="0" applyNumberFormat="1" applyFont="1" applyFill="1" applyBorder="1"/>
    <xf numFmtId="165" fontId="1" fillId="0" borderId="82" xfId="0" applyNumberFormat="1" applyFont="1" applyFill="1" applyBorder="1"/>
    <xf numFmtId="167" fontId="1" fillId="24" borderId="35" xfId="0" applyNumberFormat="1" applyFont="1" applyFill="1" applyBorder="1" applyAlignment="1">
      <alignment horizontal="right" wrapText="1"/>
    </xf>
    <xf numFmtId="4" fontId="1" fillId="0" borderId="31" xfId="50" applyNumberFormat="1" applyFont="1" applyBorder="1" applyAlignment="1">
      <alignment horizontal="right" vertical="top"/>
    </xf>
    <xf numFmtId="164" fontId="1" fillId="0" borderId="81" xfId="0" applyNumberFormat="1" applyFont="1" applyBorder="1"/>
    <xf numFmtId="164" fontId="1" fillId="0" borderId="80" xfId="0" applyNumberFormat="1" applyFont="1" applyBorder="1"/>
    <xf numFmtId="164" fontId="1" fillId="0" borderId="0" xfId="0" applyNumberFormat="1" applyFont="1"/>
    <xf numFmtId="164" fontId="1" fillId="0" borderId="19" xfId="0" applyNumberFormat="1" applyFont="1" applyBorder="1"/>
    <xf numFmtId="167" fontId="1" fillId="0" borderId="25" xfId="0" applyNumberFormat="1" applyFont="1" applyFill="1" applyBorder="1" applyAlignment="1">
      <alignment horizontal="right" wrapText="1"/>
    </xf>
    <xf numFmtId="164" fontId="1" fillId="24" borderId="85" xfId="0" applyNumberFormat="1" applyFont="1" applyFill="1" applyBorder="1"/>
    <xf numFmtId="165" fontId="1" fillId="24" borderId="86" xfId="0" applyNumberFormat="1" applyFont="1" applyFill="1" applyBorder="1"/>
    <xf numFmtId="165" fontId="1" fillId="24" borderId="31" xfId="0" applyNumberFormat="1" applyFont="1" applyFill="1" applyBorder="1"/>
    <xf numFmtId="0" fontId="1" fillId="24" borderId="0" xfId="0" applyFont="1" applyFill="1" applyBorder="1" applyAlignment="1">
      <alignment horizontal="left"/>
    </xf>
    <xf numFmtId="0" fontId="1" fillId="24" borderId="0" xfId="0" applyNumberFormat="1" applyFont="1" applyFill="1" applyBorder="1" applyAlignment="1">
      <alignment wrapText="1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0" fontId="1" fillId="24" borderId="51" xfId="0" applyNumberFormat="1" applyFont="1" applyFill="1" applyBorder="1"/>
    <xf numFmtId="172" fontId="0" fillId="0" borderId="0" xfId="0" applyNumberFormat="1"/>
    <xf numFmtId="164" fontId="1" fillId="24" borderId="55" xfId="0" applyNumberFormat="1" applyFont="1" applyFill="1" applyBorder="1"/>
    <xf numFmtId="164" fontId="1" fillId="24" borderId="35" xfId="0" applyNumberFormat="1" applyFont="1" applyFill="1" applyBorder="1"/>
    <xf numFmtId="43" fontId="5" fillId="0" borderId="53" xfId="0" applyNumberFormat="1" applyFont="1" applyFill="1" applyBorder="1" applyAlignment="1">
      <alignment horizontal="right" wrapText="1"/>
    </xf>
    <xf numFmtId="43" fontId="5" fillId="0" borderId="51" xfId="0" applyNumberFormat="1" applyFont="1" applyFill="1" applyBorder="1" applyAlignment="1">
      <alignment horizontal="right" wrapText="1"/>
    </xf>
    <xf numFmtId="43" fontId="1" fillId="0" borderId="51" xfId="0" applyNumberFormat="1" applyFont="1" applyFill="1" applyBorder="1" applyAlignment="1">
      <alignment horizontal="right" wrapText="1"/>
    </xf>
    <xf numFmtId="43" fontId="1" fillId="0" borderId="59" xfId="0" applyNumberFormat="1" applyFont="1" applyFill="1" applyBorder="1" applyAlignment="1">
      <alignment horizontal="right" wrapText="1"/>
    </xf>
    <xf numFmtId="43" fontId="5" fillId="0" borderId="59" xfId="0" applyNumberFormat="1" applyFont="1" applyFill="1" applyBorder="1" applyAlignment="1">
      <alignment horizontal="right" wrapText="1"/>
    </xf>
    <xf numFmtId="43" fontId="5" fillId="0" borderId="50" xfId="0" applyNumberFormat="1" applyFont="1" applyFill="1" applyBorder="1" applyAlignment="1">
      <alignment horizontal="right" wrapText="1"/>
    </xf>
    <xf numFmtId="43" fontId="5" fillId="0" borderId="13" xfId="0" applyNumberFormat="1" applyFont="1" applyFill="1" applyBorder="1" applyAlignment="1">
      <alignment horizontal="right" wrapText="1"/>
    </xf>
    <xf numFmtId="164" fontId="1" fillId="0" borderId="51" xfId="0" applyNumberFormat="1" applyFont="1" applyFill="1" applyBorder="1"/>
    <xf numFmtId="164" fontId="1" fillId="0" borderId="25" xfId="0" applyNumberFormat="1" applyFont="1" applyFill="1" applyBorder="1"/>
    <xf numFmtId="164" fontId="1" fillId="0" borderId="59" xfId="0" applyNumberFormat="1" applyFont="1" applyFill="1" applyBorder="1"/>
    <xf numFmtId="164" fontId="1" fillId="0" borderId="50" xfId="0" applyNumberFormat="1" applyFont="1" applyFill="1" applyBorder="1"/>
    <xf numFmtId="4" fontId="1" fillId="0" borderId="58" xfId="0" applyNumberFormat="1" applyFont="1" applyFill="1" applyBorder="1"/>
    <xf numFmtId="0" fontId="1" fillId="0" borderId="51" xfId="0" applyNumberFormat="1" applyFont="1" applyFill="1" applyBorder="1"/>
    <xf numFmtId="165" fontId="1" fillId="0" borderId="52" xfId="0" applyNumberFormat="1" applyFont="1" applyFill="1" applyBorder="1"/>
    <xf numFmtId="43" fontId="5" fillId="56" borderId="31" xfId="0" applyNumberFormat="1" applyFont="1" applyFill="1" applyBorder="1" applyAlignment="1">
      <alignment horizontal="right" wrapText="1"/>
    </xf>
    <xf numFmtId="43" fontId="1" fillId="56" borderId="31" xfId="0" applyNumberFormat="1" applyFont="1" applyFill="1" applyBorder="1" applyAlignment="1">
      <alignment horizontal="right" wrapText="1"/>
    </xf>
    <xf numFmtId="0" fontId="5" fillId="24" borderId="29" xfId="0" applyFont="1" applyFill="1" applyBorder="1" applyAlignment="1">
      <alignment horizontal="center" wrapText="1"/>
    </xf>
    <xf numFmtId="0" fontId="5" fillId="24" borderId="53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3" fillId="24" borderId="47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 wrapText="1"/>
    </xf>
    <xf numFmtId="0" fontId="3" fillId="24" borderId="0" xfId="0" applyFont="1" applyFill="1" applyAlignment="1">
      <alignment horizontal="center" wrapText="1"/>
    </xf>
    <xf numFmtId="0" fontId="0" fillId="0" borderId="0" xfId="0" applyAlignment="1"/>
    <xf numFmtId="0" fontId="0" fillId="0" borderId="47" xfId="0" applyBorder="1" applyAlignment="1">
      <alignment horizontal="center" wrapText="1"/>
    </xf>
    <xf numFmtId="0" fontId="5" fillId="24" borderId="10" xfId="0" applyFont="1" applyFill="1" applyBorder="1" applyAlignment="1">
      <alignment wrapText="1"/>
    </xf>
    <xf numFmtId="0" fontId="5" fillId="24" borderId="13" xfId="0" applyFont="1" applyFill="1" applyBorder="1" applyAlignment="1">
      <alignment wrapText="1"/>
    </xf>
    <xf numFmtId="0" fontId="5" fillId="24" borderId="54" xfId="0" applyFont="1" applyFill="1" applyBorder="1" applyAlignment="1">
      <alignment wrapText="1"/>
    </xf>
    <xf numFmtId="0" fontId="5" fillId="24" borderId="56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47" xfId="0" applyBorder="1" applyAlignment="1">
      <alignment wrapText="1"/>
    </xf>
    <xf numFmtId="0" fontId="1" fillId="0" borderId="47" xfId="0" applyFont="1" applyBorder="1" applyAlignment="1">
      <alignment horizontal="center" wrapText="1"/>
    </xf>
    <xf numFmtId="0" fontId="1" fillId="0" borderId="0" xfId="0" applyFont="1" applyAlignment="1"/>
    <xf numFmtId="0" fontId="5" fillId="24" borderId="10" xfId="0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47" xfId="0" applyFont="1" applyBorder="1" applyAlignment="1">
      <alignment wrapText="1"/>
    </xf>
  </cellXfs>
  <cellStyles count="101">
    <cellStyle name="20% - Accent1" xfId="57"/>
    <cellStyle name="20% - Accent2" xfId="58"/>
    <cellStyle name="20% - Accent3" xfId="59"/>
    <cellStyle name="20% - Accent4" xfId="60"/>
    <cellStyle name="20% - Accent5" xfId="61"/>
    <cellStyle name="20% - Accent6" xfId="62"/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ccent1" xfId="63"/>
    <cellStyle name="40% - Accent2" xfId="64"/>
    <cellStyle name="40% - Accent3" xfId="65"/>
    <cellStyle name="40% - Accent4" xfId="66"/>
    <cellStyle name="40% - Accent5" xfId="67"/>
    <cellStyle name="40% - Accent6" xfId="68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ccent1" xfId="75"/>
    <cellStyle name="Accent2" xfId="76"/>
    <cellStyle name="Accent3" xfId="77"/>
    <cellStyle name="Accent4" xfId="78"/>
    <cellStyle name="Accent5" xfId="79"/>
    <cellStyle name="Accent6" xfId="80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Bad" xfId="81"/>
    <cellStyle name="Calculation" xfId="82"/>
    <cellStyle name="Check Cell" xfId="83"/>
    <cellStyle name="Dane wejściowe" xfId="25" builtinId="20" customBuiltin="1"/>
    <cellStyle name="Dane wejściowe 2" xfId="49"/>
    <cellStyle name="Dane wejściowe 2 2" xfId="55"/>
    <cellStyle name="Dane wyjściowe" xfId="26" builtinId="21" customBuiltin="1"/>
    <cellStyle name="Dane wyjściowe 2" xfId="48"/>
    <cellStyle name="Dane wyjściowe 2 2" xfId="54"/>
    <cellStyle name="Dobre" xfId="27" builtinId="26" customBuiltin="1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Komórka połączona" xfId="28" builtinId="24" customBuiltin="1"/>
    <cellStyle name="Komórka zaznaczona" xfId="29" builtinId="23" customBuiltin="1"/>
    <cellStyle name="Linked Cell" xfId="9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" xfId="92"/>
    <cellStyle name="Neutralne" xfId="34" builtinId="28" customBuiltin="1"/>
    <cellStyle name="Normalny" xfId="0" builtinId="0"/>
    <cellStyle name="Normalny 2" xfId="44"/>
    <cellStyle name="Normalny 3" xfId="50"/>
    <cellStyle name="Normalny 4" xfId="56"/>
    <cellStyle name="Normalny 5" xfId="98"/>
    <cellStyle name="Normalny_Arkusz1" xfId="35"/>
    <cellStyle name="Note" xfId="93"/>
    <cellStyle name="Note 2" xfId="99"/>
    <cellStyle name="Note 3" xfId="100"/>
    <cellStyle name="Obliczenia" xfId="36" builtinId="22" customBuiltin="1"/>
    <cellStyle name="Obliczenia 2" xfId="47"/>
    <cellStyle name="Obliczenia 2 2" xfId="53"/>
    <cellStyle name="Output" xfId="94"/>
    <cellStyle name="Procentowy" xfId="37" builtinId="5"/>
    <cellStyle name="Suma" xfId="38" builtinId="25" customBuiltin="1"/>
    <cellStyle name="Suma 2" xfId="46"/>
    <cellStyle name="Suma 2 2" xfId="52"/>
    <cellStyle name="Tekst objaśnienia" xfId="39" builtinId="53" customBuiltin="1"/>
    <cellStyle name="Tekst ostrzeżenia" xfId="40" builtinId="11" customBuiltin="1"/>
    <cellStyle name="Title" xfId="95"/>
    <cellStyle name="Total" xfId="96"/>
    <cellStyle name="Tytuł" xfId="41" builtinId="15" customBuiltin="1"/>
    <cellStyle name="Uwaga" xfId="42" builtinId="10" customBuiltin="1"/>
    <cellStyle name="Uwaga 2" xfId="45"/>
    <cellStyle name="Uwaga 2 2" xfId="51"/>
    <cellStyle name="Warning Text" xfId="97"/>
    <cellStyle name="Złe" xfId="43" builtinId="27" customBuiltin="1"/>
  </cellStyles>
  <dxfs count="0"/>
  <tableStyles count="0" defaultTableStyle="TableStyleMedium9" defaultPivotStyle="PivotStyleLight16"/>
  <colors>
    <mruColors>
      <color rgb="FF0000CC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5" Type="http://schemas.openxmlformats.org/officeDocument/2006/relationships/worksheet" Target="worksheets/sheet175.xml"/><Relationship Id="rId170" Type="http://schemas.openxmlformats.org/officeDocument/2006/relationships/worksheet" Target="worksheets/sheet170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181" Type="http://schemas.openxmlformats.org/officeDocument/2006/relationships/calcChain" Target="calcChain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worksheet" Target="worksheets/sheet171.xml"/><Relationship Id="rId176" Type="http://schemas.openxmlformats.org/officeDocument/2006/relationships/worksheet" Target="worksheets/sheet176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72" Type="http://schemas.openxmlformats.org/officeDocument/2006/relationships/worksheet" Target="worksheets/sheet172.xml"/><Relationship Id="rId180" Type="http://schemas.openxmlformats.org/officeDocument/2006/relationships/sharedStrings" Target="sharedStrings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theme" Target="theme/theme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styles" Target="styles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zoomScaleNormal="100" workbookViewId="0">
      <selection activeCell="G30" sqref="G3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7.42578125" customWidth="1"/>
    <col min="9" max="9" width="12.5703125" customWidth="1"/>
    <col min="10" max="10" width="15.710937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14.25">
      <c r="B5" s="337" t="s">
        <v>1</v>
      </c>
      <c r="C5" s="337"/>
      <c r="D5" s="337"/>
      <c r="E5" s="337"/>
    </row>
    <row r="6" spans="2:7" ht="14.25" customHeight="1">
      <c r="B6" s="338" t="s">
        <v>84</v>
      </c>
      <c r="C6" s="338"/>
      <c r="D6" s="338"/>
      <c r="E6" s="338"/>
    </row>
    <row r="7" spans="2:7" ht="14.25">
      <c r="B7" s="254"/>
      <c r="C7" s="254"/>
      <c r="D7" s="254"/>
      <c r="E7" s="254"/>
    </row>
    <row r="8" spans="2:7" ht="12.75" customHeight="1">
      <c r="B8" s="340" t="s">
        <v>18</v>
      </c>
      <c r="C8" s="340"/>
      <c r="D8" s="340"/>
      <c r="E8" s="340"/>
    </row>
    <row r="9" spans="2:7" ht="15.75" customHeight="1" thickBot="1">
      <c r="B9" s="339" t="s">
        <v>220</v>
      </c>
      <c r="C9" s="339"/>
      <c r="D9" s="339"/>
      <c r="E9" s="339"/>
    </row>
    <row r="10" spans="2:7" ht="13.5" thickBot="1">
      <c r="B10" s="255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D12+D13+D14+D15</f>
        <v>307387061.02999997</v>
      </c>
      <c r="E11" s="9">
        <f>E12+E13+E14</f>
        <v>266196830.03</v>
      </c>
    </row>
    <row r="12" spans="2:7">
      <c r="B12" s="137" t="s">
        <v>4</v>
      </c>
      <c r="C12" s="6" t="s">
        <v>5</v>
      </c>
      <c r="D12" s="90">
        <f>306785100+601961.03</f>
        <v>307387061.02999997</v>
      </c>
      <c r="E12" s="190">
        <v>266194327.03</v>
      </c>
    </row>
    <row r="13" spans="2:7" ht="12.75" customHeight="1">
      <c r="B13" s="137" t="s">
        <v>6</v>
      </c>
      <c r="C13" s="72" t="s">
        <v>7</v>
      </c>
      <c r="D13" s="90"/>
      <c r="E13" s="101">
        <v>82.03</v>
      </c>
    </row>
    <row r="14" spans="2:7">
      <c r="B14" s="137" t="s">
        <v>8</v>
      </c>
      <c r="C14" s="72" t="s">
        <v>10</v>
      </c>
      <c r="D14" s="90"/>
      <c r="E14" s="101">
        <f>E15</f>
        <v>2420.9699999999998</v>
      </c>
    </row>
    <row r="15" spans="2:7">
      <c r="B15" s="137" t="s">
        <v>223</v>
      </c>
      <c r="C15" s="72" t="s">
        <v>11</v>
      </c>
      <c r="D15" s="90"/>
      <c r="E15" s="101">
        <v>2420.9699999999998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655263.30000000005</v>
      </c>
      <c r="E17" s="117">
        <f>SUM(E18:E19)</f>
        <v>8863103.0999999996</v>
      </c>
    </row>
    <row r="18" spans="2:10">
      <c r="B18" s="137" t="s">
        <v>4</v>
      </c>
      <c r="C18" s="6" t="s">
        <v>11</v>
      </c>
      <c r="D18" s="90">
        <v>655263.30000000005</v>
      </c>
      <c r="E18" s="102">
        <v>262464.32</v>
      </c>
    </row>
    <row r="19" spans="2:10">
      <c r="B19" s="137" t="s">
        <v>6</v>
      </c>
      <c r="C19" s="72" t="s">
        <v>225</v>
      </c>
      <c r="D19" s="90"/>
      <c r="E19" s="101">
        <v>8600638.7799999993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customHeight="1" thickBot="1">
      <c r="B21" s="344" t="s">
        <v>227</v>
      </c>
      <c r="C21" s="345"/>
      <c r="D21" s="93">
        <f>D11-D17</f>
        <v>306731797.72999996</v>
      </c>
      <c r="E21" s="181">
        <f>E11-E17</f>
        <v>257333726.93000001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4.25" customHeight="1">
      <c r="B23" s="340" t="s">
        <v>221</v>
      </c>
      <c r="C23" s="340"/>
      <c r="D23" s="340"/>
      <c r="E23" s="340"/>
      <c r="G23" s="79"/>
    </row>
    <row r="24" spans="2:10" ht="16.5" customHeight="1" thickBot="1">
      <c r="B24" s="339" t="s">
        <v>222</v>
      </c>
      <c r="C24" s="339"/>
      <c r="D24" s="339"/>
      <c r="E24" s="339"/>
    </row>
    <row r="25" spans="2:10" ht="13.5" thickBot="1">
      <c r="B25" s="25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318">
        <v>321972846.5</v>
      </c>
      <c r="E26" s="201">
        <v>306731797.72999996</v>
      </c>
      <c r="F26" s="202"/>
      <c r="G26" s="214"/>
    </row>
    <row r="27" spans="2:10">
      <c r="B27" s="10" t="s">
        <v>17</v>
      </c>
      <c r="C27" s="11" t="s">
        <v>228</v>
      </c>
      <c r="D27" s="319">
        <v>-15966079.120000005</v>
      </c>
      <c r="E27" s="180">
        <f>E28-E32</f>
        <v>-50035712.649999954</v>
      </c>
      <c r="F27" s="204"/>
      <c r="G27" s="205"/>
      <c r="H27" s="79"/>
      <c r="I27" s="79"/>
      <c r="J27" s="79"/>
    </row>
    <row r="28" spans="2:10">
      <c r="B28" s="10" t="s">
        <v>18</v>
      </c>
      <c r="C28" s="11" t="s">
        <v>19</v>
      </c>
      <c r="D28" s="319">
        <v>43582463.780000001</v>
      </c>
      <c r="E28" s="81">
        <f>SUM(E29:E31)</f>
        <v>6949068.8899999997</v>
      </c>
      <c r="F28" s="204"/>
      <c r="G28" s="205"/>
      <c r="H28" s="79"/>
      <c r="I28" s="79"/>
      <c r="J28" s="79"/>
    </row>
    <row r="29" spans="2:10">
      <c r="B29" s="135" t="s">
        <v>4</v>
      </c>
      <c r="C29" s="6" t="s">
        <v>20</v>
      </c>
      <c r="D29" s="320">
        <v>39597484.489999995</v>
      </c>
      <c r="E29" s="105">
        <v>6404037.8799999999</v>
      </c>
      <c r="F29" s="204"/>
      <c r="G29" s="204"/>
      <c r="H29" s="79"/>
      <c r="I29" s="79"/>
      <c r="J29" s="79"/>
    </row>
    <row r="30" spans="2:10">
      <c r="B30" s="135" t="s">
        <v>6</v>
      </c>
      <c r="C30" s="6" t="s">
        <v>21</v>
      </c>
      <c r="D30" s="320"/>
      <c r="E30" s="105"/>
      <c r="F30" s="204"/>
      <c r="G30" s="204"/>
      <c r="H30" s="79"/>
      <c r="I30" s="79"/>
      <c r="J30" s="79"/>
    </row>
    <row r="31" spans="2:10">
      <c r="B31" s="135" t="s">
        <v>8</v>
      </c>
      <c r="C31" s="6" t="s">
        <v>22</v>
      </c>
      <c r="D31" s="320">
        <v>3984979.29</v>
      </c>
      <c r="E31" s="105">
        <v>545031.01</v>
      </c>
      <c r="F31" s="204"/>
      <c r="G31" s="204"/>
      <c r="H31" s="79"/>
      <c r="I31" s="79"/>
      <c r="J31" s="79"/>
    </row>
    <row r="32" spans="2:10">
      <c r="B32" s="116" t="s">
        <v>23</v>
      </c>
      <c r="C32" s="12" t="s">
        <v>24</v>
      </c>
      <c r="D32" s="319">
        <v>59548542.900000006</v>
      </c>
      <c r="E32" s="81">
        <f>SUM(E33:E39)</f>
        <v>56984781.539999954</v>
      </c>
      <c r="F32" s="204"/>
      <c r="G32" s="205"/>
      <c r="H32" s="79"/>
      <c r="I32" s="79"/>
      <c r="J32" s="79"/>
    </row>
    <row r="33" spans="2:10">
      <c r="B33" s="135" t="s">
        <v>4</v>
      </c>
      <c r="C33" s="6" t="s">
        <v>25</v>
      </c>
      <c r="D33" s="320">
        <v>45459597.950000003</v>
      </c>
      <c r="E33" s="105">
        <v>49498491.710000001</v>
      </c>
      <c r="F33" s="204"/>
      <c r="G33" s="204"/>
      <c r="H33" s="79"/>
      <c r="I33" s="79"/>
      <c r="J33" s="79"/>
    </row>
    <row r="34" spans="2:10">
      <c r="B34" s="135" t="s">
        <v>6</v>
      </c>
      <c r="C34" s="6" t="s">
        <v>26</v>
      </c>
      <c r="D34" s="320"/>
      <c r="E34" s="105"/>
      <c r="F34" s="204"/>
      <c r="G34" s="204"/>
      <c r="H34" s="79"/>
      <c r="I34" s="79"/>
      <c r="J34" s="79"/>
    </row>
    <row r="35" spans="2:10">
      <c r="B35" s="135" t="s">
        <v>8</v>
      </c>
      <c r="C35" s="6" t="s">
        <v>27</v>
      </c>
      <c r="D35" s="320">
        <v>4842543.9800000004</v>
      </c>
      <c r="E35" s="105">
        <v>3444829.81</v>
      </c>
      <c r="F35" s="204"/>
      <c r="G35" s="204"/>
      <c r="H35" s="79"/>
      <c r="I35" s="79"/>
      <c r="J35" s="79"/>
    </row>
    <row r="36" spans="2:10">
      <c r="B36" s="135" t="s">
        <v>9</v>
      </c>
      <c r="C36" s="6" t="s">
        <v>28</v>
      </c>
      <c r="D36" s="320"/>
      <c r="E36" s="105"/>
      <c r="F36" s="204"/>
      <c r="G36" s="204"/>
      <c r="H36" s="79"/>
      <c r="I36" s="79"/>
      <c r="J36" s="79"/>
    </row>
    <row r="37" spans="2:10" ht="25.5">
      <c r="B37" s="135" t="s">
        <v>29</v>
      </c>
      <c r="C37" s="6" t="s">
        <v>30</v>
      </c>
      <c r="D37" s="320"/>
      <c r="E37" s="105"/>
      <c r="F37" s="204"/>
      <c r="G37" s="206"/>
      <c r="H37" s="79"/>
      <c r="I37" s="79"/>
      <c r="J37" s="79"/>
    </row>
    <row r="38" spans="2:10">
      <c r="B38" s="135" t="s">
        <v>31</v>
      </c>
      <c r="C38" s="6" t="s">
        <v>32</v>
      </c>
      <c r="D38" s="320"/>
      <c r="E38" s="105"/>
      <c r="F38" s="204"/>
      <c r="G38" s="206"/>
      <c r="H38" s="79"/>
      <c r="I38" s="79"/>
      <c r="J38" s="79"/>
    </row>
    <row r="39" spans="2:10">
      <c r="B39" s="136" t="s">
        <v>33</v>
      </c>
      <c r="C39" s="13" t="s">
        <v>34</v>
      </c>
      <c r="D39" s="321">
        <v>9246400.9700000007</v>
      </c>
      <c r="E39" s="184">
        <v>4041460.0199999525</v>
      </c>
      <c r="F39" s="204"/>
      <c r="G39" s="208"/>
      <c r="H39" s="79"/>
      <c r="I39" s="79"/>
      <c r="J39" s="79"/>
    </row>
    <row r="40" spans="2:10" ht="13.5" thickBot="1">
      <c r="B40" s="125" t="s">
        <v>35</v>
      </c>
      <c r="C40" s="126" t="s">
        <v>36</v>
      </c>
      <c r="D40" s="322">
        <v>725030.35</v>
      </c>
      <c r="E40" s="323">
        <f>644030.19-6495.59+107.25</f>
        <v>637641.85</v>
      </c>
      <c r="F40" s="202"/>
      <c r="G40" s="203"/>
      <c r="H40" s="79"/>
    </row>
    <row r="41" spans="2:10" ht="13.5" thickBot="1">
      <c r="B41" s="129" t="s">
        <v>37</v>
      </c>
      <c r="C41" s="130" t="s">
        <v>38</v>
      </c>
      <c r="D41" s="324">
        <v>306731797.73000002</v>
      </c>
      <c r="E41" s="191">
        <f>E26+E27+E40</f>
        <v>257333726.93000001</v>
      </c>
      <c r="F41" s="207"/>
      <c r="G41" s="208">
        <f>E21-E41</f>
        <v>0</v>
      </c>
    </row>
    <row r="42" spans="2:10" ht="13.5" customHeight="1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9.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4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209"/>
      <c r="E46" s="210"/>
      <c r="G46" s="311"/>
    </row>
    <row r="47" spans="2:10">
      <c r="B47" s="133" t="s">
        <v>4</v>
      </c>
      <c r="C47" s="16" t="s">
        <v>40</v>
      </c>
      <c r="D47" s="325">
        <v>14393933.256100001</v>
      </c>
      <c r="E47" s="326">
        <v>13681525.652100001</v>
      </c>
      <c r="G47" s="311"/>
    </row>
    <row r="48" spans="2:10">
      <c r="B48" s="154" t="s">
        <v>6</v>
      </c>
      <c r="C48" s="23" t="s">
        <v>41</v>
      </c>
      <c r="D48" s="327">
        <v>13681525.652100001</v>
      </c>
      <c r="E48" s="328">
        <v>11453892.879713135</v>
      </c>
      <c r="G48" s="315"/>
    </row>
    <row r="49" spans="2:7">
      <c r="B49" s="151" t="s">
        <v>23</v>
      </c>
      <c r="C49" s="155" t="s">
        <v>230</v>
      </c>
      <c r="D49" s="329"/>
      <c r="E49" s="211"/>
    </row>
    <row r="50" spans="2:7">
      <c r="B50" s="133" t="s">
        <v>4</v>
      </c>
      <c r="C50" s="16" t="s">
        <v>40</v>
      </c>
      <c r="D50" s="325">
        <v>22.368649400507</v>
      </c>
      <c r="E50" s="265">
        <v>22.4194</v>
      </c>
      <c r="G50" s="315"/>
    </row>
    <row r="51" spans="2:7">
      <c r="B51" s="133" t="s">
        <v>6</v>
      </c>
      <c r="C51" s="16" t="s">
        <v>231</v>
      </c>
      <c r="D51" s="330">
        <v>22.2423</v>
      </c>
      <c r="E51" s="265">
        <v>22.246099999999998</v>
      </c>
    </row>
    <row r="52" spans="2:7">
      <c r="B52" s="133" t="s">
        <v>8</v>
      </c>
      <c r="C52" s="16" t="s">
        <v>232</v>
      </c>
      <c r="D52" s="330">
        <v>22.4194</v>
      </c>
      <c r="E52" s="265">
        <v>22.466899999999999</v>
      </c>
    </row>
    <row r="53" spans="2:7" ht="13.5" thickBot="1">
      <c r="B53" s="134" t="s">
        <v>9</v>
      </c>
      <c r="C53" s="18" t="s">
        <v>41</v>
      </c>
      <c r="D53" s="331">
        <v>22.419414729739501</v>
      </c>
      <c r="E53" s="269">
        <v>22.466922786206901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5.7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D59+D69</f>
        <v>266194327.03</v>
      </c>
      <c r="E58" s="33">
        <f>D58/E21</f>
        <v>1.0344323311433261</v>
      </c>
    </row>
    <row r="59" spans="2:7" ht="25.5">
      <c r="B59" s="154" t="s">
        <v>4</v>
      </c>
      <c r="C59" s="23" t="s">
        <v>44</v>
      </c>
      <c r="D59" s="96">
        <v>266157909</v>
      </c>
      <c r="E59" s="97">
        <f>D59/E21</f>
        <v>1.0342908105178159</v>
      </c>
    </row>
    <row r="60" spans="2:7" ht="25.5">
      <c r="B60" s="133" t="s">
        <v>6</v>
      </c>
      <c r="C60" s="16" t="s">
        <v>45</v>
      </c>
      <c r="D60" s="94">
        <v>0</v>
      </c>
      <c r="E60" s="95">
        <v>0</v>
      </c>
    </row>
    <row r="61" spans="2:7">
      <c r="B61" s="133" t="s">
        <v>8</v>
      </c>
      <c r="C61" s="16" t="s">
        <v>46</v>
      </c>
      <c r="D61" s="94">
        <v>0</v>
      </c>
      <c r="E61" s="95">
        <v>0</v>
      </c>
    </row>
    <row r="62" spans="2:7">
      <c r="B62" s="133" t="s">
        <v>9</v>
      </c>
      <c r="C62" s="16" t="s">
        <v>47</v>
      </c>
      <c r="D62" s="94">
        <v>0</v>
      </c>
      <c r="E62" s="95">
        <v>0</v>
      </c>
    </row>
    <row r="63" spans="2:7">
      <c r="B63" s="133" t="s">
        <v>29</v>
      </c>
      <c r="C63" s="16" t="s">
        <v>48</v>
      </c>
      <c r="D63" s="94">
        <v>0</v>
      </c>
      <c r="E63" s="95">
        <v>0</v>
      </c>
    </row>
    <row r="64" spans="2:7">
      <c r="B64" s="154" t="s">
        <v>31</v>
      </c>
      <c r="C64" s="23" t="s">
        <v>49</v>
      </c>
      <c r="D64" s="96">
        <v>0</v>
      </c>
      <c r="E64" s="97">
        <v>0</v>
      </c>
    </row>
    <row r="65" spans="2:5" ht="13.5" customHeight="1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36418.03</v>
      </c>
      <c r="E69" s="95">
        <f>D69/E21</f>
        <v>1.4152062551018213E-4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82.03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2420.9699999999998</v>
      </c>
      <c r="E72" s="150">
        <f>D72/E21</f>
        <v>9.407900118193807E-6</v>
      </c>
    </row>
    <row r="73" spans="2:5">
      <c r="B73" s="164" t="s">
        <v>62</v>
      </c>
      <c r="C73" s="25" t="s">
        <v>65</v>
      </c>
      <c r="D73" s="26">
        <f>E17</f>
        <v>8863103.0999999996</v>
      </c>
      <c r="E73" s="27">
        <f>D73/E21</f>
        <v>3.4442057812386725E-2</v>
      </c>
    </row>
    <row r="74" spans="2:5">
      <c r="B74" s="162" t="s">
        <v>64</v>
      </c>
      <c r="C74" s="152" t="s">
        <v>66</v>
      </c>
      <c r="D74" s="153">
        <f>D58+D71+D72-D73</f>
        <v>257333726.93000001</v>
      </c>
      <c r="E74" s="70">
        <f>E58+E72-E73</f>
        <v>0.99999968123105765</v>
      </c>
    </row>
    <row r="75" spans="2:5">
      <c r="B75" s="133" t="s">
        <v>4</v>
      </c>
      <c r="C75" s="16" t="s">
        <v>67</v>
      </c>
      <c r="D75" s="94">
        <f>D74</f>
        <v>257333726.93000001</v>
      </c>
      <c r="E75" s="95">
        <f>E74</f>
        <v>0.99999968123105765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7:C57"/>
    <mergeCell ref="B2:E2"/>
    <mergeCell ref="B3:E3"/>
    <mergeCell ref="B5:E5"/>
    <mergeCell ref="B6:E6"/>
    <mergeCell ref="B9:E9"/>
    <mergeCell ref="B8:E8"/>
    <mergeCell ref="B23:E23"/>
    <mergeCell ref="B24:E24"/>
    <mergeCell ref="B43:E43"/>
    <mergeCell ref="B44:E44"/>
    <mergeCell ref="B55:E55"/>
    <mergeCell ref="B56:E56"/>
    <mergeCell ref="B21:C21"/>
  </mergeCells>
  <phoneticPr fontId="7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81"/>
  <sheetViews>
    <sheetView topLeftCell="A49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90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16497289.250000002</v>
      </c>
      <c r="E11" s="9">
        <f>E12+E13+E14</f>
        <v>16796325.649999999</v>
      </c>
    </row>
    <row r="12" spans="2:7">
      <c r="B12" s="137" t="s">
        <v>4</v>
      </c>
      <c r="C12" s="6" t="s">
        <v>5</v>
      </c>
      <c r="D12" s="90">
        <v>16450128.130000001</v>
      </c>
      <c r="E12" s="101">
        <f>16604782.52+141263.13+0.39</f>
        <v>16746046.040000001</v>
      </c>
    </row>
    <row r="13" spans="2:7">
      <c r="B13" s="137" t="s">
        <v>6</v>
      </c>
      <c r="C13" s="72" t="s">
        <v>7</v>
      </c>
      <c r="D13" s="90">
        <v>1.4</v>
      </c>
      <c r="E13" s="101">
        <v>19.36</v>
      </c>
    </row>
    <row r="14" spans="2:7">
      <c r="B14" s="137" t="s">
        <v>8</v>
      </c>
      <c r="C14" s="72" t="s">
        <v>10</v>
      </c>
      <c r="D14" s="90">
        <v>47159.72</v>
      </c>
      <c r="E14" s="101">
        <f>E15</f>
        <v>50260.25</v>
      </c>
    </row>
    <row r="15" spans="2:7">
      <c r="B15" s="137" t="s">
        <v>223</v>
      </c>
      <c r="C15" s="72" t="s">
        <v>11</v>
      </c>
      <c r="D15" s="90">
        <v>47159.72</v>
      </c>
      <c r="E15" s="101">
        <f>4717.9+45542.35</f>
        <v>50260.25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55511.08</v>
      </c>
      <c r="E17" s="117">
        <f>SUM(E18:E19)</f>
        <v>108842.17</v>
      </c>
    </row>
    <row r="18" spans="2:10">
      <c r="B18" s="137" t="s">
        <v>4</v>
      </c>
      <c r="C18" s="6" t="s">
        <v>11</v>
      </c>
      <c r="D18" s="90">
        <v>55511.08</v>
      </c>
      <c r="E18" s="102">
        <v>45292.72</v>
      </c>
    </row>
    <row r="19" spans="2:10" ht="13.5" customHeight="1">
      <c r="B19" s="137" t="s">
        <v>6</v>
      </c>
      <c r="C19" s="72" t="s">
        <v>225</v>
      </c>
      <c r="D19" s="90"/>
      <c r="E19" s="101">
        <v>63549.45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16441778.170000002</v>
      </c>
      <c r="E21" s="104">
        <f>E11-E17</f>
        <v>16687483.479999999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8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14801750.68</v>
      </c>
      <c r="E26" s="123">
        <v>16441778.170000002</v>
      </c>
      <c r="G26" s="84"/>
    </row>
    <row r="27" spans="2:10">
      <c r="B27" s="10" t="s">
        <v>17</v>
      </c>
      <c r="C27" s="11" t="s">
        <v>228</v>
      </c>
      <c r="D27" s="182">
        <v>2531087.39</v>
      </c>
      <c r="E27" s="180">
        <f>E28-E32</f>
        <v>-987397.68999999948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6576558.4000000004</v>
      </c>
      <c r="E28" s="81">
        <f>SUM(E29:E31)</f>
        <v>4187632.92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4879018.51</v>
      </c>
      <c r="E29" s="105">
        <v>3734601.36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1697539.89</v>
      </c>
      <c r="E31" s="105">
        <v>453031.56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4045471.01</v>
      </c>
      <c r="E32" s="81">
        <f>SUM(E33:E39)</f>
        <v>5175030.6099999994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2504020.9000000004</v>
      </c>
      <c r="E33" s="105">
        <v>3085390.6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673598.51</v>
      </c>
      <c r="E35" s="105">
        <v>602654.82000000007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867851.6</v>
      </c>
      <c r="E39" s="184">
        <v>1486985.19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-891059.9</v>
      </c>
      <c r="E40" s="128">
        <f>1233048.03+54.97</f>
        <v>1233103</v>
      </c>
      <c r="G40" s="84"/>
    </row>
    <row r="41" spans="2:10" ht="13.5" thickBot="1">
      <c r="B41" s="129" t="s">
        <v>37</v>
      </c>
      <c r="C41" s="130" t="s">
        <v>38</v>
      </c>
      <c r="D41" s="131">
        <v>16441778.17</v>
      </c>
      <c r="E41" s="181">
        <f>E26+E27+E40</f>
        <v>16687483.480000002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7.2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1473220.0870999999</v>
      </c>
      <c r="E47" s="83">
        <v>1715620.8659999999</v>
      </c>
      <c r="G47" s="311"/>
    </row>
    <row r="48" spans="2:10">
      <c r="B48" s="154" t="s">
        <v>6</v>
      </c>
      <c r="C48" s="23" t="s">
        <v>41</v>
      </c>
      <c r="D48" s="264">
        <v>1715620.8659999999</v>
      </c>
      <c r="E48" s="83">
        <v>1612649.2980929622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10.0472093814149</v>
      </c>
      <c r="E50" s="83">
        <v>9.5835732100497797</v>
      </c>
      <c r="G50" s="315"/>
    </row>
    <row r="51" spans="2:7">
      <c r="B51" s="133" t="s">
        <v>6</v>
      </c>
      <c r="C51" s="16" t="s">
        <v>231</v>
      </c>
      <c r="D51" s="314">
        <v>9.1114999999999995</v>
      </c>
      <c r="E51" s="85">
        <v>8.7256999999999998</v>
      </c>
    </row>
    <row r="52" spans="2:7" ht="12.75" customHeight="1">
      <c r="B52" s="133" t="s">
        <v>8</v>
      </c>
      <c r="C52" s="16" t="s">
        <v>232</v>
      </c>
      <c r="D52" s="314">
        <v>11.4016</v>
      </c>
      <c r="E52" s="85">
        <v>10.347899999999999</v>
      </c>
    </row>
    <row r="53" spans="2:7" ht="13.5" thickBot="1">
      <c r="B53" s="134" t="s">
        <v>9</v>
      </c>
      <c r="C53" s="18" t="s">
        <v>41</v>
      </c>
      <c r="D53" s="268">
        <v>9.5835732100497797</v>
      </c>
      <c r="E53" s="187">
        <v>10.3478688762236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5.7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16746046.039999999</v>
      </c>
      <c r="E58" s="33">
        <f>D58/E21</f>
        <v>1.0035093703655311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16604782.52</v>
      </c>
      <c r="E64" s="97">
        <f>D64/E21</f>
        <v>0.99504413232234112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141263.13+0.39</f>
        <v>141263.52000000002</v>
      </c>
      <c r="E69" s="95">
        <f>D69/E21</f>
        <v>8.465238043189962E-3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19.36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50260.25</v>
      </c>
      <c r="E72" s="150">
        <f>D72/E21</f>
        <v>3.0118531688877515E-3</v>
      </c>
    </row>
    <row r="73" spans="2:5">
      <c r="B73" s="24" t="s">
        <v>62</v>
      </c>
      <c r="C73" s="25" t="s">
        <v>65</v>
      </c>
      <c r="D73" s="26">
        <f>E17</f>
        <v>108842.17</v>
      </c>
      <c r="E73" s="27">
        <f>D73/E21</f>
        <v>6.5223836853799842E-3</v>
      </c>
    </row>
    <row r="74" spans="2:5">
      <c r="B74" s="151" t="s">
        <v>64</v>
      </c>
      <c r="C74" s="152" t="s">
        <v>66</v>
      </c>
      <c r="D74" s="153">
        <f>D58+D71+D72-D73</f>
        <v>16687483.479999999</v>
      </c>
      <c r="E74" s="70">
        <f>E58+E72-E73</f>
        <v>0.99999883984903903</v>
      </c>
    </row>
    <row r="75" spans="2:5">
      <c r="B75" s="15" t="s">
        <v>4</v>
      </c>
      <c r="C75" s="16" t="s">
        <v>67</v>
      </c>
      <c r="D75" s="94">
        <f>D74</f>
        <v>16687483.479999999</v>
      </c>
      <c r="E75" s="95">
        <f>E74</f>
        <v>0.99999883984903903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213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721596.63</v>
      </c>
      <c r="E11" s="9">
        <f>E12</f>
        <v>1524141.43</v>
      </c>
    </row>
    <row r="12" spans="2:7">
      <c r="B12" s="137" t="s">
        <v>4</v>
      </c>
      <c r="C12" s="6" t="s">
        <v>5</v>
      </c>
      <c r="D12" s="90">
        <v>721596.63</v>
      </c>
      <c r="E12" s="101">
        <v>1524141.43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721596.63</v>
      </c>
      <c r="E21" s="181">
        <f>E11</f>
        <v>1524141.43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876933.5</v>
      </c>
      <c r="E26" s="123">
        <v>721596.63</v>
      </c>
      <c r="G26" s="84"/>
    </row>
    <row r="27" spans="2:10">
      <c r="B27" s="10" t="s">
        <v>17</v>
      </c>
      <c r="C27" s="11" t="s">
        <v>228</v>
      </c>
      <c r="D27" s="182">
        <v>32533.54</v>
      </c>
      <c r="E27" s="180">
        <f>E28-E32</f>
        <v>759483.79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1408655.75</v>
      </c>
      <c r="E28" s="81">
        <f>SUM(E29:E31)</f>
        <v>2629290.2799999998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1408600</v>
      </c>
      <c r="E29" s="105">
        <v>344750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55.75</v>
      </c>
      <c r="E31" s="105">
        <v>2284540.2799999998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1376122.21</v>
      </c>
      <c r="E32" s="81">
        <f>SUM(E33:E39)</f>
        <v>1869806.4899999998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58355.19</v>
      </c>
      <c r="E33" s="105">
        <v>1820264.68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22.53</v>
      </c>
      <c r="E35" s="105">
        <v>710.88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18692.32</v>
      </c>
      <c r="E37" s="105">
        <v>24087.040000000001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1299052.17</v>
      </c>
      <c r="E39" s="184">
        <v>24743.89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-187870.41</v>
      </c>
      <c r="E40" s="128">
        <v>43061.01</v>
      </c>
      <c r="G40" s="84"/>
    </row>
    <row r="41" spans="2:10" ht="13.5" thickBot="1">
      <c r="B41" s="129" t="s">
        <v>37</v>
      </c>
      <c r="C41" s="130" t="s">
        <v>38</v>
      </c>
      <c r="D41" s="131">
        <v>721596.63</v>
      </c>
      <c r="E41" s="181">
        <f>E26+E27+E40</f>
        <v>1524141.43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9121.4218500000006</v>
      </c>
      <c r="E47" s="185">
        <v>8984.0218499999992</v>
      </c>
      <c r="G47" s="79"/>
    </row>
    <row r="48" spans="2:10">
      <c r="B48" s="154" t="s">
        <v>6</v>
      </c>
      <c r="C48" s="23" t="s">
        <v>41</v>
      </c>
      <c r="D48" s="264">
        <v>8984.0218499999992</v>
      </c>
      <c r="E48" s="185">
        <v>17819.962960000001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96.14</v>
      </c>
      <c r="E50" s="185">
        <v>80.319999999999993</v>
      </c>
    </row>
    <row r="51" spans="2:5">
      <c r="B51" s="133" t="s">
        <v>6</v>
      </c>
      <c r="C51" s="16" t="s">
        <v>231</v>
      </c>
      <c r="D51" s="267">
        <v>79.05</v>
      </c>
      <c r="E51" s="185">
        <v>76.92</v>
      </c>
    </row>
    <row r="52" spans="2:5">
      <c r="B52" s="133" t="s">
        <v>8</v>
      </c>
      <c r="C52" s="16" t="s">
        <v>232</v>
      </c>
      <c r="D52" s="267">
        <v>98.15</v>
      </c>
      <c r="E52" s="85">
        <v>92.89</v>
      </c>
    </row>
    <row r="53" spans="2:5" ht="12.75" customHeight="1" thickBot="1">
      <c r="B53" s="134" t="s">
        <v>9</v>
      </c>
      <c r="C53" s="18" t="s">
        <v>41</v>
      </c>
      <c r="D53" s="268">
        <v>80.319999999999993</v>
      </c>
      <c r="E53" s="187">
        <v>85.53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1524141.43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1524141.43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1524141.43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1524141.43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208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1163538.51</v>
      </c>
      <c r="E11" s="9">
        <f>E12</f>
        <v>1325230.56</v>
      </c>
    </row>
    <row r="12" spans="2:7">
      <c r="B12" s="137" t="s">
        <v>4</v>
      </c>
      <c r="C12" s="6" t="s">
        <v>5</v>
      </c>
      <c r="D12" s="90">
        <v>1163538.51</v>
      </c>
      <c r="E12" s="101">
        <v>1325230.56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1163538.51</v>
      </c>
      <c r="E21" s="181">
        <f>E11</f>
        <v>1325230.56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1455131.88</v>
      </c>
      <c r="E26" s="123">
        <v>1163538.51</v>
      </c>
      <c r="G26" s="84"/>
    </row>
    <row r="27" spans="2:10">
      <c r="B27" s="10" t="s">
        <v>17</v>
      </c>
      <c r="C27" s="11" t="s">
        <v>228</v>
      </c>
      <c r="D27" s="182">
        <v>-178744.62</v>
      </c>
      <c r="E27" s="180">
        <f>E28-E32</f>
        <v>14233.099999999977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625354.18999999994</v>
      </c>
      <c r="E28" s="81">
        <f>SUM(E29:E31)</f>
        <v>469256.17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584824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40530.19</v>
      </c>
      <c r="E31" s="105">
        <v>469256.17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804098.81</v>
      </c>
      <c r="E32" s="81">
        <f>SUM(E33:E39)</f>
        <v>455023.07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329336.3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4261.22</v>
      </c>
      <c r="E35" s="105">
        <v>2565.92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19620.29</v>
      </c>
      <c r="E37" s="105">
        <v>16702.89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780217.3</v>
      </c>
      <c r="E39" s="184">
        <v>106417.96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-112848.75</v>
      </c>
      <c r="E40" s="128">
        <v>147458.95000000001</v>
      </c>
      <c r="G40" s="84"/>
    </row>
    <row r="41" spans="2:10" ht="13.5" thickBot="1">
      <c r="B41" s="129" t="s">
        <v>37</v>
      </c>
      <c r="C41" s="130" t="s">
        <v>38</v>
      </c>
      <c r="D41" s="131">
        <v>1163538.5099999998</v>
      </c>
      <c r="E41" s="181">
        <f>E26+E27+E40</f>
        <v>1325230.5599999998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8270.1442299999999</v>
      </c>
      <c r="E47" s="185">
        <v>7198.3327799999997</v>
      </c>
      <c r="G47" s="79"/>
    </row>
    <row r="48" spans="2:10">
      <c r="B48" s="154" t="s">
        <v>6</v>
      </c>
      <c r="C48" s="23" t="s">
        <v>41</v>
      </c>
      <c r="D48" s="264">
        <v>7198.3327799999997</v>
      </c>
      <c r="E48" s="185">
        <v>7131.4134299999996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175.95</v>
      </c>
      <c r="E50" s="185">
        <v>161.63999999999999</v>
      </c>
    </row>
    <row r="51" spans="2:5">
      <c r="B51" s="133" t="s">
        <v>6</v>
      </c>
      <c r="C51" s="16" t="s">
        <v>231</v>
      </c>
      <c r="D51" s="267">
        <v>148.07</v>
      </c>
      <c r="E51" s="85">
        <v>142.57</v>
      </c>
    </row>
    <row r="52" spans="2:5">
      <c r="B52" s="133" t="s">
        <v>8</v>
      </c>
      <c r="C52" s="16" t="s">
        <v>232</v>
      </c>
      <c r="D52" s="267">
        <v>175.35</v>
      </c>
      <c r="E52" s="85">
        <v>169.51</v>
      </c>
    </row>
    <row r="53" spans="2:5" ht="12.75" customHeight="1" thickBot="1">
      <c r="B53" s="134" t="s">
        <v>9</v>
      </c>
      <c r="C53" s="18" t="s">
        <v>41</v>
      </c>
      <c r="D53" s="268">
        <v>161.63999999999999</v>
      </c>
      <c r="E53" s="187">
        <v>185.83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1325230.56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1325230.56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1325230.56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1325230.56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C16" sqref="C1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274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97701.77</v>
      </c>
      <c r="E11" s="9">
        <f>E12</f>
        <v>100624.35</v>
      </c>
    </row>
    <row r="12" spans="2:7">
      <c r="B12" s="137" t="s">
        <v>4</v>
      </c>
      <c r="C12" s="6" t="s">
        <v>5</v>
      </c>
      <c r="D12" s="90">
        <v>97701.77</v>
      </c>
      <c r="E12" s="101">
        <v>100624.35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97701.77</v>
      </c>
      <c r="E21" s="181">
        <f>E11</f>
        <v>100624.35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97701.77</v>
      </c>
      <c r="G26" s="84"/>
    </row>
    <row r="27" spans="2:10">
      <c r="B27" s="10" t="s">
        <v>17</v>
      </c>
      <c r="C27" s="11" t="s">
        <v>228</v>
      </c>
      <c r="D27" s="182">
        <v>98931.01</v>
      </c>
      <c r="E27" s="180">
        <f>E28-E32</f>
        <v>-1416.62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141095.57999999999</v>
      </c>
      <c r="E28" s="81">
        <f>SUM(E29:E31)</f>
        <v>509.73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141095.57999999999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509.73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42164.57</v>
      </c>
      <c r="E32" s="81">
        <f>SUM(E33:E39)</f>
        <v>1926.35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36501.99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183.94</v>
      </c>
      <c r="E35" s="105">
        <v>564.86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582.55999999999995</v>
      </c>
      <c r="E37" s="105">
        <v>1361.49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4896.08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-1229.24</v>
      </c>
      <c r="E40" s="128">
        <v>4339.2</v>
      </c>
      <c r="G40" s="84"/>
    </row>
    <row r="41" spans="2:10" ht="13.5" thickBot="1">
      <c r="B41" s="129" t="s">
        <v>37</v>
      </c>
      <c r="C41" s="130" t="s">
        <v>38</v>
      </c>
      <c r="D41" s="131">
        <v>97701.76999999999</v>
      </c>
      <c r="E41" s="181">
        <f>E26+E27+E40</f>
        <v>100624.35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864.46439999999996</v>
      </c>
      <c r="G47" s="79"/>
    </row>
    <row r="48" spans="2:10">
      <c r="B48" s="154" t="s">
        <v>6</v>
      </c>
      <c r="C48" s="23" t="s">
        <v>41</v>
      </c>
      <c r="D48" s="264">
        <v>864.46439999999996</v>
      </c>
      <c r="E48" s="185">
        <v>852.17100000000005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113.02</v>
      </c>
    </row>
    <row r="51" spans="2:5">
      <c r="B51" s="133" t="s">
        <v>6</v>
      </c>
      <c r="C51" s="16" t="s">
        <v>231</v>
      </c>
      <c r="D51" s="267">
        <v>111.03</v>
      </c>
      <c r="E51" s="185">
        <v>109.5</v>
      </c>
    </row>
    <row r="52" spans="2:5">
      <c r="B52" s="133" t="s">
        <v>8</v>
      </c>
      <c r="C52" s="16" t="s">
        <v>232</v>
      </c>
      <c r="D52" s="267">
        <v>118.53</v>
      </c>
      <c r="E52" s="85">
        <v>118.34</v>
      </c>
    </row>
    <row r="53" spans="2:5" ht="13.5" customHeight="1" thickBot="1">
      <c r="B53" s="134" t="s">
        <v>9</v>
      </c>
      <c r="C53" s="18" t="s">
        <v>41</v>
      </c>
      <c r="D53" s="268">
        <v>113.02</v>
      </c>
      <c r="E53" s="187">
        <v>118.08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100624.35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100624.35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100624.35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100624.35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275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14721.76</v>
      </c>
    </row>
    <row r="12" spans="2:7">
      <c r="B12" s="137" t="s">
        <v>4</v>
      </c>
      <c r="C12" s="6" t="s">
        <v>5</v>
      </c>
      <c r="D12" s="90" t="s">
        <v>260</v>
      </c>
      <c r="E12" s="101">
        <v>14721.76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14721.76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/>
      <c r="G26" s="84"/>
    </row>
    <row r="27" spans="2:10">
      <c r="B27" s="10" t="s">
        <v>17</v>
      </c>
      <c r="C27" s="11" t="s">
        <v>228</v>
      </c>
      <c r="D27" s="182">
        <v>1312.4500000000007</v>
      </c>
      <c r="E27" s="180">
        <f>E28-E32</f>
        <v>14242.56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8846.16</v>
      </c>
      <c r="E28" s="81">
        <f>SUM(E29:E31)</f>
        <v>16756.12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8846.16</v>
      </c>
      <c r="E31" s="105">
        <v>16756.12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7533.7099999999991</v>
      </c>
      <c r="E32" s="81">
        <f>SUM(E33:E39)</f>
        <v>2513.5599999999995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5761.12</v>
      </c>
      <c r="E33" s="105">
        <v>2507.2399999999998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9.61</v>
      </c>
      <c r="E35" s="105">
        <v>3.91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78.88</v>
      </c>
      <c r="E37" s="105">
        <v>2.41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1684.1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-1312.45</v>
      </c>
      <c r="E40" s="128">
        <v>479.2</v>
      </c>
      <c r="G40" s="84"/>
    </row>
    <row r="41" spans="2:10" ht="13.5" thickBot="1">
      <c r="B41" s="129" t="s">
        <v>37</v>
      </c>
      <c r="C41" s="130" t="s">
        <v>38</v>
      </c>
      <c r="D41" s="131">
        <v>0</v>
      </c>
      <c r="E41" s="181">
        <f>E26+E27+E40</f>
        <v>14721.76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/>
      <c r="G47" s="79"/>
    </row>
    <row r="48" spans="2:10">
      <c r="B48" s="154" t="s">
        <v>6</v>
      </c>
      <c r="C48" s="23" t="s">
        <v>41</v>
      </c>
      <c r="D48" s="264"/>
      <c r="E48" s="185">
        <v>139.19968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/>
    </row>
    <row r="51" spans="2:5">
      <c r="B51" s="133" t="s">
        <v>6</v>
      </c>
      <c r="C51" s="16" t="s">
        <v>231</v>
      </c>
      <c r="D51" s="267">
        <v>84.86</v>
      </c>
      <c r="E51" s="185">
        <v>77.88</v>
      </c>
    </row>
    <row r="52" spans="2:5">
      <c r="B52" s="133" t="s">
        <v>8</v>
      </c>
      <c r="C52" s="16" t="s">
        <v>232</v>
      </c>
      <c r="D52" s="267">
        <v>121.52</v>
      </c>
      <c r="E52" s="85">
        <v>107.68</v>
      </c>
    </row>
    <row r="53" spans="2:5" ht="13.5" thickBot="1">
      <c r="B53" s="134" t="s">
        <v>9</v>
      </c>
      <c r="C53" s="18" t="s">
        <v>41</v>
      </c>
      <c r="D53" s="268"/>
      <c r="E53" s="187">
        <v>105.76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14721.76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14721.76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14721.76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14721.76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130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382125.79</v>
      </c>
      <c r="E11" s="9">
        <f>E12</f>
        <v>81196.12</v>
      </c>
    </row>
    <row r="12" spans="2:7">
      <c r="B12" s="137" t="s">
        <v>4</v>
      </c>
      <c r="C12" s="6" t="s">
        <v>5</v>
      </c>
      <c r="D12" s="90">
        <v>382125.79</v>
      </c>
      <c r="E12" s="101">
        <v>81196.12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382125.79</v>
      </c>
      <c r="E21" s="181">
        <f>E11</f>
        <v>81196.12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19326.88</v>
      </c>
      <c r="E26" s="123">
        <f>D21</f>
        <v>382125.79</v>
      </c>
      <c r="G26" s="84"/>
    </row>
    <row r="27" spans="2:10">
      <c r="B27" s="10" t="s">
        <v>17</v>
      </c>
      <c r="C27" s="11" t="s">
        <v>228</v>
      </c>
      <c r="D27" s="182">
        <v>353148.38</v>
      </c>
      <c r="E27" s="180">
        <f>E28-E32</f>
        <v>-289748.67999999993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384791.97</v>
      </c>
      <c r="E28" s="81">
        <f>SUM(E29:E31)</f>
        <v>30295.22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30800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353991.97</v>
      </c>
      <c r="E31" s="105">
        <v>30295.22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31643.59</v>
      </c>
      <c r="E32" s="81">
        <f>SUM(E33:E39)</f>
        <v>320043.89999999997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6870.08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153.47</v>
      </c>
      <c r="E35" s="105">
        <v>201.55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5141.53</v>
      </c>
      <c r="E37" s="105">
        <v>3399.67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26348.59</v>
      </c>
      <c r="E39" s="184">
        <v>309572.59999999998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9650.5300000000007</v>
      </c>
      <c r="E40" s="128">
        <v>-11180.99</v>
      </c>
      <c r="G40" s="84"/>
    </row>
    <row r="41" spans="2:10" ht="13.5" thickBot="1">
      <c r="B41" s="129" t="s">
        <v>37</v>
      </c>
      <c r="C41" s="130" t="s">
        <v>38</v>
      </c>
      <c r="D41" s="131">
        <v>382125.79000000004</v>
      </c>
      <c r="E41" s="181">
        <f>E26+E27+E40</f>
        <v>81196.120000000039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235.66489999999999</v>
      </c>
      <c r="E47" s="185">
        <v>4167.5841</v>
      </c>
      <c r="G47" s="79"/>
    </row>
    <row r="48" spans="2:10">
      <c r="B48" s="154" t="s">
        <v>6</v>
      </c>
      <c r="C48" s="23" t="s">
        <v>41</v>
      </c>
      <c r="D48" s="264">
        <v>4167.5841</v>
      </c>
      <c r="E48" s="185">
        <v>810.50229999999999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82.01</v>
      </c>
      <c r="E50" s="185">
        <v>91.69</v>
      </c>
    </row>
    <row r="51" spans="2:5">
      <c r="B51" s="133" t="s">
        <v>6</v>
      </c>
      <c r="C51" s="16" t="s">
        <v>231</v>
      </c>
      <c r="D51" s="267">
        <v>80.56</v>
      </c>
      <c r="E51" s="85">
        <v>82.63</v>
      </c>
    </row>
    <row r="52" spans="2:5">
      <c r="B52" s="133" t="s">
        <v>8</v>
      </c>
      <c r="C52" s="16" t="s">
        <v>232</v>
      </c>
      <c r="D52" s="267">
        <v>96.39</v>
      </c>
      <c r="E52" s="85">
        <v>100.18</v>
      </c>
    </row>
    <row r="53" spans="2:5" ht="12.75" customHeight="1" thickBot="1">
      <c r="B53" s="134" t="s">
        <v>9</v>
      </c>
      <c r="C53" s="18" t="s">
        <v>41</v>
      </c>
      <c r="D53" s="268">
        <v>91.69</v>
      </c>
      <c r="E53" s="187">
        <v>100.18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81196.12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81196.12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81196.12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81196.12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58468.14</v>
      </c>
      <c r="E11" s="9">
        <f>E12</f>
        <v>52673.43</v>
      </c>
    </row>
    <row r="12" spans="2:7">
      <c r="B12" s="137" t="s">
        <v>4</v>
      </c>
      <c r="C12" s="6" t="s">
        <v>5</v>
      </c>
      <c r="D12" s="90">
        <v>58468.14</v>
      </c>
      <c r="E12" s="101">
        <v>52673.43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58468.14</v>
      </c>
      <c r="E21" s="181">
        <f>E11</f>
        <v>52673.43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f>D21</f>
        <v>58468.14</v>
      </c>
      <c r="G26" s="84"/>
    </row>
    <row r="27" spans="2:10">
      <c r="B27" s="10" t="s">
        <v>17</v>
      </c>
      <c r="C27" s="11" t="s">
        <v>228</v>
      </c>
      <c r="D27" s="182">
        <v>62042.26</v>
      </c>
      <c r="E27" s="180">
        <f>E28-E32</f>
        <v>-8078.78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62441.21</v>
      </c>
      <c r="E28" s="81"/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9000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53441.21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398.95</v>
      </c>
      <c r="E32" s="81">
        <f>SUM(E33:E39)</f>
        <v>8078.78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7043.46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45.63</v>
      </c>
      <c r="E35" s="105">
        <v>104.23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353.32</v>
      </c>
      <c r="E37" s="105">
        <v>931.09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-3574.12</v>
      </c>
      <c r="E40" s="128">
        <v>2284.0700000000002</v>
      </c>
      <c r="G40" s="84"/>
    </row>
    <row r="41" spans="2:10" ht="13.5" thickBot="1">
      <c r="B41" s="129" t="s">
        <v>37</v>
      </c>
      <c r="C41" s="130" t="s">
        <v>38</v>
      </c>
      <c r="D41" s="131">
        <v>58468.14</v>
      </c>
      <c r="E41" s="181">
        <f>E26+E27+E40</f>
        <v>52673.43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500.49770000000001</v>
      </c>
      <c r="G47" s="79"/>
    </row>
    <row r="48" spans="2:10">
      <c r="B48" s="154" t="s">
        <v>6</v>
      </c>
      <c r="C48" s="23" t="s">
        <v>41</v>
      </c>
      <c r="D48" s="264">
        <v>500.49770000000001</v>
      </c>
      <c r="E48" s="185">
        <v>427.44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116.82</v>
      </c>
    </row>
    <row r="51" spans="2:5">
      <c r="B51" s="133" t="s">
        <v>6</v>
      </c>
      <c r="C51" s="16" t="s">
        <v>231</v>
      </c>
      <c r="D51" s="267">
        <v>110.47</v>
      </c>
      <c r="E51" s="85">
        <v>104.60000000000001</v>
      </c>
    </row>
    <row r="52" spans="2:5">
      <c r="B52" s="133" t="s">
        <v>8</v>
      </c>
      <c r="C52" s="16" t="s">
        <v>232</v>
      </c>
      <c r="D52" s="267">
        <v>136.99</v>
      </c>
      <c r="E52" s="85">
        <v>123.23</v>
      </c>
    </row>
    <row r="53" spans="2:5" ht="13.5" customHeight="1" thickBot="1">
      <c r="B53" s="134" t="s">
        <v>9</v>
      </c>
      <c r="C53" s="18" t="s">
        <v>41</v>
      </c>
      <c r="D53" s="268">
        <v>116.82</v>
      </c>
      <c r="E53" s="187">
        <v>123.23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52673.43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52673.43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52673.43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52673.43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5058.6400000000003</v>
      </c>
      <c r="E11" s="9">
        <f>E12</f>
        <v>7702.11</v>
      </c>
    </row>
    <row r="12" spans="2:7">
      <c r="B12" s="137" t="s">
        <v>4</v>
      </c>
      <c r="C12" s="6" t="s">
        <v>5</v>
      </c>
      <c r="D12" s="90">
        <v>5058.6400000000003</v>
      </c>
      <c r="E12" s="101">
        <v>7702.11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5058.6400000000003</v>
      </c>
      <c r="E21" s="181">
        <f>E11</f>
        <v>7702.11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1747.64</v>
      </c>
      <c r="E26" s="123">
        <v>5058.6400000000003</v>
      </c>
      <c r="G26" s="84"/>
    </row>
    <row r="27" spans="2:10">
      <c r="B27" s="10" t="s">
        <v>17</v>
      </c>
      <c r="C27" s="11" t="s">
        <v>228</v>
      </c>
      <c r="D27" s="182">
        <v>5082.72</v>
      </c>
      <c r="E27" s="180">
        <f>E28-E32</f>
        <v>2000.8400000000001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16305.46</v>
      </c>
      <c r="E28" s="81">
        <f>SUM(E29:E31)</f>
        <v>7430.5599999999995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14101.31</v>
      </c>
      <c r="E29" s="105">
        <v>2482.6799999999998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2204.15</v>
      </c>
      <c r="E31" s="105">
        <v>4947.88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11222.74</v>
      </c>
      <c r="E32" s="81">
        <f>SUM(E33:E39)</f>
        <v>5429.7199999999993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2190.4499999999998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230.93</v>
      </c>
      <c r="E35" s="105">
        <v>320.39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69.67</v>
      </c>
      <c r="E37" s="105">
        <v>130.85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8731.69</v>
      </c>
      <c r="E39" s="184">
        <v>4978.4799999999996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-1771.72</v>
      </c>
      <c r="E40" s="128">
        <v>642.63</v>
      </c>
      <c r="G40" s="84"/>
    </row>
    <row r="41" spans="2:10" ht="13.5" thickBot="1">
      <c r="B41" s="129" t="s">
        <v>37</v>
      </c>
      <c r="C41" s="130" t="s">
        <v>38</v>
      </c>
      <c r="D41" s="131">
        <v>5058.6400000000003</v>
      </c>
      <c r="E41" s="181">
        <f>E26+E27+E40</f>
        <v>7702.1100000000006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257.00599999999997</v>
      </c>
      <c r="E47" s="185">
        <v>841.70299999999997</v>
      </c>
      <c r="G47" s="79"/>
    </row>
    <row r="48" spans="2:10">
      <c r="B48" s="154" t="s">
        <v>6</v>
      </c>
      <c r="C48" s="23" t="s">
        <v>41</v>
      </c>
      <c r="D48" s="264">
        <v>841.70299999999997</v>
      </c>
      <c r="E48" s="185">
        <v>1199.7049999999999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6.8</v>
      </c>
      <c r="E50" s="185">
        <v>6.01</v>
      </c>
    </row>
    <row r="51" spans="2:5">
      <c r="B51" s="133" t="s">
        <v>6</v>
      </c>
      <c r="C51" s="16" t="s">
        <v>231</v>
      </c>
      <c r="D51" s="267">
        <v>5.83</v>
      </c>
      <c r="E51" s="85">
        <v>5.18</v>
      </c>
    </row>
    <row r="52" spans="2:5">
      <c r="B52" s="133" t="s">
        <v>8</v>
      </c>
      <c r="C52" s="16" t="s">
        <v>232</v>
      </c>
      <c r="D52" s="267">
        <v>7.77</v>
      </c>
      <c r="E52" s="85">
        <v>6.54</v>
      </c>
    </row>
    <row r="53" spans="2:5" ht="13.5" customHeight="1" thickBot="1">
      <c r="B53" s="134" t="s">
        <v>9</v>
      </c>
      <c r="C53" s="18" t="s">
        <v>41</v>
      </c>
      <c r="D53" s="268">
        <v>6.01</v>
      </c>
      <c r="E53" s="187">
        <v>6.42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7702.11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7702.11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7702.11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7702.11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191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51003.22</v>
      </c>
      <c r="E11" s="9">
        <f>E12</f>
        <v>51862.78</v>
      </c>
    </row>
    <row r="12" spans="2:7">
      <c r="B12" s="137" t="s">
        <v>4</v>
      </c>
      <c r="C12" s="6" t="s">
        <v>5</v>
      </c>
      <c r="D12" s="90">
        <v>51003.22</v>
      </c>
      <c r="E12" s="101">
        <v>51862.78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51003.22</v>
      </c>
      <c r="E21" s="181">
        <f>E11</f>
        <v>51862.78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f>D21</f>
        <v>51003.22</v>
      </c>
      <c r="G26" s="84"/>
    </row>
    <row r="27" spans="2:10">
      <c r="B27" s="10" t="s">
        <v>17</v>
      </c>
      <c r="C27" s="11" t="s">
        <v>228</v>
      </c>
      <c r="D27" s="182">
        <v>52175.670000000006</v>
      </c>
      <c r="E27" s="180">
        <f>E28-E32</f>
        <v>-1270.06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57533.450000000004</v>
      </c>
      <c r="E28" s="81"/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56560.4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973.05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5357.78</v>
      </c>
      <c r="E32" s="81">
        <f>SUM(E33:E39)</f>
        <v>1270.06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1898.6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111.69</v>
      </c>
      <c r="E35" s="105">
        <v>315.95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201</v>
      </c>
      <c r="E37" s="105">
        <v>720.39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3146.49</v>
      </c>
      <c r="E39" s="184">
        <v>233.72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-1172.45</v>
      </c>
      <c r="E40" s="128">
        <v>2129.62</v>
      </c>
      <c r="G40" s="84"/>
    </row>
    <row r="41" spans="2:10" ht="13.5" thickBot="1">
      <c r="B41" s="129" t="s">
        <v>37</v>
      </c>
      <c r="C41" s="130" t="s">
        <v>38</v>
      </c>
      <c r="D41" s="131">
        <v>51003.220000000008</v>
      </c>
      <c r="E41" s="181">
        <f>E26+E27+E40</f>
        <v>51862.780000000006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5296.2849999999999</v>
      </c>
      <c r="G47" s="79"/>
    </row>
    <row r="48" spans="2:10">
      <c r="B48" s="154" t="s">
        <v>6</v>
      </c>
      <c r="C48" s="23" t="s">
        <v>41</v>
      </c>
      <c r="D48" s="264">
        <v>5296.2849999999999</v>
      </c>
      <c r="E48" s="185">
        <v>5165.616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9.6300000000000008</v>
      </c>
    </row>
    <row r="51" spans="2:5">
      <c r="B51" s="133" t="s">
        <v>6</v>
      </c>
      <c r="C51" s="16" t="s">
        <v>231</v>
      </c>
      <c r="D51" s="267">
        <v>9.39</v>
      </c>
      <c r="E51" s="185">
        <v>9.01</v>
      </c>
    </row>
    <row r="52" spans="2:5">
      <c r="B52" s="133" t="s">
        <v>8</v>
      </c>
      <c r="C52" s="16" t="s">
        <v>232</v>
      </c>
      <c r="D52" s="267">
        <v>10.1</v>
      </c>
      <c r="E52" s="85">
        <v>9.81</v>
      </c>
    </row>
    <row r="53" spans="2:5" ht="12.75" customHeight="1" thickBot="1">
      <c r="B53" s="134" t="s">
        <v>9</v>
      </c>
      <c r="C53" s="18" t="s">
        <v>41</v>
      </c>
      <c r="D53" s="268">
        <v>9.6300000000000008</v>
      </c>
      <c r="E53" s="187">
        <v>10.039999999999999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51862.78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51862.78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51862.78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51862.78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177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6689713.5300000003</v>
      </c>
      <c r="E11" s="9">
        <f>E12</f>
        <v>8930425.0099999998</v>
      </c>
    </row>
    <row r="12" spans="2:7">
      <c r="B12" s="137" t="s">
        <v>4</v>
      </c>
      <c r="C12" s="6" t="s">
        <v>5</v>
      </c>
      <c r="D12" s="90">
        <v>6689713.5300000003</v>
      </c>
      <c r="E12" s="101">
        <v>8930425.0099999998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6689713.5300000003</v>
      </c>
      <c r="E21" s="181">
        <f>E11</f>
        <v>8930425.0099999998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3134440.18</v>
      </c>
      <c r="E26" s="123">
        <v>6689713.5300000003</v>
      </c>
      <c r="G26" s="84"/>
    </row>
    <row r="27" spans="2:10">
      <c r="B27" s="10" t="s">
        <v>17</v>
      </c>
      <c r="C27" s="11" t="s">
        <v>228</v>
      </c>
      <c r="D27" s="182">
        <v>3617644.84</v>
      </c>
      <c r="E27" s="180">
        <f>E28-E32</f>
        <v>1591291.9300000006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3953414.01</v>
      </c>
      <c r="E28" s="81">
        <f>SUM(E29:E31)</f>
        <v>8082136.2700000005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1263563.76</v>
      </c>
      <c r="E29" s="105">
        <v>264339.74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2689850.25</v>
      </c>
      <c r="E31" s="105">
        <v>7817796.5300000003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335769.17</v>
      </c>
      <c r="E32" s="81">
        <f>SUM(E33:E39)</f>
        <v>6490844.3399999999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116734.95</v>
      </c>
      <c r="E33" s="105">
        <v>2054951.15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1667.68</v>
      </c>
      <c r="E35" s="105">
        <v>11684.6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67517.009999999995</v>
      </c>
      <c r="E37" s="105">
        <v>166539.59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149849.53</v>
      </c>
      <c r="E39" s="184">
        <v>4257669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-62371.49</v>
      </c>
      <c r="E40" s="128">
        <v>649419.55000000005</v>
      </c>
      <c r="G40" s="84"/>
    </row>
    <row r="41" spans="2:10" ht="13.5" thickBot="1">
      <c r="B41" s="129" t="s">
        <v>37</v>
      </c>
      <c r="C41" s="130" t="s">
        <v>38</v>
      </c>
      <c r="D41" s="131">
        <v>6689713.5299999993</v>
      </c>
      <c r="E41" s="181">
        <f>E26+E27+E40</f>
        <v>8930425.0100000016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183946.02</v>
      </c>
      <c r="E47" s="185">
        <v>394440.65600000002</v>
      </c>
      <c r="G47" s="79"/>
    </row>
    <row r="48" spans="2:10">
      <c r="B48" s="154" t="s">
        <v>6</v>
      </c>
      <c r="C48" s="23" t="s">
        <v>41</v>
      </c>
      <c r="D48" s="264">
        <v>394440.65600000002</v>
      </c>
      <c r="E48" s="185">
        <v>496686.59700000001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17.04</v>
      </c>
      <c r="E50" s="185">
        <v>16.96</v>
      </c>
    </row>
    <row r="51" spans="2:5">
      <c r="B51" s="133" t="s">
        <v>6</v>
      </c>
      <c r="C51" s="16" t="s">
        <v>231</v>
      </c>
      <c r="D51" s="267">
        <v>16.93</v>
      </c>
      <c r="E51" s="185">
        <v>16.510000000000002</v>
      </c>
    </row>
    <row r="52" spans="2:5">
      <c r="B52" s="133" t="s">
        <v>8</v>
      </c>
      <c r="C52" s="16" t="s">
        <v>232</v>
      </c>
      <c r="D52" s="267">
        <v>17.600000000000001</v>
      </c>
      <c r="E52" s="85">
        <v>18.079999999999998</v>
      </c>
    </row>
    <row r="53" spans="2:5" ht="12.75" customHeight="1" thickBot="1">
      <c r="B53" s="134" t="s">
        <v>9</v>
      </c>
      <c r="C53" s="18" t="s">
        <v>41</v>
      </c>
      <c r="D53" s="268">
        <v>16.96</v>
      </c>
      <c r="E53" s="187">
        <v>17.98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8930425.0099999998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8930425.0099999998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8930425.0099999998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8930425.0099999998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8" sqref="G2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192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529616.92000000004</v>
      </c>
      <c r="E11" s="9">
        <f>E12</f>
        <v>493752.73</v>
      </c>
    </row>
    <row r="12" spans="2:7">
      <c r="B12" s="137" t="s">
        <v>4</v>
      </c>
      <c r="C12" s="6" t="s">
        <v>5</v>
      </c>
      <c r="D12" s="90">
        <v>529616.92000000004</v>
      </c>
      <c r="E12" s="101">
        <v>493752.73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529616.92000000004</v>
      </c>
      <c r="E21" s="181">
        <f>E11</f>
        <v>493752.73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f>D21</f>
        <v>529616.92000000004</v>
      </c>
      <c r="G26" s="84"/>
    </row>
    <row r="27" spans="2:10">
      <c r="B27" s="10" t="s">
        <v>17</v>
      </c>
      <c r="C27" s="11" t="s">
        <v>228</v>
      </c>
      <c r="D27" s="182">
        <v>527913.43999999994</v>
      </c>
      <c r="E27" s="180">
        <f>E28-E32</f>
        <v>-41570.71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545370.30000000005</v>
      </c>
      <c r="E28" s="81">
        <f>SUM(E29:E31)</f>
        <v>21937.5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545370.30000000005</v>
      </c>
      <c r="E29" s="105">
        <v>21937.5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17456.86</v>
      </c>
      <c r="E32" s="81">
        <f>SUM(E33:E39)</f>
        <v>63508.21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14130.81</v>
      </c>
      <c r="E33" s="105">
        <v>53775.75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883.4</v>
      </c>
      <c r="E35" s="105">
        <v>2389.83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2442.65</v>
      </c>
      <c r="E37" s="105">
        <v>7342.63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1703.48</v>
      </c>
      <c r="E40" s="128">
        <v>5706.52</v>
      </c>
      <c r="G40" s="84"/>
    </row>
    <row r="41" spans="2:10" ht="13.5" thickBot="1">
      <c r="B41" s="129" t="s">
        <v>37</v>
      </c>
      <c r="C41" s="130" t="s">
        <v>38</v>
      </c>
      <c r="D41" s="131">
        <v>529616.91999999993</v>
      </c>
      <c r="E41" s="181">
        <f>E26+E27+E40</f>
        <v>493752.73000000004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51"/>
      <c r="D43" s="351"/>
      <c r="E43" s="351"/>
      <c r="G43" s="79"/>
    </row>
    <row r="44" spans="2:10" ht="18" customHeight="1" thickBot="1">
      <c r="B44" s="339" t="s">
        <v>256</v>
      </c>
      <c r="C44" s="350"/>
      <c r="D44" s="350"/>
      <c r="E44" s="350"/>
      <c r="G44" s="79"/>
    </row>
    <row r="45" spans="2:10" ht="13.5" thickBot="1">
      <c r="B45" s="26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283" t="s">
        <v>4</v>
      </c>
      <c r="C47" s="284" t="s">
        <v>40</v>
      </c>
      <c r="D47" s="263"/>
      <c r="E47" s="185">
        <v>44356.525999999998</v>
      </c>
      <c r="G47" s="79"/>
    </row>
    <row r="48" spans="2:10">
      <c r="B48" s="285" t="s">
        <v>6</v>
      </c>
      <c r="C48" s="286" t="s">
        <v>41</v>
      </c>
      <c r="D48" s="264">
        <v>44356.525999999998</v>
      </c>
      <c r="E48" s="185">
        <v>40907.434000000001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283" t="s">
        <v>4</v>
      </c>
      <c r="C50" s="284" t="s">
        <v>40</v>
      </c>
      <c r="D50" s="263"/>
      <c r="E50" s="185">
        <v>11.94</v>
      </c>
    </row>
    <row r="51" spans="2:5">
      <c r="B51" s="283" t="s">
        <v>6</v>
      </c>
      <c r="C51" s="284" t="s">
        <v>231</v>
      </c>
      <c r="D51" s="267">
        <v>11.84</v>
      </c>
      <c r="E51" s="185">
        <v>11.94</v>
      </c>
    </row>
    <row r="52" spans="2:5">
      <c r="B52" s="283" t="s">
        <v>8</v>
      </c>
      <c r="C52" s="284" t="s">
        <v>232</v>
      </c>
      <c r="D52" s="267">
        <v>11.94</v>
      </c>
      <c r="E52" s="85">
        <v>12.07</v>
      </c>
    </row>
    <row r="53" spans="2:5" ht="13.5" customHeight="1" thickBot="1">
      <c r="B53" s="287" t="s">
        <v>9</v>
      </c>
      <c r="C53" s="288" t="s">
        <v>41</v>
      </c>
      <c r="D53" s="268">
        <v>11.94</v>
      </c>
      <c r="E53" s="187">
        <v>12.07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493752.73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493752.73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493752.73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493752.73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81"/>
  <sheetViews>
    <sheetView topLeftCell="A49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105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284340.92000000004</v>
      </c>
      <c r="E11" s="9">
        <f>E12+E13+E14</f>
        <v>330936.65000000002</v>
      </c>
    </row>
    <row r="12" spans="2:7">
      <c r="B12" s="137" t="s">
        <v>4</v>
      </c>
      <c r="C12" s="6" t="s">
        <v>5</v>
      </c>
      <c r="D12" s="90">
        <v>284125.02</v>
      </c>
      <c r="E12" s="101">
        <f>306576.34+22563.66+0.06</f>
        <v>329140.06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>
        <v>215.9</v>
      </c>
      <c r="E14" s="101">
        <f>E15</f>
        <v>1796.5900000000001</v>
      </c>
    </row>
    <row r="15" spans="2:7">
      <c r="B15" s="137" t="s">
        <v>223</v>
      </c>
      <c r="C15" s="72" t="s">
        <v>11</v>
      </c>
      <c r="D15" s="90">
        <v>215.9</v>
      </c>
      <c r="E15" s="101">
        <f>1216+580.59</f>
        <v>1796.5900000000001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585.76</v>
      </c>
      <c r="E17" s="117">
        <f>E18</f>
        <v>636.20000000000005</v>
      </c>
    </row>
    <row r="18" spans="2:10">
      <c r="B18" s="137" t="s">
        <v>4</v>
      </c>
      <c r="C18" s="6" t="s">
        <v>11</v>
      </c>
      <c r="D18" s="90">
        <v>585.76</v>
      </c>
      <c r="E18" s="102">
        <v>636.20000000000005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283755.16000000003</v>
      </c>
      <c r="E21" s="104">
        <f>E11-E17</f>
        <v>330300.45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6.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37736.380000000005</v>
      </c>
      <c r="E26" s="123">
        <v>283755.16000000003</v>
      </c>
      <c r="G26" s="84"/>
    </row>
    <row r="27" spans="2:10">
      <c r="B27" s="10" t="s">
        <v>17</v>
      </c>
      <c r="C27" s="11" t="s">
        <v>228</v>
      </c>
      <c r="D27" s="182">
        <v>246014.5</v>
      </c>
      <c r="E27" s="180">
        <f>E28-E32</f>
        <v>35832.44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297925.61</v>
      </c>
      <c r="E28" s="81">
        <f>SUM(E29:E31)</f>
        <v>152467.56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247421.3</v>
      </c>
      <c r="E29" s="105">
        <v>134531.69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50504.31</v>
      </c>
      <c r="E31" s="105">
        <v>17935.87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51911.11</v>
      </c>
      <c r="E32" s="81">
        <f>SUM(E33:E39)</f>
        <v>116635.12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36737.64</v>
      </c>
      <c r="E33" s="105">
        <v>26875.96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7578.22</v>
      </c>
      <c r="E35" s="105">
        <v>11748.69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7595.25</v>
      </c>
      <c r="E39" s="184">
        <v>78010.47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4.28</v>
      </c>
      <c r="E40" s="128">
        <v>10712.85</v>
      </c>
      <c r="G40" s="84"/>
    </row>
    <row r="41" spans="2:10" ht="13.5" thickBot="1">
      <c r="B41" s="129" t="s">
        <v>37</v>
      </c>
      <c r="C41" s="130" t="s">
        <v>38</v>
      </c>
      <c r="D41" s="131">
        <v>283755.16000000003</v>
      </c>
      <c r="E41" s="181">
        <f>E26+E27+E40</f>
        <v>330300.45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6.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3673.7130000000002</v>
      </c>
      <c r="E47" s="83">
        <v>27892.066800000001</v>
      </c>
      <c r="G47" s="79"/>
    </row>
    <row r="48" spans="2:10">
      <c r="B48" s="154" t="s">
        <v>6</v>
      </c>
      <c r="C48" s="23" t="s">
        <v>41</v>
      </c>
      <c r="D48" s="264">
        <v>27892.066800000001</v>
      </c>
      <c r="E48" s="83">
        <v>31299.363300000001</v>
      </c>
      <c r="G48" s="315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10.272</v>
      </c>
      <c r="E50" s="83">
        <v>10.173328568107401</v>
      </c>
    </row>
    <row r="51" spans="2:5">
      <c r="B51" s="133" t="s">
        <v>6</v>
      </c>
      <c r="C51" s="16" t="s">
        <v>231</v>
      </c>
      <c r="D51" s="314">
        <v>9.8530999999999995</v>
      </c>
      <c r="E51" s="85">
        <v>9.7194000000000003</v>
      </c>
    </row>
    <row r="52" spans="2:5">
      <c r="B52" s="133" t="s">
        <v>8</v>
      </c>
      <c r="C52" s="16" t="s">
        <v>232</v>
      </c>
      <c r="D52" s="314">
        <v>10.913</v>
      </c>
      <c r="E52" s="85">
        <v>10.6043</v>
      </c>
    </row>
    <row r="53" spans="2:5" ht="13.5" thickBot="1">
      <c r="B53" s="134" t="s">
        <v>9</v>
      </c>
      <c r="C53" s="18" t="s">
        <v>41</v>
      </c>
      <c r="D53" s="268">
        <v>10.173328568107401</v>
      </c>
      <c r="E53" s="187">
        <v>10.552944698398999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329140.06000000006</v>
      </c>
      <c r="E58" s="33">
        <f>D58/E21</f>
        <v>0.99648686521619956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306576.34000000003</v>
      </c>
      <c r="E64" s="97">
        <f>D64/E21</f>
        <v>0.92817415174578177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22563.66+0.06</f>
        <v>22563.72</v>
      </c>
      <c r="E69" s="95">
        <f>D69/E21</f>
        <v>6.8312713470417619E-2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0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1796.5900000000001</v>
      </c>
      <c r="E72" s="150">
        <f>D72/E21</f>
        <v>5.4392599222919617E-3</v>
      </c>
    </row>
    <row r="73" spans="2:5">
      <c r="B73" s="24" t="s">
        <v>62</v>
      </c>
      <c r="C73" s="25" t="s">
        <v>65</v>
      </c>
      <c r="D73" s="26">
        <f>E17</f>
        <v>636.20000000000005</v>
      </c>
      <c r="E73" s="27">
        <f>D73/E21</f>
        <v>1.9261251384913342E-3</v>
      </c>
    </row>
    <row r="74" spans="2:5">
      <c r="B74" s="151" t="s">
        <v>64</v>
      </c>
      <c r="C74" s="152" t="s">
        <v>66</v>
      </c>
      <c r="D74" s="153">
        <f>D58+D71+D72-D73</f>
        <v>330300.45000000007</v>
      </c>
      <c r="E74" s="70">
        <f>E58+E72-E73</f>
        <v>1</v>
      </c>
    </row>
    <row r="75" spans="2:5">
      <c r="B75" s="15" t="s">
        <v>4</v>
      </c>
      <c r="C75" s="16" t="s">
        <v>67</v>
      </c>
      <c r="D75" s="94">
        <f>D74</f>
        <v>330300.45000000007</v>
      </c>
      <c r="E75" s="95">
        <f>E74</f>
        <v>1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193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4036994.82</v>
      </c>
      <c r="E11" s="9">
        <f>E12</f>
        <v>1027197.07</v>
      </c>
    </row>
    <row r="12" spans="2:7">
      <c r="B12" s="137" t="s">
        <v>4</v>
      </c>
      <c r="C12" s="6" t="s">
        <v>5</v>
      </c>
      <c r="D12" s="90">
        <v>4036994.82</v>
      </c>
      <c r="E12" s="101">
        <v>1027197.07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4036994.82</v>
      </c>
      <c r="E21" s="181">
        <f>E11</f>
        <v>1027197.07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4036994.82</v>
      </c>
      <c r="G26" s="84"/>
    </row>
    <row r="27" spans="2:10">
      <c r="B27" s="10" t="s">
        <v>17</v>
      </c>
      <c r="C27" s="11" t="s">
        <v>228</v>
      </c>
      <c r="D27" s="182">
        <v>4115140.01</v>
      </c>
      <c r="E27" s="180">
        <f>E28-E32</f>
        <v>-2980272.4200000004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6750538.7599999998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4611920.01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2138618.75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2635398.75</v>
      </c>
      <c r="E32" s="81">
        <f>SUM(E33:E39)</f>
        <v>2980272.4200000004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111207.48</v>
      </c>
      <c r="E33" s="105">
        <v>362711.49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519</v>
      </c>
      <c r="E35" s="105">
        <v>2144.75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46139.19</v>
      </c>
      <c r="E37" s="105">
        <v>30106.21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2477533.08</v>
      </c>
      <c r="E39" s="184">
        <v>2585309.9700000002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-78145.19</v>
      </c>
      <c r="E40" s="128">
        <v>-29525.33</v>
      </c>
      <c r="G40" s="84"/>
    </row>
    <row r="41" spans="2:10" ht="13.5" thickBot="1">
      <c r="B41" s="129" t="s">
        <v>37</v>
      </c>
      <c r="C41" s="130" t="s">
        <v>38</v>
      </c>
      <c r="D41" s="131">
        <v>4036994.82</v>
      </c>
      <c r="E41" s="181">
        <f>E26+E27+E40</f>
        <v>1027197.0699999995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363693.22700000001</v>
      </c>
      <c r="G47" s="79"/>
    </row>
    <row r="48" spans="2:10">
      <c r="B48" s="154" t="s">
        <v>6</v>
      </c>
      <c r="C48" s="23" t="s">
        <v>41</v>
      </c>
      <c r="D48" s="264">
        <v>363693.22700000001</v>
      </c>
      <c r="E48" s="185">
        <v>89789.953999999998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11.1</v>
      </c>
    </row>
    <row r="51" spans="2:5">
      <c r="B51" s="133" t="s">
        <v>6</v>
      </c>
      <c r="C51" s="16" t="s">
        <v>231</v>
      </c>
      <c r="D51" s="267">
        <v>10.36</v>
      </c>
      <c r="E51" s="185">
        <v>9.9700000000000006</v>
      </c>
    </row>
    <row r="52" spans="2:5">
      <c r="B52" s="133" t="s">
        <v>8</v>
      </c>
      <c r="C52" s="16" t="s">
        <v>232</v>
      </c>
      <c r="D52" s="267">
        <v>11.67</v>
      </c>
      <c r="E52" s="85">
        <v>11.45</v>
      </c>
    </row>
    <row r="53" spans="2:5" ht="13.5" customHeight="1" thickBot="1">
      <c r="B53" s="134" t="s">
        <v>9</v>
      </c>
      <c r="C53" s="18" t="s">
        <v>41</v>
      </c>
      <c r="D53" s="268">
        <v>11.1</v>
      </c>
      <c r="E53" s="187">
        <v>11.44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1027197.07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1027197.07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1027197.07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1027197.07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176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83818.22</v>
      </c>
      <c r="E11" s="9">
        <f>E12</f>
        <v>121286.87</v>
      </c>
    </row>
    <row r="12" spans="2:7">
      <c r="B12" s="137" t="s">
        <v>4</v>
      </c>
      <c r="C12" s="6" t="s">
        <v>5</v>
      </c>
      <c r="D12" s="90">
        <v>83818.22</v>
      </c>
      <c r="E12" s="101">
        <v>121286.87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83818.22</v>
      </c>
      <c r="E21" s="181">
        <f>E11</f>
        <v>121286.87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30899.23</v>
      </c>
      <c r="E26" s="123">
        <v>83818.22</v>
      </c>
      <c r="G26" s="84"/>
    </row>
    <row r="27" spans="2:10">
      <c r="B27" s="10" t="s">
        <v>17</v>
      </c>
      <c r="C27" s="11" t="s">
        <v>228</v>
      </c>
      <c r="D27" s="182">
        <v>67245.36</v>
      </c>
      <c r="E27" s="108">
        <f>E28-E32</f>
        <v>25241.190000000002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71524.53</v>
      </c>
      <c r="E28" s="81">
        <f>SUM(E29:E31)</f>
        <v>89513.14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70623</v>
      </c>
      <c r="E29" s="105">
        <v>5913.25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901.53</v>
      </c>
      <c r="E31" s="105">
        <v>83599.89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4279.17</v>
      </c>
      <c r="E32" s="81">
        <f>SUM(E33:E39)</f>
        <v>64271.95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34242.65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196.53</v>
      </c>
      <c r="E35" s="105">
        <v>428.79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629.9</v>
      </c>
      <c r="E37" s="105">
        <v>1327.67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3452.74</v>
      </c>
      <c r="E39" s="106">
        <v>28272.84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-14326.37</v>
      </c>
      <c r="E40" s="128">
        <v>12227.46</v>
      </c>
      <c r="G40" s="84"/>
    </row>
    <row r="41" spans="2:10" ht="13.5" thickBot="1">
      <c r="B41" s="129" t="s">
        <v>37</v>
      </c>
      <c r="C41" s="130" t="s">
        <v>38</v>
      </c>
      <c r="D41" s="131">
        <v>83818.22</v>
      </c>
      <c r="E41" s="104">
        <f>E26+E27+E40</f>
        <v>121286.87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4591.268</v>
      </c>
      <c r="E47" s="185">
        <v>15407.761</v>
      </c>
      <c r="G47" s="79"/>
    </row>
    <row r="48" spans="2:10">
      <c r="B48" s="154" t="s">
        <v>6</v>
      </c>
      <c r="C48" s="23" t="s">
        <v>41</v>
      </c>
      <c r="D48" s="264">
        <v>15407.761</v>
      </c>
      <c r="E48" s="185">
        <v>19436.999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6.73</v>
      </c>
      <c r="E50" s="185">
        <v>5.44</v>
      </c>
    </row>
    <row r="51" spans="2:5">
      <c r="B51" s="133" t="s">
        <v>6</v>
      </c>
      <c r="C51" s="16" t="s">
        <v>231</v>
      </c>
      <c r="D51" s="267">
        <v>5.32</v>
      </c>
      <c r="E51" s="185">
        <v>5.04</v>
      </c>
    </row>
    <row r="52" spans="2:5">
      <c r="B52" s="133" t="s">
        <v>8</v>
      </c>
      <c r="C52" s="16" t="s">
        <v>232</v>
      </c>
      <c r="D52" s="267">
        <v>6.96</v>
      </c>
      <c r="E52" s="185">
        <v>6.29</v>
      </c>
    </row>
    <row r="53" spans="2:5" ht="13.5" customHeight="1" thickBot="1">
      <c r="B53" s="134" t="s">
        <v>9</v>
      </c>
      <c r="C53" s="18" t="s">
        <v>41</v>
      </c>
      <c r="D53" s="268">
        <v>5.44</v>
      </c>
      <c r="E53" s="187">
        <v>6.24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121286.87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121286.87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121286.87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121286.87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131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16394.59</v>
      </c>
      <c r="E11" s="9">
        <f>E12</f>
        <v>1811.58</v>
      </c>
    </row>
    <row r="12" spans="2:7">
      <c r="B12" s="272" t="s">
        <v>4</v>
      </c>
      <c r="C12" s="273" t="s">
        <v>5</v>
      </c>
      <c r="D12" s="90">
        <v>16394.59</v>
      </c>
      <c r="E12" s="101">
        <v>1811.58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16394.59</v>
      </c>
      <c r="E21" s="181">
        <f>E11</f>
        <v>1811.58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19552.240000000002</v>
      </c>
      <c r="E26" s="123">
        <f>D21</f>
        <v>16394.59</v>
      </c>
      <c r="G26" s="84"/>
    </row>
    <row r="27" spans="2:10">
      <c r="B27" s="10" t="s">
        <v>17</v>
      </c>
      <c r="C27" s="11" t="s">
        <v>228</v>
      </c>
      <c r="D27" s="182">
        <v>16.599999999999909</v>
      </c>
      <c r="E27" s="180">
        <f>E28-E32</f>
        <v>-13860.65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1514.1599999999999</v>
      </c>
      <c r="E28" s="81">
        <f>SUM(E29:E31)</f>
        <v>1825.98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512.74</v>
      </c>
      <c r="E29" s="105">
        <v>783.5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>
        <v>1001.42</v>
      </c>
      <c r="E31" s="105">
        <v>1042.48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1497.56</v>
      </c>
      <c r="E32" s="81">
        <f>SUM(E33:E39)</f>
        <v>15686.63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1206.1099999999999</v>
      </c>
      <c r="E33" s="105">
        <v>14272.57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12.75</v>
      </c>
      <c r="E35" s="105">
        <v>43.39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278.7</v>
      </c>
      <c r="E37" s="105">
        <v>64.62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>
        <v>1306.05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-3174.25</v>
      </c>
      <c r="E40" s="128">
        <v>-722.36</v>
      </c>
      <c r="G40" s="84"/>
    </row>
    <row r="41" spans="2:10" ht="13.5" thickBot="1">
      <c r="B41" s="129" t="s">
        <v>37</v>
      </c>
      <c r="C41" s="130" t="s">
        <v>38</v>
      </c>
      <c r="D41" s="131">
        <v>16394.59</v>
      </c>
      <c r="E41" s="181">
        <f>E26+E27+E40</f>
        <v>1811.5800000000004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847.51800000000003</v>
      </c>
      <c r="E47" s="185">
        <v>845.08199999999999</v>
      </c>
      <c r="G47" s="79"/>
    </row>
    <row r="48" spans="2:10">
      <c r="B48" s="154" t="s">
        <v>6</v>
      </c>
      <c r="C48" s="23" t="s">
        <v>41</v>
      </c>
      <c r="D48" s="264">
        <v>845.08199999999999</v>
      </c>
      <c r="E48" s="185">
        <v>88.025999999999996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23.07</v>
      </c>
      <c r="E50" s="185">
        <v>19.399999999999999</v>
      </c>
    </row>
    <row r="51" spans="2:5">
      <c r="B51" s="133" t="s">
        <v>6</v>
      </c>
      <c r="C51" s="16" t="s">
        <v>231</v>
      </c>
      <c r="D51" s="267">
        <v>18.64</v>
      </c>
      <c r="E51" s="185">
        <v>17.62</v>
      </c>
    </row>
    <row r="52" spans="2:5">
      <c r="B52" s="133" t="s">
        <v>8</v>
      </c>
      <c r="C52" s="16" t="s">
        <v>232</v>
      </c>
      <c r="D52" s="267">
        <v>24.58</v>
      </c>
      <c r="E52" s="85">
        <v>20.58</v>
      </c>
    </row>
    <row r="53" spans="2:5" ht="14.25" customHeight="1" thickBot="1">
      <c r="B53" s="134" t="s">
        <v>9</v>
      </c>
      <c r="C53" s="18" t="s">
        <v>41</v>
      </c>
      <c r="D53" s="268">
        <v>19.399999999999999</v>
      </c>
      <c r="E53" s="187">
        <v>20.58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1811.58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1811.58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1811.58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1811.58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11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132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1413232.11</v>
      </c>
      <c r="E11" s="9">
        <f>E12</f>
        <v>706836.52</v>
      </c>
    </row>
    <row r="12" spans="2:7">
      <c r="B12" s="137" t="s">
        <v>4</v>
      </c>
      <c r="C12" s="6" t="s">
        <v>5</v>
      </c>
      <c r="D12" s="90">
        <v>1413232.11</v>
      </c>
      <c r="E12" s="101">
        <v>706836.52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1413232.11</v>
      </c>
      <c r="E21" s="181">
        <f>E11</f>
        <v>706836.52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47981.919999999998</v>
      </c>
      <c r="E26" s="123">
        <v>1413232.11</v>
      </c>
      <c r="G26" s="84"/>
    </row>
    <row r="27" spans="2:10">
      <c r="B27" s="10" t="s">
        <v>17</v>
      </c>
      <c r="C27" s="11" t="s">
        <v>228</v>
      </c>
      <c r="D27" s="182">
        <v>1493973.32</v>
      </c>
      <c r="E27" s="180">
        <f>E28-E32</f>
        <v>-775158.29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3201621.17</v>
      </c>
      <c r="E28" s="81">
        <f>SUM(E29:E31)</f>
        <v>21560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1556834.29</v>
      </c>
      <c r="E29" s="105">
        <v>21560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1644786.88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1707647.85</v>
      </c>
      <c r="E32" s="81">
        <f>SUM(E33:E39)</f>
        <v>796718.29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87179.17</v>
      </c>
      <c r="E33" s="105">
        <v>563308.98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342.98</v>
      </c>
      <c r="E35" s="105">
        <v>111.84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20761.61</v>
      </c>
      <c r="E37" s="105">
        <v>15210.78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1599364.09</v>
      </c>
      <c r="E39" s="184">
        <v>218086.69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-128723.13</v>
      </c>
      <c r="E40" s="128">
        <v>68762.7</v>
      </c>
      <c r="G40" s="84"/>
    </row>
    <row r="41" spans="2:10" ht="13.5" thickBot="1">
      <c r="B41" s="129" t="s">
        <v>37</v>
      </c>
      <c r="C41" s="130" t="s">
        <v>38</v>
      </c>
      <c r="D41" s="131">
        <v>1413232.1099999999</v>
      </c>
      <c r="E41" s="181">
        <f>E26+E27+E40</f>
        <v>706836.52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2845.9029999999998</v>
      </c>
      <c r="E47" s="185">
        <v>79888.756999999998</v>
      </c>
      <c r="G47" s="79"/>
    </row>
    <row r="48" spans="2:10">
      <c r="B48" s="154" t="s">
        <v>6</v>
      </c>
      <c r="C48" s="23" t="s">
        <v>41</v>
      </c>
      <c r="D48" s="264">
        <v>79888.756999999998</v>
      </c>
      <c r="E48" s="185">
        <v>36173.824000000001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16.86</v>
      </c>
      <c r="E50" s="185">
        <v>17.690000000000001</v>
      </c>
    </row>
    <row r="51" spans="2:5">
      <c r="B51" s="133" t="s">
        <v>6</v>
      </c>
      <c r="C51" s="16" t="s">
        <v>231</v>
      </c>
      <c r="D51" s="267">
        <v>16.73</v>
      </c>
      <c r="E51" s="185">
        <v>15.8</v>
      </c>
    </row>
    <row r="52" spans="2:5">
      <c r="B52" s="133" t="s">
        <v>8</v>
      </c>
      <c r="C52" s="16" t="s">
        <v>232</v>
      </c>
      <c r="D52" s="267">
        <v>19.53</v>
      </c>
      <c r="E52" s="85">
        <v>19.54</v>
      </c>
    </row>
    <row r="53" spans="2:5" ht="13.5" customHeight="1" thickBot="1">
      <c r="B53" s="134" t="s">
        <v>9</v>
      </c>
      <c r="C53" s="18" t="s">
        <v>41</v>
      </c>
      <c r="D53" s="268">
        <v>17.690000000000001</v>
      </c>
      <c r="E53" s="187">
        <v>19.54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706836.52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706836.52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706836.52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706836.52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133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17720.12</v>
      </c>
      <c r="E11" s="9">
        <f>E12</f>
        <v>7502.16</v>
      </c>
    </row>
    <row r="12" spans="2:7">
      <c r="B12" s="137" t="s">
        <v>4</v>
      </c>
      <c r="C12" s="6" t="s">
        <v>5</v>
      </c>
      <c r="D12" s="90">
        <v>17720.12</v>
      </c>
      <c r="E12" s="101">
        <v>7502.16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17720.12</v>
      </c>
      <c r="E21" s="181">
        <f>E11</f>
        <v>7502.16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13165.56</v>
      </c>
      <c r="E26" s="123">
        <v>17720.12</v>
      </c>
      <c r="G26" s="84"/>
    </row>
    <row r="27" spans="2:10">
      <c r="B27" s="10" t="s">
        <v>17</v>
      </c>
      <c r="C27" s="11" t="s">
        <v>228</v>
      </c>
      <c r="D27" s="182">
        <v>4278.8599999999997</v>
      </c>
      <c r="E27" s="180">
        <f>E28-E32</f>
        <v>-10478.499999999998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30095.769999999997</v>
      </c>
      <c r="E28" s="81">
        <f>SUM(E29:E31)</f>
        <v>6328.1900000000005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4673.51</v>
      </c>
      <c r="E29" s="105">
        <v>5990.92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25422.26</v>
      </c>
      <c r="E31" s="105">
        <v>337.27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25816.91</v>
      </c>
      <c r="E32" s="81">
        <f>SUM(E33:E39)</f>
        <v>16806.689999999999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1654.48</v>
      </c>
      <c r="E33" s="105">
        <v>2387.1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264.76</v>
      </c>
      <c r="E35" s="105">
        <v>337.68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238.09</v>
      </c>
      <c r="E37" s="105">
        <v>233.14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23659.58</v>
      </c>
      <c r="E39" s="184">
        <v>13848.77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275.7</v>
      </c>
      <c r="E40" s="128">
        <v>260.54000000000002</v>
      </c>
      <c r="G40" s="84"/>
    </row>
    <row r="41" spans="2:10" ht="13.5" thickBot="1">
      <c r="B41" s="129" t="s">
        <v>37</v>
      </c>
      <c r="C41" s="130" t="s">
        <v>38</v>
      </c>
      <c r="D41" s="131">
        <v>17720.12</v>
      </c>
      <c r="E41" s="181">
        <f>E26+E27+E40</f>
        <v>7502.1600000000008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238.37700000000001</v>
      </c>
      <c r="E47" s="185">
        <v>319.22399999999999</v>
      </c>
      <c r="G47" s="79"/>
    </row>
    <row r="48" spans="2:10">
      <c r="B48" s="154" t="s">
        <v>6</v>
      </c>
      <c r="C48" s="23" t="s">
        <v>41</v>
      </c>
      <c r="D48" s="264">
        <v>319.22399999999999</v>
      </c>
      <c r="E48" s="185">
        <v>134.73699999999999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55.23</v>
      </c>
      <c r="E50" s="185">
        <v>55.51</v>
      </c>
    </row>
    <row r="51" spans="2:5">
      <c r="B51" s="133" t="s">
        <v>6</v>
      </c>
      <c r="C51" s="16" t="s">
        <v>231</v>
      </c>
      <c r="D51" s="267">
        <v>54.51</v>
      </c>
      <c r="E51" s="185">
        <v>55.32</v>
      </c>
    </row>
    <row r="52" spans="2:5">
      <c r="B52" s="133" t="s">
        <v>8</v>
      </c>
      <c r="C52" s="16" t="s">
        <v>232</v>
      </c>
      <c r="D52" s="267">
        <v>55.93</v>
      </c>
      <c r="E52" s="85">
        <v>56.75</v>
      </c>
    </row>
    <row r="53" spans="2:5" ht="12.75" customHeight="1" thickBot="1">
      <c r="B53" s="134" t="s">
        <v>9</v>
      </c>
      <c r="C53" s="18" t="s">
        <v>41</v>
      </c>
      <c r="D53" s="268">
        <v>55.51</v>
      </c>
      <c r="E53" s="187">
        <v>55.68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7502.16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7502.16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7502.16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7502.16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134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6304696.0300000003</v>
      </c>
      <c r="E11" s="9">
        <f>E12</f>
        <v>5512019.5499999998</v>
      </c>
    </row>
    <row r="12" spans="2:7">
      <c r="B12" s="272" t="s">
        <v>4</v>
      </c>
      <c r="C12" s="273" t="s">
        <v>5</v>
      </c>
      <c r="D12" s="90">
        <v>6304696.0300000003</v>
      </c>
      <c r="E12" s="101">
        <v>5512019.5499999998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6304696.0300000003</v>
      </c>
      <c r="E21" s="181">
        <f>E11</f>
        <v>5512019.5499999998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2231448.67</v>
      </c>
      <c r="E26" s="123">
        <v>6304696.0300000003</v>
      </c>
      <c r="G26" s="84"/>
    </row>
    <row r="27" spans="2:10">
      <c r="B27" s="10" t="s">
        <v>17</v>
      </c>
      <c r="C27" s="11" t="s">
        <v>228</v>
      </c>
      <c r="D27" s="182">
        <v>4037170.58</v>
      </c>
      <c r="E27" s="180">
        <f>E28-E32</f>
        <v>-863563.99000000046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4145912.67</v>
      </c>
      <c r="E28" s="81">
        <f>SUM(E29:E31)</f>
        <v>2056153.14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1337500.19</v>
      </c>
      <c r="E29" s="105">
        <v>424999.91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>
        <v>2808412.48</v>
      </c>
      <c r="E31" s="105">
        <v>1631153.23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108742.09</v>
      </c>
      <c r="E32" s="81">
        <f>SUM(E33:E39)</f>
        <v>2919717.1300000004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2999.8</v>
      </c>
      <c r="E33" s="105">
        <v>2804078.37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1101.75</v>
      </c>
      <c r="E35" s="105">
        <v>4108.6000000000004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55230.78</v>
      </c>
      <c r="E37" s="105">
        <v>111530.16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>
        <v>49409.760000000002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36076.78</v>
      </c>
      <c r="E40" s="128">
        <v>70887.509999999995</v>
      </c>
      <c r="G40" s="84"/>
    </row>
    <row r="41" spans="2:10" ht="13.5" thickBot="1">
      <c r="B41" s="129" t="s">
        <v>37</v>
      </c>
      <c r="C41" s="130" t="s">
        <v>38</v>
      </c>
      <c r="D41" s="131">
        <v>6304696.0300000003</v>
      </c>
      <c r="E41" s="181">
        <f>E26+E27+E40</f>
        <v>5512019.5499999998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12141.956</v>
      </c>
      <c r="E47" s="185">
        <v>33936.355000000003</v>
      </c>
      <c r="G47" s="79"/>
    </row>
    <row r="48" spans="2:10">
      <c r="B48" s="154" t="s">
        <v>6</v>
      </c>
      <c r="C48" s="23" t="s">
        <v>41</v>
      </c>
      <c r="D48" s="264">
        <v>33936.355000000003</v>
      </c>
      <c r="E48" s="185">
        <v>29359.857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183.78</v>
      </c>
      <c r="E50" s="185">
        <v>185.78</v>
      </c>
    </row>
    <row r="51" spans="2:5">
      <c r="B51" s="133" t="s">
        <v>6</v>
      </c>
      <c r="C51" s="16" t="s">
        <v>231</v>
      </c>
      <c r="D51" s="267">
        <v>183.87</v>
      </c>
      <c r="E51" s="185">
        <v>185.59</v>
      </c>
    </row>
    <row r="52" spans="2:5">
      <c r="B52" s="133" t="s">
        <v>8</v>
      </c>
      <c r="C52" s="16" t="s">
        <v>232</v>
      </c>
      <c r="D52" s="267">
        <v>185.8</v>
      </c>
      <c r="E52" s="85">
        <v>187.93</v>
      </c>
    </row>
    <row r="53" spans="2:5" ht="12.75" customHeight="1" thickBot="1">
      <c r="B53" s="134" t="s">
        <v>9</v>
      </c>
      <c r="C53" s="18" t="s">
        <v>41</v>
      </c>
      <c r="D53" s="268">
        <v>185.78</v>
      </c>
      <c r="E53" s="187">
        <v>187.74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5512019.5499999998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5512019.5499999998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5512019.5499999998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5512019.5499999998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6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29" sqref="E29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135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8191871.0899999999</v>
      </c>
      <c r="E11" s="9">
        <f>E12</f>
        <v>11855300.560000001</v>
      </c>
    </row>
    <row r="12" spans="2:7">
      <c r="B12" s="137" t="s">
        <v>4</v>
      </c>
      <c r="C12" s="6" t="s">
        <v>5</v>
      </c>
      <c r="D12" s="90">
        <v>8191871.0899999999</v>
      </c>
      <c r="E12" s="101">
        <v>11855300.560000001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8191871.0899999999</v>
      </c>
      <c r="E21" s="181">
        <f>E11</f>
        <v>11855300.560000001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5344133.6399999997</v>
      </c>
      <c r="E26" s="123">
        <v>8191871.0899999999</v>
      </c>
      <c r="G26" s="84"/>
    </row>
    <row r="27" spans="2:10">
      <c r="B27" s="10" t="s">
        <v>17</v>
      </c>
      <c r="C27" s="11" t="s">
        <v>228</v>
      </c>
      <c r="D27" s="182">
        <v>2730850.26</v>
      </c>
      <c r="E27" s="108">
        <f>E28-E32</f>
        <v>3569058.2499999991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13663005.76</v>
      </c>
      <c r="E28" s="81">
        <f>SUM(E29:E31)</f>
        <v>10171044.27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4742734.01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8920271.75</v>
      </c>
      <c r="E31" s="105">
        <v>10171044.27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10932155.5</v>
      </c>
      <c r="E32" s="81">
        <f>SUM(E33:E39)</f>
        <v>6601986.0200000005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49871.01</v>
      </c>
      <c r="E33" s="105">
        <v>5167714.3600000003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6120.13</v>
      </c>
      <c r="E35" s="105">
        <v>48071.58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123276.31</v>
      </c>
      <c r="E37" s="105">
        <v>169898.38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10752888.050000001</v>
      </c>
      <c r="E39" s="106">
        <v>1216301.7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116887.19</v>
      </c>
      <c r="E40" s="128">
        <v>94371.22</v>
      </c>
      <c r="G40" s="84"/>
    </row>
    <row r="41" spans="2:10" ht="13.5" thickBot="1">
      <c r="B41" s="129" t="s">
        <v>37</v>
      </c>
      <c r="C41" s="130" t="s">
        <v>38</v>
      </c>
      <c r="D41" s="131">
        <v>8191871.0899999999</v>
      </c>
      <c r="E41" s="104">
        <f>E26+E27+E40</f>
        <v>11855300.560000001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511890.19500000001</v>
      </c>
      <c r="E47" s="185">
        <v>772818.027</v>
      </c>
      <c r="G47" s="79"/>
    </row>
    <row r="48" spans="2:10">
      <c r="B48" s="154" t="s">
        <v>6</v>
      </c>
      <c r="C48" s="23" t="s">
        <v>41</v>
      </c>
      <c r="D48" s="264">
        <v>772818.027</v>
      </c>
      <c r="E48" s="185">
        <v>1107972.0149999999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10.44</v>
      </c>
      <c r="E50" s="185">
        <v>10.6</v>
      </c>
    </row>
    <row r="51" spans="2:5">
      <c r="B51" s="133" t="s">
        <v>6</v>
      </c>
      <c r="C51" s="16" t="s">
        <v>231</v>
      </c>
      <c r="D51" s="267">
        <v>10.45</v>
      </c>
      <c r="E51" s="185">
        <v>10.59</v>
      </c>
    </row>
    <row r="52" spans="2:5">
      <c r="B52" s="133" t="s">
        <v>8</v>
      </c>
      <c r="C52" s="16" t="s">
        <v>232</v>
      </c>
      <c r="D52" s="267">
        <v>10.6</v>
      </c>
      <c r="E52" s="85">
        <v>10.74</v>
      </c>
    </row>
    <row r="53" spans="2:5" ht="12.75" customHeight="1" thickBot="1">
      <c r="B53" s="134" t="s">
        <v>9</v>
      </c>
      <c r="C53" s="18" t="s">
        <v>41</v>
      </c>
      <c r="D53" s="268">
        <v>10.6</v>
      </c>
      <c r="E53" s="187">
        <v>10.7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11855300.560000001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11855300.560000001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11855300.560000001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11855300.560000001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43" sqref="G4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136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207127.74</v>
      </c>
      <c r="E11" s="9">
        <f>E12</f>
        <v>207633.79</v>
      </c>
    </row>
    <row r="12" spans="2:7">
      <c r="B12" s="137" t="s">
        <v>4</v>
      </c>
      <c r="C12" s="6" t="s">
        <v>5</v>
      </c>
      <c r="D12" s="90">
        <v>207127.74</v>
      </c>
      <c r="E12" s="101">
        <v>207633.79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207127.74</v>
      </c>
      <c r="E21" s="181">
        <f>E11</f>
        <v>207633.79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223753.73</v>
      </c>
      <c r="E26" s="123">
        <f>D21</f>
        <v>207127.74</v>
      </c>
      <c r="G26" s="84"/>
    </row>
    <row r="27" spans="2:10">
      <c r="B27" s="10" t="s">
        <v>17</v>
      </c>
      <c r="C27" s="11" t="s">
        <v>228</v>
      </c>
      <c r="D27" s="182">
        <v>-3522.04</v>
      </c>
      <c r="E27" s="180">
        <f>E28-E32</f>
        <v>-3301.93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/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3522.04</v>
      </c>
      <c r="E32" s="81">
        <f>SUM(E33:E39)</f>
        <v>3301.93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3522.04</v>
      </c>
      <c r="E37" s="105">
        <v>3301.93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-13103.95</v>
      </c>
      <c r="E40" s="128">
        <v>3807.98</v>
      </c>
      <c r="G40" s="84"/>
    </row>
    <row r="41" spans="2:10" ht="13.5" thickBot="1">
      <c r="B41" s="129" t="s">
        <v>37</v>
      </c>
      <c r="C41" s="130" t="s">
        <v>38</v>
      </c>
      <c r="D41" s="131">
        <v>207127.74</v>
      </c>
      <c r="E41" s="181">
        <f>E26+E27+E40</f>
        <v>207633.79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18708.506000000001</v>
      </c>
      <c r="E47" s="305">
        <v>18411.355</v>
      </c>
      <c r="G47" s="79"/>
    </row>
    <row r="48" spans="2:10">
      <c r="B48" s="154" t="s">
        <v>6</v>
      </c>
      <c r="C48" s="23" t="s">
        <v>41</v>
      </c>
      <c r="D48" s="264">
        <v>18411.355</v>
      </c>
      <c r="E48" s="185">
        <v>18118.132000000001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11.96</v>
      </c>
      <c r="E50" s="85">
        <v>11.25</v>
      </c>
    </row>
    <row r="51" spans="2:5">
      <c r="B51" s="133" t="s">
        <v>6</v>
      </c>
      <c r="C51" s="16" t="s">
        <v>231</v>
      </c>
      <c r="D51" s="267">
        <v>11</v>
      </c>
      <c r="E51" s="85">
        <v>10.86</v>
      </c>
    </row>
    <row r="52" spans="2:5">
      <c r="B52" s="133" t="s">
        <v>8</v>
      </c>
      <c r="C52" s="16" t="s">
        <v>232</v>
      </c>
      <c r="D52" s="267">
        <v>12.5</v>
      </c>
      <c r="E52" s="85">
        <v>11.55</v>
      </c>
    </row>
    <row r="53" spans="2:5" ht="14.25" customHeight="1" thickBot="1">
      <c r="B53" s="134" t="s">
        <v>9</v>
      </c>
      <c r="C53" s="18" t="s">
        <v>41</v>
      </c>
      <c r="D53" s="268">
        <v>11.25</v>
      </c>
      <c r="E53" s="187">
        <v>11.46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207633.79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207633.79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207633.79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207633.79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31" sqref="E3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194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502684.79</v>
      </c>
      <c r="E11" s="9">
        <f>E12</f>
        <v>649190.99</v>
      </c>
    </row>
    <row r="12" spans="2:7">
      <c r="B12" s="137" t="s">
        <v>4</v>
      </c>
      <c r="C12" s="6" t="s">
        <v>5</v>
      </c>
      <c r="D12" s="90">
        <v>502684.79</v>
      </c>
      <c r="E12" s="101">
        <v>649190.99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502684.79</v>
      </c>
      <c r="E21" s="181">
        <f>E11</f>
        <v>649190.99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f>D21</f>
        <v>502684.79</v>
      </c>
      <c r="G26" s="84"/>
    </row>
    <row r="27" spans="2:10">
      <c r="B27" s="10" t="s">
        <v>17</v>
      </c>
      <c r="C27" s="11" t="s">
        <v>228</v>
      </c>
      <c r="D27" s="182">
        <v>499572.61</v>
      </c>
      <c r="E27" s="180">
        <f>E28-E32</f>
        <v>141767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506994.99</v>
      </c>
      <c r="E28" s="81">
        <f>SUM(E29:E31)</f>
        <v>417910.27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506994.99</v>
      </c>
      <c r="E29" s="105">
        <v>417910.27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7422.3799999999992</v>
      </c>
      <c r="E32" s="81">
        <f>SUM(E33:E39)</f>
        <v>276143.27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4885.95</v>
      </c>
      <c r="E33" s="105">
        <v>262694.14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553.20000000000005</v>
      </c>
      <c r="E35" s="105">
        <v>3092.8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1983.23</v>
      </c>
      <c r="E37" s="105">
        <v>9181.2999999999993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1175.03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3112.18</v>
      </c>
      <c r="E40" s="128">
        <v>4739.2</v>
      </c>
      <c r="G40" s="84"/>
    </row>
    <row r="41" spans="2:10" ht="13.5" thickBot="1">
      <c r="B41" s="129" t="s">
        <v>37</v>
      </c>
      <c r="C41" s="130" t="s">
        <v>38</v>
      </c>
      <c r="D41" s="131">
        <v>502684.79</v>
      </c>
      <c r="E41" s="181">
        <f>E26+E27+E40</f>
        <v>649190.99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43297.57</v>
      </c>
      <c r="G47" s="79"/>
    </row>
    <row r="48" spans="2:10">
      <c r="B48" s="154" t="s">
        <v>6</v>
      </c>
      <c r="C48" s="23" t="s">
        <v>41</v>
      </c>
      <c r="D48" s="264">
        <v>43297.57</v>
      </c>
      <c r="E48" s="185">
        <v>55486.409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11.61</v>
      </c>
    </row>
    <row r="51" spans="2:5">
      <c r="B51" s="133" t="s">
        <v>6</v>
      </c>
      <c r="C51" s="16" t="s">
        <v>231</v>
      </c>
      <c r="D51" s="267">
        <v>11.36</v>
      </c>
      <c r="E51" s="185">
        <v>11.58</v>
      </c>
    </row>
    <row r="52" spans="2:5">
      <c r="B52" s="133" t="s">
        <v>8</v>
      </c>
      <c r="C52" s="16" t="s">
        <v>232</v>
      </c>
      <c r="D52" s="267">
        <v>11.67</v>
      </c>
      <c r="E52" s="85">
        <v>11.9</v>
      </c>
    </row>
    <row r="53" spans="2:5" ht="13.5" customHeight="1" thickBot="1">
      <c r="B53" s="134" t="s">
        <v>9</v>
      </c>
      <c r="C53" s="18" t="s">
        <v>41</v>
      </c>
      <c r="D53" s="268">
        <v>11.61</v>
      </c>
      <c r="E53" s="187">
        <v>11.7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649190.99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649190.99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649190.99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649190.99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32" sqref="E3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930.31</v>
      </c>
      <c r="E11" s="9">
        <f>E12</f>
        <v>983.32</v>
      </c>
    </row>
    <row r="12" spans="2:7">
      <c r="B12" s="137" t="s">
        <v>4</v>
      </c>
      <c r="C12" s="6" t="s">
        <v>5</v>
      </c>
      <c r="D12" s="90">
        <v>930.31</v>
      </c>
      <c r="E12" s="101">
        <v>983.32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930.31</v>
      </c>
      <c r="E21" s="181">
        <f>E11</f>
        <v>983.32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f>D21</f>
        <v>930.31</v>
      </c>
      <c r="G26" s="84"/>
    </row>
    <row r="27" spans="2:10">
      <c r="B27" s="10" t="s">
        <v>17</v>
      </c>
      <c r="C27" s="11" t="s">
        <v>228</v>
      </c>
      <c r="D27" s="182">
        <v>975</v>
      </c>
      <c r="E27" s="180">
        <f>E28-E32</f>
        <v>0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975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975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0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-44.69</v>
      </c>
      <c r="E40" s="128">
        <v>53.01</v>
      </c>
      <c r="G40" s="84"/>
    </row>
    <row r="41" spans="2:10" ht="13.5" thickBot="1">
      <c r="B41" s="129" t="s">
        <v>37</v>
      </c>
      <c r="C41" s="130" t="s">
        <v>38</v>
      </c>
      <c r="D41" s="131">
        <v>930.31</v>
      </c>
      <c r="E41" s="181">
        <f>E26+E27+E40</f>
        <v>983.31999999999994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103.94499999999999</v>
      </c>
      <c r="G47" s="79"/>
    </row>
    <row r="48" spans="2:10">
      <c r="B48" s="154" t="s">
        <v>6</v>
      </c>
      <c r="C48" s="23" t="s">
        <v>41</v>
      </c>
      <c r="D48" s="264">
        <v>103.94499999999999</v>
      </c>
      <c r="E48" s="185">
        <v>103.94499999999999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8.9499999999999993</v>
      </c>
    </row>
    <row r="51" spans="2:5">
      <c r="B51" s="133" t="s">
        <v>6</v>
      </c>
      <c r="C51" s="16" t="s">
        <v>231</v>
      </c>
      <c r="D51" s="267">
        <v>8.6300000000000008</v>
      </c>
      <c r="E51" s="185">
        <v>8.08</v>
      </c>
    </row>
    <row r="52" spans="2:5">
      <c r="B52" s="133" t="s">
        <v>8</v>
      </c>
      <c r="C52" s="16" t="s">
        <v>232</v>
      </c>
      <c r="D52" s="267">
        <v>11.42</v>
      </c>
      <c r="E52" s="85">
        <v>9.4600000000000009</v>
      </c>
    </row>
    <row r="53" spans="2:5" ht="12.75" customHeight="1" thickBot="1">
      <c r="B53" s="134" t="s">
        <v>9</v>
      </c>
      <c r="C53" s="18" t="s">
        <v>41</v>
      </c>
      <c r="D53" s="268">
        <v>8.9499999999999993</v>
      </c>
      <c r="E53" s="187">
        <v>9.4600000000000009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983.32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983.32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983.32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983.32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opLeftCell="A49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106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174046.62</v>
      </c>
      <c r="E11" s="9">
        <f>E12+E13+E14</f>
        <v>442812.48000000004</v>
      </c>
    </row>
    <row r="12" spans="2:7">
      <c r="B12" s="137" t="s">
        <v>4</v>
      </c>
      <c r="C12" s="6" t="s">
        <v>5</v>
      </c>
      <c r="D12" s="90">
        <v>173981.72999999998</v>
      </c>
      <c r="E12" s="101">
        <f>366117.2+73153.8+0.2</f>
        <v>439271.2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>
        <v>64.89</v>
      </c>
      <c r="E14" s="101">
        <f>E15</f>
        <v>3541.2799999999997</v>
      </c>
    </row>
    <row r="15" spans="2:7">
      <c r="B15" s="137" t="s">
        <v>223</v>
      </c>
      <c r="C15" s="72" t="s">
        <v>11</v>
      </c>
      <c r="D15" s="90">
        <v>64.89</v>
      </c>
      <c r="E15" s="101">
        <f>3240.18+301.1</f>
        <v>3541.2799999999997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176.22</v>
      </c>
      <c r="E17" s="117">
        <f>SUM(E18:E19)</f>
        <v>426.11</v>
      </c>
    </row>
    <row r="18" spans="2:10">
      <c r="B18" s="137" t="s">
        <v>4</v>
      </c>
      <c r="C18" s="6" t="s">
        <v>11</v>
      </c>
      <c r="D18" s="90">
        <v>176.22</v>
      </c>
      <c r="E18" s="102">
        <v>388.77</v>
      </c>
    </row>
    <row r="19" spans="2:10" ht="13.5" customHeight="1">
      <c r="B19" s="137" t="s">
        <v>6</v>
      </c>
      <c r="C19" s="72" t="s">
        <v>225</v>
      </c>
      <c r="D19" s="90"/>
      <c r="E19" s="101">
        <v>37.340000000000003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173870.4</v>
      </c>
      <c r="E21" s="104">
        <f>E11-E17</f>
        <v>442386.37000000005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8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47039.81</v>
      </c>
      <c r="E26" s="123">
        <v>173870.4</v>
      </c>
      <c r="G26" s="84"/>
    </row>
    <row r="27" spans="2:10">
      <c r="B27" s="10" t="s">
        <v>17</v>
      </c>
      <c r="C27" s="11" t="s">
        <v>228</v>
      </c>
      <c r="D27" s="182">
        <v>128674.51</v>
      </c>
      <c r="E27" s="180">
        <f>E28-E32</f>
        <v>261071.57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141625.28</v>
      </c>
      <c r="E28" s="81">
        <f>SUM(E29:E31)</f>
        <v>323061.86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138912.95000000001</v>
      </c>
      <c r="E29" s="105">
        <v>282059.19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2712.33</v>
      </c>
      <c r="E31" s="105">
        <v>41002.67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12950.77</v>
      </c>
      <c r="E32" s="81">
        <f>SUM(E33:E39)</f>
        <v>61990.289999999994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4627.59</v>
      </c>
      <c r="E33" s="105">
        <v>26727.64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6404.52</v>
      </c>
      <c r="E35" s="105">
        <v>12384.7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1918.66</v>
      </c>
      <c r="E39" s="184">
        <v>22877.95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-1843.92</v>
      </c>
      <c r="E40" s="128">
        <v>7444.4</v>
      </c>
      <c r="G40" s="84"/>
    </row>
    <row r="41" spans="2:10" ht="13.5" thickBot="1">
      <c r="B41" s="129" t="s">
        <v>37</v>
      </c>
      <c r="C41" s="130" t="s">
        <v>38</v>
      </c>
      <c r="D41" s="131">
        <v>173870.4</v>
      </c>
      <c r="E41" s="181">
        <f>E26+E27+E40</f>
        <v>442386.37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5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4699.8921</v>
      </c>
      <c r="E47" s="83">
        <v>17786.871299999999</v>
      </c>
      <c r="G47" s="79"/>
    </row>
    <row r="48" spans="2:10">
      <c r="B48" s="154" t="s">
        <v>6</v>
      </c>
      <c r="C48" s="23" t="s">
        <v>41</v>
      </c>
      <c r="D48" s="264">
        <v>17786.871299999999</v>
      </c>
      <c r="E48" s="83">
        <v>44020.316299999999</v>
      </c>
      <c r="G48" s="315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10.008699999999999</v>
      </c>
      <c r="E50" s="83">
        <v>9.7752098762866702</v>
      </c>
    </row>
    <row r="51" spans="2:5">
      <c r="B51" s="133" t="s">
        <v>6</v>
      </c>
      <c r="C51" s="16" t="s">
        <v>231</v>
      </c>
      <c r="D51" s="314">
        <v>9.7224000000000004</v>
      </c>
      <c r="E51" s="85">
        <v>9.6826000000000008</v>
      </c>
    </row>
    <row r="52" spans="2:5" ht="12" customHeight="1">
      <c r="B52" s="133" t="s">
        <v>8</v>
      </c>
      <c r="C52" s="16" t="s">
        <v>232</v>
      </c>
      <c r="D52" s="314">
        <v>10.1282</v>
      </c>
      <c r="E52" s="85">
        <v>10.1068</v>
      </c>
    </row>
    <row r="53" spans="2:5" ht="13.5" thickBot="1">
      <c r="B53" s="134" t="s">
        <v>9</v>
      </c>
      <c r="C53" s="18" t="s">
        <v>41</v>
      </c>
      <c r="D53" s="268">
        <v>9.7752098762866702</v>
      </c>
      <c r="E53" s="187">
        <v>10.049595366232699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439271.2</v>
      </c>
      <c r="E58" s="33">
        <f>D58/E21</f>
        <v>0.99295825954131445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366117.2</v>
      </c>
      <c r="E64" s="97">
        <f>D64/E21</f>
        <v>0.82759602200221483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73153.8+0.2</f>
        <v>73154</v>
      </c>
      <c r="E69" s="95">
        <f>D69/E21</f>
        <v>0.16536223753909957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0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3541.2799999999997</v>
      </c>
      <c r="E72" s="150">
        <f>D72/E21</f>
        <v>8.0049482537176714E-3</v>
      </c>
    </row>
    <row r="73" spans="2:5">
      <c r="B73" s="24" t="s">
        <v>62</v>
      </c>
      <c r="C73" s="25" t="s">
        <v>65</v>
      </c>
      <c r="D73" s="26">
        <f>E17</f>
        <v>426.11</v>
      </c>
      <c r="E73" s="27">
        <f>D73/E21</f>
        <v>9.6320779503220218E-4</v>
      </c>
    </row>
    <row r="74" spans="2:5">
      <c r="B74" s="151" t="s">
        <v>64</v>
      </c>
      <c r="C74" s="152" t="s">
        <v>66</v>
      </c>
      <c r="D74" s="153">
        <f>D58+D71+D72-D73</f>
        <v>442386.37000000005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94">
        <f>D74</f>
        <v>442386.37000000005</v>
      </c>
      <c r="E75" s="95">
        <f>E74</f>
        <v>0.99999999999999989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189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48103</v>
      </c>
      <c r="E11" s="9">
        <f>E12</f>
        <v>41653.760000000002</v>
      </c>
    </row>
    <row r="12" spans="2:7">
      <c r="B12" s="137" t="s">
        <v>4</v>
      </c>
      <c r="C12" s="6" t="s">
        <v>5</v>
      </c>
      <c r="D12" s="90">
        <v>48103</v>
      </c>
      <c r="E12" s="101">
        <v>41653.760000000002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48103</v>
      </c>
      <c r="E21" s="181">
        <f>E11</f>
        <v>41653.760000000002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0</v>
      </c>
      <c r="E26" s="123">
        <v>48103</v>
      </c>
      <c r="G26" s="84"/>
    </row>
    <row r="27" spans="2:10">
      <c r="B27" s="10" t="s">
        <v>17</v>
      </c>
      <c r="C27" s="11" t="s">
        <v>228</v>
      </c>
      <c r="D27" s="182">
        <v>69470.64</v>
      </c>
      <c r="E27" s="108">
        <f>E28-E32</f>
        <v>-10216.220000000008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405629.42</v>
      </c>
      <c r="E28" s="81">
        <f>SUM(E29:E31)</f>
        <v>37485.019999999997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203999.98</v>
      </c>
      <c r="E29" s="105">
        <v>37485.019999999997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201629.44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336158.78</v>
      </c>
      <c r="E32" s="81">
        <f>SUM(E33:E39)</f>
        <v>47701.240000000005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86675.05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3.33</v>
      </c>
      <c r="E35" s="105">
        <v>34.270000000000003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2390.89</v>
      </c>
      <c r="E37" s="105">
        <v>288.20999999999998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247089.51</v>
      </c>
      <c r="E39" s="106">
        <v>47378.76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-21367.64</v>
      </c>
      <c r="E40" s="128">
        <v>3766.98</v>
      </c>
      <c r="G40" s="84"/>
    </row>
    <row r="41" spans="2:10" ht="13.5" thickBot="1">
      <c r="B41" s="129" t="s">
        <v>37</v>
      </c>
      <c r="C41" s="130" t="s">
        <v>38</v>
      </c>
      <c r="D41" s="131">
        <v>48103</v>
      </c>
      <c r="E41" s="104">
        <f>E26+E27+E40</f>
        <v>41653.759999999995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469.71</v>
      </c>
      <c r="G47" s="79"/>
    </row>
    <row r="48" spans="2:10">
      <c r="B48" s="154" t="s">
        <v>6</v>
      </c>
      <c r="C48" s="23" t="s">
        <v>41</v>
      </c>
      <c r="D48" s="264">
        <v>469.71</v>
      </c>
      <c r="E48" s="185">
        <v>359.95299999999997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102.41</v>
      </c>
    </row>
    <row r="51" spans="2:5">
      <c r="B51" s="133" t="s">
        <v>6</v>
      </c>
      <c r="C51" s="16" t="s">
        <v>231</v>
      </c>
      <c r="D51" s="267">
        <v>90.97</v>
      </c>
      <c r="E51" s="85">
        <v>91.74</v>
      </c>
    </row>
    <row r="52" spans="2:5">
      <c r="B52" s="133" t="s">
        <v>8</v>
      </c>
      <c r="C52" s="16" t="s">
        <v>232</v>
      </c>
      <c r="D52" s="267">
        <v>110.11</v>
      </c>
      <c r="E52" s="85">
        <v>119.2</v>
      </c>
    </row>
    <row r="53" spans="2:5" ht="13.5" customHeight="1" thickBot="1">
      <c r="B53" s="134" t="s">
        <v>9</v>
      </c>
      <c r="C53" s="18" t="s">
        <v>41</v>
      </c>
      <c r="D53" s="268">
        <v>102.41</v>
      </c>
      <c r="E53" s="187">
        <v>115.72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41653.760000000002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41653.760000000002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41653.760000000002</v>
      </c>
      <c r="E74" s="70">
        <v>0</v>
      </c>
    </row>
    <row r="75" spans="2:5">
      <c r="B75" s="133" t="s">
        <v>4</v>
      </c>
      <c r="C75" s="16" t="s">
        <v>67</v>
      </c>
      <c r="D75" s="94">
        <f>D74</f>
        <v>41653.760000000002</v>
      </c>
      <c r="E75" s="95">
        <f>E74</f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190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236694.04</v>
      </c>
      <c r="E11" s="9">
        <f>E12</f>
        <v>235662.23</v>
      </c>
    </row>
    <row r="12" spans="2:7">
      <c r="B12" s="137" t="s">
        <v>4</v>
      </c>
      <c r="C12" s="6" t="s">
        <v>5</v>
      </c>
      <c r="D12" s="90">
        <v>236694.04</v>
      </c>
      <c r="E12" s="101">
        <v>235662.23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236694.04</v>
      </c>
      <c r="E21" s="181">
        <f>E11</f>
        <v>235662.23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0</v>
      </c>
      <c r="E26" s="123">
        <v>236694.04</v>
      </c>
      <c r="G26" s="84"/>
    </row>
    <row r="27" spans="2:10">
      <c r="B27" s="10" t="s">
        <v>17</v>
      </c>
      <c r="C27" s="11" t="s">
        <v>228</v>
      </c>
      <c r="D27" s="182">
        <v>232729.34</v>
      </c>
      <c r="E27" s="180">
        <f>E28-E32</f>
        <v>-3936.34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234858.46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149999.99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84858.47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2129.12</v>
      </c>
      <c r="E32" s="81">
        <f>SUM(E33:E39)</f>
        <v>3936.34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71.94</v>
      </c>
      <c r="E35" s="105">
        <v>392.04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2057.1799999999998</v>
      </c>
      <c r="E37" s="105">
        <v>3544.3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3964.7</v>
      </c>
      <c r="E40" s="128">
        <v>2904.53</v>
      </c>
      <c r="G40" s="84"/>
    </row>
    <row r="41" spans="2:10" ht="13.5" thickBot="1">
      <c r="B41" s="129" t="s">
        <v>37</v>
      </c>
      <c r="C41" s="130" t="s">
        <v>38</v>
      </c>
      <c r="D41" s="131">
        <v>236694.04</v>
      </c>
      <c r="E41" s="181">
        <f>E26+E27+E40</f>
        <v>235662.23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4785.5649999999996</v>
      </c>
      <c r="G47" s="79"/>
    </row>
    <row r="48" spans="2:10">
      <c r="B48" s="154" t="s">
        <v>6</v>
      </c>
      <c r="C48" s="23" t="s">
        <v>41</v>
      </c>
      <c r="D48" s="264">
        <v>4785.5649999999996</v>
      </c>
      <c r="E48" s="185">
        <v>4701.0219999999999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49.46</v>
      </c>
    </row>
    <row r="51" spans="2:5">
      <c r="B51" s="133" t="s">
        <v>6</v>
      </c>
      <c r="C51" s="16" t="s">
        <v>231</v>
      </c>
      <c r="D51" s="267">
        <v>44.57</v>
      </c>
      <c r="E51" s="185">
        <v>42.6</v>
      </c>
    </row>
    <row r="52" spans="2:5">
      <c r="B52" s="133" t="s">
        <v>8</v>
      </c>
      <c r="C52" s="16" t="s">
        <v>232</v>
      </c>
      <c r="D52" s="267">
        <v>53.47</v>
      </c>
      <c r="E52" s="85">
        <v>50.13</v>
      </c>
    </row>
    <row r="53" spans="2:5" ht="13.5" customHeight="1" thickBot="1">
      <c r="B53" s="134" t="s">
        <v>9</v>
      </c>
      <c r="C53" s="18" t="s">
        <v>41</v>
      </c>
      <c r="D53" s="268">
        <v>49.46</v>
      </c>
      <c r="E53" s="187">
        <v>50.13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235662.23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235662.23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235662.23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235662.23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195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273004.78999999998</v>
      </c>
      <c r="E11" s="9">
        <f>E12</f>
        <v>227802.52</v>
      </c>
    </row>
    <row r="12" spans="2:7">
      <c r="B12" s="137" t="s">
        <v>4</v>
      </c>
      <c r="C12" s="6" t="s">
        <v>5</v>
      </c>
      <c r="D12" s="90">
        <v>273004.78999999998</v>
      </c>
      <c r="E12" s="101">
        <v>227802.52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273004.78999999998</v>
      </c>
      <c r="E21" s="181">
        <f>E11</f>
        <v>227802.52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f>D21</f>
        <v>273004.78999999998</v>
      </c>
      <c r="G26" s="84"/>
    </row>
    <row r="27" spans="2:10">
      <c r="B27" s="10" t="s">
        <v>17</v>
      </c>
      <c r="C27" s="11" t="s">
        <v>228</v>
      </c>
      <c r="D27" s="182">
        <v>275256.71999999997</v>
      </c>
      <c r="E27" s="180">
        <f>E28-E32</f>
        <v>-51372.19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278776.23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278776.23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3519.51</v>
      </c>
      <c r="E32" s="81">
        <f>SUM(E33:E39)</f>
        <v>51372.19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1919.85</v>
      </c>
      <c r="E33" s="105">
        <v>46630.69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418.63</v>
      </c>
      <c r="E35" s="105">
        <v>1155.6300000000001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1181.03</v>
      </c>
      <c r="E37" s="105">
        <v>3585.87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-2251.9299999999998</v>
      </c>
      <c r="E40" s="128">
        <v>6169.92</v>
      </c>
      <c r="G40" s="84"/>
    </row>
    <row r="41" spans="2:10" ht="13.5" thickBot="1">
      <c r="B41" s="129" t="s">
        <v>37</v>
      </c>
      <c r="C41" s="130" t="s">
        <v>38</v>
      </c>
      <c r="D41" s="131">
        <v>273004.78999999998</v>
      </c>
      <c r="E41" s="181">
        <f>E26+E27+E40</f>
        <v>227802.52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15251.664000000001</v>
      </c>
      <c r="G47" s="79"/>
    </row>
    <row r="48" spans="2:10">
      <c r="B48" s="154" t="s">
        <v>6</v>
      </c>
      <c r="C48" s="23" t="s">
        <v>41</v>
      </c>
      <c r="D48" s="264">
        <v>15251.664000000001</v>
      </c>
      <c r="E48" s="185">
        <v>12421.075000000001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17.899999999999999</v>
      </c>
    </row>
    <row r="51" spans="2:5">
      <c r="B51" s="133" t="s">
        <v>6</v>
      </c>
      <c r="C51" s="16" t="s">
        <v>231</v>
      </c>
      <c r="D51" s="267">
        <v>17.07</v>
      </c>
      <c r="E51" s="85">
        <v>16.580000000000002</v>
      </c>
    </row>
    <row r="52" spans="2:5">
      <c r="B52" s="133" t="s">
        <v>8</v>
      </c>
      <c r="C52" s="16" t="s">
        <v>232</v>
      </c>
      <c r="D52" s="267">
        <v>19.02</v>
      </c>
      <c r="E52" s="85">
        <v>18.41</v>
      </c>
    </row>
    <row r="53" spans="2:5" ht="12.75" customHeight="1" thickBot="1">
      <c r="B53" s="134" t="s">
        <v>9</v>
      </c>
      <c r="C53" s="18" t="s">
        <v>41</v>
      </c>
      <c r="D53" s="268">
        <v>17.899999999999999</v>
      </c>
      <c r="E53" s="187">
        <v>18.34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227802.52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227802.52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227802.52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227802.52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42" sqref="E4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265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54466.05</v>
      </c>
    </row>
    <row r="12" spans="2:7">
      <c r="B12" s="137" t="s">
        <v>4</v>
      </c>
      <c r="C12" s="6" t="s">
        <v>5</v>
      </c>
      <c r="D12" s="90" t="s">
        <v>260</v>
      </c>
      <c r="E12" s="101">
        <v>54466.05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54466.05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228"/>
      <c r="E27" s="180">
        <f>E28-E32</f>
        <v>54080.79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28"/>
      <c r="E28" s="81">
        <f>SUM(E29:E31)</f>
        <v>54080.79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29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29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29"/>
      <c r="E31" s="105">
        <v>54080.79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28"/>
      <c r="E32" s="81">
        <f>SUM(E33:E39)</f>
        <v>0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29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29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29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29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29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29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30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31"/>
      <c r="E40" s="128">
        <v>385.26</v>
      </c>
      <c r="G40" s="84"/>
    </row>
    <row r="41" spans="2:10" ht="13.5" thickBot="1">
      <c r="B41" s="129" t="s">
        <v>37</v>
      </c>
      <c r="C41" s="130" t="s">
        <v>38</v>
      </c>
      <c r="D41" s="232"/>
      <c r="E41" s="181">
        <f>E27+E40</f>
        <v>54466.05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243"/>
      <c r="G47" s="79"/>
    </row>
    <row r="48" spans="2:10">
      <c r="B48" s="154" t="s">
        <v>6</v>
      </c>
      <c r="C48" s="23" t="s">
        <v>41</v>
      </c>
      <c r="D48" s="234"/>
      <c r="E48" s="185">
        <v>4815.7430000000004</v>
      </c>
      <c r="G48" s="79"/>
    </row>
    <row r="49" spans="2:5">
      <c r="B49" s="151" t="s">
        <v>23</v>
      </c>
      <c r="C49" s="155" t="s">
        <v>230</v>
      </c>
      <c r="D49" s="235"/>
      <c r="E49" s="185"/>
    </row>
    <row r="50" spans="2:5">
      <c r="B50" s="133" t="s">
        <v>4</v>
      </c>
      <c r="C50" s="16" t="s">
        <v>40</v>
      </c>
      <c r="D50" s="233"/>
      <c r="E50" s="185"/>
    </row>
    <row r="51" spans="2:5">
      <c r="B51" s="133" t="s">
        <v>6</v>
      </c>
      <c r="C51" s="16" t="s">
        <v>231</v>
      </c>
      <c r="D51" s="236"/>
      <c r="E51" s="85">
        <v>9.85</v>
      </c>
    </row>
    <row r="52" spans="2:5">
      <c r="B52" s="133" t="s">
        <v>8</v>
      </c>
      <c r="C52" s="16" t="s">
        <v>232</v>
      </c>
      <c r="D52" s="236"/>
      <c r="E52" s="85">
        <v>11.55</v>
      </c>
    </row>
    <row r="53" spans="2:5" ht="13.5" thickBot="1">
      <c r="B53" s="134" t="s">
        <v>9</v>
      </c>
      <c r="C53" s="18" t="s">
        <v>41</v>
      </c>
      <c r="D53" s="237"/>
      <c r="E53" s="187">
        <v>11.31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54466.05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54466.05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54466.05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54466.05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137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22427.919999999998</v>
      </c>
      <c r="E11" s="9">
        <f>E12</f>
        <v>54766.2</v>
      </c>
    </row>
    <row r="12" spans="2:7">
      <c r="B12" s="137" t="s">
        <v>4</v>
      </c>
      <c r="C12" s="6" t="s">
        <v>5</v>
      </c>
      <c r="D12" s="90">
        <v>22427.919999999998</v>
      </c>
      <c r="E12" s="101">
        <v>54766.2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22427.919999999998</v>
      </c>
      <c r="E21" s="181">
        <f>E11</f>
        <v>54766.2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3212.68</v>
      </c>
      <c r="E26" s="123">
        <v>22427.919999999998</v>
      </c>
      <c r="G26" s="84"/>
    </row>
    <row r="27" spans="2:10">
      <c r="B27" s="10" t="s">
        <v>17</v>
      </c>
      <c r="C27" s="11" t="s">
        <v>228</v>
      </c>
      <c r="D27" s="182">
        <v>20750.53</v>
      </c>
      <c r="E27" s="180">
        <f>E28-E32</f>
        <v>28423.700000000004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24394.97</v>
      </c>
      <c r="E28" s="81">
        <f>SUM(E29:E31)</f>
        <v>64248.200000000004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13060.02</v>
      </c>
      <c r="E29" s="105">
        <v>2843.62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11334.95</v>
      </c>
      <c r="E31" s="105">
        <v>61404.58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3644.44</v>
      </c>
      <c r="E32" s="81">
        <f>SUM(E33:E39)</f>
        <v>35824.5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1119.68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118.25</v>
      </c>
      <c r="E35" s="105">
        <v>274.75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160.9</v>
      </c>
      <c r="E37" s="105">
        <v>410.64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3365.29</v>
      </c>
      <c r="E39" s="184">
        <v>34019.43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-1535.29</v>
      </c>
      <c r="E40" s="128">
        <v>3914.58</v>
      </c>
      <c r="G40" s="84"/>
    </row>
    <row r="41" spans="2:10" ht="13.5" thickBot="1">
      <c r="B41" s="129" t="s">
        <v>37</v>
      </c>
      <c r="C41" s="130" t="s">
        <v>38</v>
      </c>
      <c r="D41" s="131">
        <v>22427.919999999998</v>
      </c>
      <c r="E41" s="181">
        <f>E26+E27+E40</f>
        <v>54766.200000000004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34.011000000000003</v>
      </c>
      <c r="E47" s="185">
        <v>236.357</v>
      </c>
      <c r="G47" s="79"/>
    </row>
    <row r="48" spans="2:10">
      <c r="B48" s="154" t="s">
        <v>6</v>
      </c>
      <c r="C48" s="23" t="s">
        <v>41</v>
      </c>
      <c r="D48" s="264">
        <v>236.357</v>
      </c>
      <c r="E48" s="185">
        <v>500.834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94.46</v>
      </c>
      <c r="E50" s="185">
        <v>94.89</v>
      </c>
    </row>
    <row r="51" spans="2:5">
      <c r="B51" s="133" t="s">
        <v>6</v>
      </c>
      <c r="C51" s="16" t="s">
        <v>231</v>
      </c>
      <c r="D51" s="267">
        <v>90.25</v>
      </c>
      <c r="E51" s="185">
        <v>87.36</v>
      </c>
    </row>
    <row r="52" spans="2:5">
      <c r="B52" s="133" t="s">
        <v>8</v>
      </c>
      <c r="C52" s="16" t="s">
        <v>232</v>
      </c>
      <c r="D52" s="267">
        <v>105.16</v>
      </c>
      <c r="E52" s="85">
        <v>109.54</v>
      </c>
    </row>
    <row r="53" spans="2:5" ht="13.5" customHeight="1" thickBot="1">
      <c r="B53" s="134" t="s">
        <v>9</v>
      </c>
      <c r="C53" s="18" t="s">
        <v>41</v>
      </c>
      <c r="D53" s="268">
        <v>94.89</v>
      </c>
      <c r="E53" s="187">
        <v>109.35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54766.2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54766.2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54766.2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54766.2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5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259135.51</v>
      </c>
      <c r="E11" s="9">
        <f>E12</f>
        <v>388105.74</v>
      </c>
    </row>
    <row r="12" spans="2:7">
      <c r="B12" s="137" t="s">
        <v>4</v>
      </c>
      <c r="C12" s="6" t="s">
        <v>5</v>
      </c>
      <c r="D12" s="90">
        <v>259135.51</v>
      </c>
      <c r="E12" s="101">
        <v>388105.74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259135.51</v>
      </c>
      <c r="E21" s="181">
        <f>E11</f>
        <v>388105.74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374886.7</v>
      </c>
      <c r="E26" s="123">
        <v>259135.51</v>
      </c>
      <c r="G26" s="84"/>
    </row>
    <row r="27" spans="2:10">
      <c r="B27" s="10" t="s">
        <v>17</v>
      </c>
      <c r="C27" s="11" t="s">
        <v>228</v>
      </c>
      <c r="D27" s="182">
        <v>-118144.27</v>
      </c>
      <c r="E27" s="180">
        <f>E28-E32</f>
        <v>127795.88999999998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98979.09</v>
      </c>
      <c r="E28" s="81">
        <f>SUM(E29:E31)</f>
        <v>259671.72999999998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62068.43</v>
      </c>
      <c r="E29" s="105">
        <v>56364.52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36910.660000000003</v>
      </c>
      <c r="E31" s="105">
        <v>203307.21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217123.36000000002</v>
      </c>
      <c r="E32" s="81">
        <f>SUM(E33:E39)</f>
        <v>131875.84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46473.120000000003</v>
      </c>
      <c r="E33" s="105">
        <v>66446.179999999993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1974.27</v>
      </c>
      <c r="E35" s="105">
        <v>3187.45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5104.21</v>
      </c>
      <c r="E37" s="105">
        <v>4964.97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163571.76</v>
      </c>
      <c r="E39" s="184">
        <v>57277.24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2393.08</v>
      </c>
      <c r="E40" s="128">
        <v>1174.3399999999999</v>
      </c>
      <c r="G40" s="84"/>
    </row>
    <row r="41" spans="2:10" ht="13.5" thickBot="1">
      <c r="B41" s="129" t="s">
        <v>37</v>
      </c>
      <c r="C41" s="130" t="s">
        <v>38</v>
      </c>
      <c r="D41" s="131">
        <v>259135.50999999998</v>
      </c>
      <c r="E41" s="181">
        <f>E26+E27+E40</f>
        <v>388105.74000000005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1906.559</v>
      </c>
      <c r="E47" s="185">
        <v>1301.796</v>
      </c>
      <c r="G47" s="79"/>
    </row>
    <row r="48" spans="2:10">
      <c r="B48" s="154" t="s">
        <v>6</v>
      </c>
      <c r="C48" s="23" t="s">
        <v>41</v>
      </c>
      <c r="D48" s="264">
        <v>1301.796</v>
      </c>
      <c r="E48" s="185">
        <v>1941.8879999999999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196.63</v>
      </c>
      <c r="E50" s="185">
        <v>199.06</v>
      </c>
    </row>
    <row r="51" spans="2:5">
      <c r="B51" s="133" t="s">
        <v>6</v>
      </c>
      <c r="C51" s="16" t="s">
        <v>231</v>
      </c>
      <c r="D51" s="267">
        <v>192.39</v>
      </c>
      <c r="E51" s="185">
        <v>198.45</v>
      </c>
    </row>
    <row r="52" spans="2:5">
      <c r="B52" s="133" t="s">
        <v>8</v>
      </c>
      <c r="C52" s="16" t="s">
        <v>232</v>
      </c>
      <c r="D52" s="267">
        <v>199.83</v>
      </c>
      <c r="E52" s="85">
        <v>204.44</v>
      </c>
    </row>
    <row r="53" spans="2:5" ht="13.5" thickBot="1">
      <c r="B53" s="134" t="s">
        <v>9</v>
      </c>
      <c r="C53" s="18" t="s">
        <v>41</v>
      </c>
      <c r="D53" s="268">
        <v>199.06</v>
      </c>
      <c r="E53" s="187">
        <v>199.86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388105.74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24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388105.74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388105.74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388105.74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10" sqref="G1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248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114819.84</v>
      </c>
      <c r="E11" s="9">
        <f>E12</f>
        <v>186611.83</v>
      </c>
    </row>
    <row r="12" spans="2:7">
      <c r="B12" s="137" t="s">
        <v>4</v>
      </c>
      <c r="C12" s="6" t="s">
        <v>5</v>
      </c>
      <c r="D12" s="90">
        <v>114819.84</v>
      </c>
      <c r="E12" s="101">
        <v>186611.83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172.17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172.17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114819.84</v>
      </c>
      <c r="E21" s="181">
        <f>E11-E17</f>
        <v>186439.65999999997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  <c r="I23" s="194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>
        <v>0</v>
      </c>
      <c r="E26" s="123">
        <v>114819.84</v>
      </c>
      <c r="G26" s="84"/>
    </row>
    <row r="27" spans="2:10">
      <c r="B27" s="10" t="s">
        <v>17</v>
      </c>
      <c r="C27" s="11" t="s">
        <v>228</v>
      </c>
      <c r="D27" s="182">
        <v>116474.4</v>
      </c>
      <c r="E27" s="180">
        <f>E28-E32</f>
        <v>65873.329999999987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117885.21</v>
      </c>
      <c r="E28" s="81">
        <f>SUM(E29:E31)</f>
        <v>115082.38999999998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101908.44</v>
      </c>
      <c r="E29" s="105">
        <v>82109.87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15976.77</v>
      </c>
      <c r="E31" s="105">
        <v>32972.519999999997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1410.81</v>
      </c>
      <c r="E32" s="81">
        <f>SUM(E33:E39)</f>
        <v>49209.06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845.57</v>
      </c>
      <c r="E33" s="105">
        <v>17766.080000000002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372.6</v>
      </c>
      <c r="E35" s="105">
        <v>3788.86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192.64</v>
      </c>
      <c r="E37" s="105">
        <v>1232.3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26421.82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-1654.56</v>
      </c>
      <c r="E40" s="128">
        <v>5746.49</v>
      </c>
      <c r="G40" s="84"/>
    </row>
    <row r="41" spans="2:10" ht="13.5" thickBot="1">
      <c r="B41" s="129" t="s">
        <v>37</v>
      </c>
      <c r="C41" s="130" t="s">
        <v>38</v>
      </c>
      <c r="D41" s="131">
        <v>114819.84</v>
      </c>
      <c r="E41" s="181">
        <f>E26+E27+E40</f>
        <v>186439.65999999997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306">
        <v>785.25400000000002</v>
      </c>
      <c r="G47" s="79"/>
    </row>
    <row r="48" spans="2:10">
      <c r="B48" s="154" t="s">
        <v>6</v>
      </c>
      <c r="C48" s="23" t="s">
        <v>41</v>
      </c>
      <c r="D48" s="264">
        <v>785.25400000000002</v>
      </c>
      <c r="E48" s="306">
        <v>1232.3330000000001</v>
      </c>
      <c r="G48" s="311"/>
    </row>
    <row r="49" spans="2:5">
      <c r="B49" s="151" t="s">
        <v>23</v>
      </c>
      <c r="C49" s="155" t="s">
        <v>230</v>
      </c>
      <c r="D49" s="266"/>
      <c r="E49" s="197"/>
    </row>
    <row r="50" spans="2:5">
      <c r="B50" s="133" t="s">
        <v>4</v>
      </c>
      <c r="C50" s="16" t="s">
        <v>40</v>
      </c>
      <c r="D50" s="263"/>
      <c r="E50" s="307">
        <v>146.22</v>
      </c>
    </row>
    <row r="51" spans="2:5">
      <c r="B51" s="133" t="s">
        <v>6</v>
      </c>
      <c r="C51" s="16" t="s">
        <v>231</v>
      </c>
      <c r="D51" s="267">
        <v>143.29</v>
      </c>
      <c r="E51" s="308">
        <v>141.65</v>
      </c>
    </row>
    <row r="52" spans="2:5">
      <c r="B52" s="133" t="s">
        <v>8</v>
      </c>
      <c r="C52" s="16" t="s">
        <v>232</v>
      </c>
      <c r="D52" s="267">
        <v>150.36000000000001</v>
      </c>
      <c r="E52" s="308">
        <v>151.6</v>
      </c>
    </row>
    <row r="53" spans="2:5" ht="13.5" customHeight="1" thickBot="1">
      <c r="B53" s="134" t="s">
        <v>9</v>
      </c>
      <c r="C53" s="18" t="s">
        <v>41</v>
      </c>
      <c r="D53" s="268">
        <v>146.22</v>
      </c>
      <c r="E53" s="187">
        <v>151.29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186611.83</v>
      </c>
      <c r="E58" s="33">
        <f>D58/E21</f>
        <v>1.0009234623148315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4.2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186611.83</v>
      </c>
      <c r="E64" s="97">
        <f>E58</f>
        <v>1.0009234623148315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172.17</v>
      </c>
      <c r="E73" s="27">
        <f>D73/E21</f>
        <v>9.2346231483151177E-4</v>
      </c>
    </row>
    <row r="74" spans="2:5">
      <c r="B74" s="162" t="s">
        <v>64</v>
      </c>
      <c r="C74" s="152" t="s">
        <v>66</v>
      </c>
      <c r="D74" s="153">
        <f>D58-D73</f>
        <v>186439.65999999997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186439.65999999997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12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249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284609.75</v>
      </c>
      <c r="E11" s="9">
        <f>E12</f>
        <v>287519.93</v>
      </c>
    </row>
    <row r="12" spans="2:7">
      <c r="B12" s="137" t="s">
        <v>4</v>
      </c>
      <c r="C12" s="6" t="s">
        <v>5</v>
      </c>
      <c r="D12" s="90">
        <v>284609.75</v>
      </c>
      <c r="E12" s="101">
        <v>287519.93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284609.75</v>
      </c>
      <c r="E21" s="181">
        <f>E11</f>
        <v>287519.93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  <c r="H25" s="194"/>
    </row>
    <row r="26" spans="2:10">
      <c r="B26" s="120" t="s">
        <v>15</v>
      </c>
      <c r="C26" s="121" t="s">
        <v>16</v>
      </c>
      <c r="D26" s="122">
        <v>0</v>
      </c>
      <c r="E26" s="123">
        <v>284609.75</v>
      </c>
      <c r="G26" s="84"/>
    </row>
    <row r="27" spans="2:10">
      <c r="B27" s="10" t="s">
        <v>17</v>
      </c>
      <c r="C27" s="11" t="s">
        <v>228</v>
      </c>
      <c r="D27" s="182">
        <v>299481.64</v>
      </c>
      <c r="E27" s="180">
        <f>E28-E32</f>
        <v>-12406.46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312325.46000000002</v>
      </c>
      <c r="E28" s="81">
        <f>SUM(E29:E31)</f>
        <v>10396.209999999999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3905.97</v>
      </c>
      <c r="E29" s="105">
        <v>10011.25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308419.49</v>
      </c>
      <c r="E31" s="105">
        <v>384.96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12843.82</v>
      </c>
      <c r="E32" s="81">
        <f>SUM(E33:E39)</f>
        <v>22802.67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9953.66</v>
      </c>
      <c r="E33" s="105">
        <v>2234.62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319.45999999999998</v>
      </c>
      <c r="E35" s="105">
        <v>890.31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2570.6999999999998</v>
      </c>
      <c r="E37" s="105">
        <v>5233.3100000000004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14444.43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-14871.89</v>
      </c>
      <c r="E40" s="128">
        <v>15316.64</v>
      </c>
      <c r="G40" s="84"/>
    </row>
    <row r="41" spans="2:10" ht="13.5" thickBot="1">
      <c r="B41" s="129" t="s">
        <v>37</v>
      </c>
      <c r="C41" s="130" t="s">
        <v>38</v>
      </c>
      <c r="D41" s="131">
        <v>284609.75</v>
      </c>
      <c r="E41" s="181">
        <f>E26+E27+E40</f>
        <v>287519.93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2295.4250000000002</v>
      </c>
      <c r="G47" s="79"/>
    </row>
    <row r="48" spans="2:10">
      <c r="B48" s="154" t="s">
        <v>6</v>
      </c>
      <c r="C48" s="23" t="s">
        <v>41</v>
      </c>
      <c r="D48" s="264">
        <v>2295.4250000000002</v>
      </c>
      <c r="E48" s="185">
        <v>2196.8209999999999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123.99</v>
      </c>
    </row>
    <row r="51" spans="2:5">
      <c r="B51" s="133" t="s">
        <v>6</v>
      </c>
      <c r="C51" s="16" t="s">
        <v>231</v>
      </c>
      <c r="D51" s="267">
        <v>121.21</v>
      </c>
      <c r="E51" s="185">
        <v>117.87</v>
      </c>
    </row>
    <row r="52" spans="2:5">
      <c r="B52" s="133" t="s">
        <v>8</v>
      </c>
      <c r="C52" s="16" t="s">
        <v>232</v>
      </c>
      <c r="D52" s="267">
        <v>130.65</v>
      </c>
      <c r="E52" s="85">
        <v>131.02000000000001</v>
      </c>
    </row>
    <row r="53" spans="2:5" ht="12.75" customHeight="1" thickBot="1">
      <c r="B53" s="134" t="s">
        <v>9</v>
      </c>
      <c r="C53" s="18" t="s">
        <v>41</v>
      </c>
      <c r="D53" s="268">
        <v>123.99</v>
      </c>
      <c r="E53" s="187">
        <v>130.88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287519.93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287519.93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287519.93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287519.93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12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196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40526.54</v>
      </c>
      <c r="E11" s="9">
        <f>E12</f>
        <v>501075.93</v>
      </c>
    </row>
    <row r="12" spans="2:7">
      <c r="B12" s="137" t="s">
        <v>4</v>
      </c>
      <c r="C12" s="6" t="s">
        <v>5</v>
      </c>
      <c r="D12" s="90">
        <v>40526.54</v>
      </c>
      <c r="E12" s="101">
        <v>501075.93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40526.54</v>
      </c>
      <c r="E21" s="181">
        <f>E11</f>
        <v>501075.93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v>40526.54</v>
      </c>
      <c r="G26" s="84"/>
    </row>
    <row r="27" spans="2:10">
      <c r="B27" s="10" t="s">
        <v>17</v>
      </c>
      <c r="C27" s="11" t="s">
        <v>228</v>
      </c>
      <c r="D27" s="182">
        <v>42076.04</v>
      </c>
      <c r="E27" s="180">
        <f>E28-E32</f>
        <v>379018.92000000004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79725.649999999994</v>
      </c>
      <c r="E28" s="81">
        <f>SUM(E29:E31)</f>
        <v>460175.85000000003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24500</v>
      </c>
      <c r="E29" s="105">
        <v>425549.33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55225.65</v>
      </c>
      <c r="E31" s="105">
        <v>34626.519999999997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37649.609999999993</v>
      </c>
      <c r="E32" s="81">
        <f>SUM(E33:E39)</f>
        <v>81156.929999999993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71658.149999999994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39</v>
      </c>
      <c r="E35" s="105">
        <v>688.06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446.84</v>
      </c>
      <c r="E37" s="105">
        <v>923.28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37163.769999999997</v>
      </c>
      <c r="E39" s="184">
        <v>7887.44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-1549.5</v>
      </c>
      <c r="E40" s="128">
        <v>81530.47</v>
      </c>
      <c r="G40" s="84"/>
    </row>
    <row r="41" spans="2:10" ht="13.5" thickBot="1">
      <c r="B41" s="129" t="s">
        <v>37</v>
      </c>
      <c r="C41" s="130" t="s">
        <v>38</v>
      </c>
      <c r="D41" s="131">
        <v>40526.54</v>
      </c>
      <c r="E41" s="181">
        <f>E26+E27+E40</f>
        <v>501075.93000000005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432.74470000000002</v>
      </c>
      <c r="G47" s="79"/>
    </row>
    <row r="48" spans="2:10">
      <c r="B48" s="154" t="s">
        <v>6</v>
      </c>
      <c r="C48" s="23" t="s">
        <v>41</v>
      </c>
      <c r="D48" s="264">
        <v>432.74470000000002</v>
      </c>
      <c r="E48" s="185">
        <v>3996.4582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93.65</v>
      </c>
    </row>
    <row r="51" spans="2:5">
      <c r="B51" s="133" t="s">
        <v>6</v>
      </c>
      <c r="C51" s="16" t="s">
        <v>231</v>
      </c>
      <c r="D51" s="267">
        <v>77.22</v>
      </c>
      <c r="E51" s="185">
        <v>86.17</v>
      </c>
    </row>
    <row r="52" spans="2:5">
      <c r="B52" s="133" t="s">
        <v>8</v>
      </c>
      <c r="C52" s="16" t="s">
        <v>232</v>
      </c>
      <c r="D52" s="267">
        <v>96.27</v>
      </c>
      <c r="E52" s="85">
        <v>125.41</v>
      </c>
    </row>
    <row r="53" spans="2:5" ht="14.25" customHeight="1" thickBot="1">
      <c r="B53" s="134" t="s">
        <v>9</v>
      </c>
      <c r="C53" s="18" t="s">
        <v>41</v>
      </c>
      <c r="D53" s="268">
        <v>93.65</v>
      </c>
      <c r="E53" s="187">
        <v>125.38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501075.93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501075.93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501075.93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501075.93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9" sqref="D29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266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19129.55</v>
      </c>
      <c r="E11" s="9">
        <f>E12</f>
        <v>20813.419999999998</v>
      </c>
    </row>
    <row r="12" spans="2:7">
      <c r="B12" s="272" t="s">
        <v>4</v>
      </c>
      <c r="C12" s="273" t="s">
        <v>5</v>
      </c>
      <c r="D12" s="90">
        <v>19129.55</v>
      </c>
      <c r="E12" s="101">
        <v>20813.419999999998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19129.55</v>
      </c>
      <c r="E21" s="181">
        <f>E11</f>
        <v>20813.419999999998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21637.37</v>
      </c>
      <c r="E26" s="123">
        <f>D21</f>
        <v>19129.55</v>
      </c>
      <c r="G26" s="84"/>
    </row>
    <row r="27" spans="2:10">
      <c r="B27" s="10" t="s">
        <v>17</v>
      </c>
      <c r="C27" s="11" t="s">
        <v>228</v>
      </c>
      <c r="D27" s="182">
        <v>-352.72</v>
      </c>
      <c r="E27" s="180">
        <f>E28-E32</f>
        <v>-309.3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 t="s">
        <v>260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352.72</v>
      </c>
      <c r="E32" s="81">
        <f>SUM(E33:E39)</f>
        <v>309.3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352.72</v>
      </c>
      <c r="E37" s="105">
        <v>309.3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-2155.1</v>
      </c>
      <c r="E40" s="128">
        <v>1993.17</v>
      </c>
      <c r="G40" s="84"/>
    </row>
    <row r="41" spans="2:10" ht="13.5" thickBot="1">
      <c r="B41" s="129" t="s">
        <v>37</v>
      </c>
      <c r="C41" s="130" t="s">
        <v>38</v>
      </c>
      <c r="D41" s="131">
        <v>19129.55</v>
      </c>
      <c r="E41" s="181">
        <f>E26+E27+E40</f>
        <v>20813.419999999998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220.7895</v>
      </c>
      <c r="E47" s="185">
        <v>217.2825</v>
      </c>
      <c r="G47" s="79"/>
    </row>
    <row r="48" spans="2:10">
      <c r="B48" s="154" t="s">
        <v>6</v>
      </c>
      <c r="C48" s="23" t="s">
        <v>41</v>
      </c>
      <c r="D48" s="264">
        <v>217.2825</v>
      </c>
      <c r="E48" s="185">
        <v>213.8219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98</v>
      </c>
      <c r="E50" s="185">
        <v>88.04</v>
      </c>
    </row>
    <row r="51" spans="2:5">
      <c r="B51" s="133" t="s">
        <v>6</v>
      </c>
      <c r="C51" s="16" t="s">
        <v>231</v>
      </c>
      <c r="D51" s="267">
        <v>82.44</v>
      </c>
      <c r="E51" s="185">
        <v>78.460000000000008</v>
      </c>
    </row>
    <row r="52" spans="2:5">
      <c r="B52" s="133" t="s">
        <v>8</v>
      </c>
      <c r="C52" s="16" t="s">
        <v>232</v>
      </c>
      <c r="D52" s="267">
        <v>111.38</v>
      </c>
      <c r="E52" s="85">
        <v>97.51</v>
      </c>
    </row>
    <row r="53" spans="2:5" ht="12.75" customHeight="1" thickBot="1">
      <c r="B53" s="134" t="s">
        <v>9</v>
      </c>
      <c r="C53" s="18" t="s">
        <v>41</v>
      </c>
      <c r="D53" s="268">
        <v>88.04</v>
      </c>
      <c r="E53" s="187">
        <v>97.34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20813.419999999998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20813.419999999998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20813.419999999998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20813.419999999998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opLeftCell="A49" workbookViewId="0">
      <selection activeCell="B23" sqref="B23:E2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09"/>
      <c r="C4" s="109"/>
      <c r="D4" s="109"/>
      <c r="E4" s="109"/>
    </row>
    <row r="5" spans="2:5" ht="21" customHeight="1">
      <c r="B5" s="337" t="s">
        <v>1</v>
      </c>
      <c r="C5" s="337"/>
      <c r="D5" s="337"/>
      <c r="E5" s="337"/>
    </row>
    <row r="6" spans="2:5" ht="14.25">
      <c r="B6" s="338" t="s">
        <v>273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0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108293.33</v>
      </c>
      <c r="E11" s="9">
        <f>E12+E13+E14</f>
        <v>215579.53</v>
      </c>
    </row>
    <row r="12" spans="2:5">
      <c r="B12" s="137" t="s">
        <v>4</v>
      </c>
      <c r="C12" s="6" t="s">
        <v>5</v>
      </c>
      <c r="D12" s="90">
        <v>108105.09</v>
      </c>
      <c r="E12" s="101">
        <f>195287.15+19246.86+0.05</f>
        <v>214534.06</v>
      </c>
    </row>
    <row r="13" spans="2:5">
      <c r="B13" s="137" t="s">
        <v>6</v>
      </c>
      <c r="C13" s="72" t="s">
        <v>7</v>
      </c>
      <c r="D13" s="90"/>
      <c r="E13" s="101"/>
    </row>
    <row r="14" spans="2:5">
      <c r="B14" s="137" t="s">
        <v>8</v>
      </c>
      <c r="C14" s="72" t="s">
        <v>10</v>
      </c>
      <c r="D14" s="90">
        <v>188.24</v>
      </c>
      <c r="E14" s="101">
        <f>E15</f>
        <v>1045.47</v>
      </c>
    </row>
    <row r="15" spans="2:5">
      <c r="B15" s="137" t="s">
        <v>223</v>
      </c>
      <c r="C15" s="72" t="s">
        <v>11</v>
      </c>
      <c r="D15" s="90">
        <v>188.24</v>
      </c>
      <c r="E15" s="101">
        <f>674.15+371.32</f>
        <v>1045.47</v>
      </c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253</v>
      </c>
      <c r="E17" s="117">
        <f>E18</f>
        <v>503.65</v>
      </c>
    </row>
    <row r="18" spans="2:10">
      <c r="B18" s="137" t="s">
        <v>4</v>
      </c>
      <c r="C18" s="6" t="s">
        <v>11</v>
      </c>
      <c r="D18" s="90">
        <v>253</v>
      </c>
      <c r="E18" s="102">
        <v>503.65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108040.33</v>
      </c>
      <c r="E21" s="104">
        <f>E11-E17</f>
        <v>215075.88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6.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77928.779999999984</v>
      </c>
      <c r="E26" s="123">
        <v>108040.33</v>
      </c>
      <c r="G26" s="84"/>
    </row>
    <row r="27" spans="2:10">
      <c r="B27" s="10" t="s">
        <v>17</v>
      </c>
      <c r="C27" s="11" t="s">
        <v>228</v>
      </c>
      <c r="D27" s="182">
        <v>43463.68</v>
      </c>
      <c r="E27" s="180">
        <f>E28-E32</f>
        <v>90347.6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83401.08</v>
      </c>
      <c r="E28" s="81">
        <f>SUM(E29:E31)</f>
        <v>119178.97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81802.350000000006</v>
      </c>
      <c r="E29" s="105">
        <v>91609.49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1598.73</v>
      </c>
      <c r="E31" s="105">
        <v>27569.48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39937.399999999994</v>
      </c>
      <c r="E32" s="81">
        <f>SUM(E33:E39)</f>
        <v>28831.370000000003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24299.53</v>
      </c>
      <c r="E33" s="105">
        <v>18779.16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6285.89</v>
      </c>
      <c r="E35" s="105">
        <v>7968.17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9351.98</v>
      </c>
      <c r="E39" s="184">
        <v>2084.04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-13352.13</v>
      </c>
      <c r="E40" s="128">
        <v>16687.95</v>
      </c>
      <c r="G40" s="84"/>
    </row>
    <row r="41" spans="2:10" ht="13.5" thickBot="1">
      <c r="B41" s="129" t="s">
        <v>37</v>
      </c>
      <c r="C41" s="130" t="s">
        <v>38</v>
      </c>
      <c r="D41" s="131">
        <v>108040.32999999999</v>
      </c>
      <c r="E41" s="181">
        <f>E26+E27+E40</f>
        <v>215075.88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5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7998.9304000000002</v>
      </c>
      <c r="E47" s="83">
        <v>12684.4804</v>
      </c>
      <c r="G47" s="79"/>
    </row>
    <row r="48" spans="2:10">
      <c r="B48" s="154" t="s">
        <v>6</v>
      </c>
      <c r="C48" s="23" t="s">
        <v>41</v>
      </c>
      <c r="D48" s="264">
        <v>12684.4804</v>
      </c>
      <c r="E48" s="83">
        <v>22714.638299999999</v>
      </c>
      <c r="G48" s="315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9.7423999999999999</v>
      </c>
      <c r="E50" s="83">
        <v>8.5175211433966194</v>
      </c>
    </row>
    <row r="51" spans="2:5">
      <c r="B51" s="133" t="s">
        <v>6</v>
      </c>
      <c r="C51" s="16" t="s">
        <v>231</v>
      </c>
      <c r="D51" s="314">
        <v>8.2676999999999996</v>
      </c>
      <c r="E51" s="85">
        <v>7.8652000000000006</v>
      </c>
    </row>
    <row r="52" spans="2:5">
      <c r="B52" s="133" t="s">
        <v>8</v>
      </c>
      <c r="C52" s="16" t="s">
        <v>232</v>
      </c>
      <c r="D52" s="314">
        <v>9.8177000000000003</v>
      </c>
      <c r="E52" s="85">
        <v>9.5545000000000009</v>
      </c>
    </row>
    <row r="53" spans="2:5" ht="13.5" thickBot="1">
      <c r="B53" s="134" t="s">
        <v>9</v>
      </c>
      <c r="C53" s="18" t="s">
        <v>41</v>
      </c>
      <c r="D53" s="268">
        <v>8.5175211433966194</v>
      </c>
      <c r="E53" s="187">
        <v>9.46860245624074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214534.06</v>
      </c>
      <c r="E58" s="33">
        <f>D58/E21</f>
        <v>0.99748079607996953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195287.15</v>
      </c>
      <c r="E64" s="97">
        <f>D64/E21</f>
        <v>0.90799186780033159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19246.86+0.05</f>
        <v>19246.91</v>
      </c>
      <c r="E69" s="95">
        <f>D69/E21</f>
        <v>8.9488928279637864E-2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0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1045.47</v>
      </c>
      <c r="E72" s="150">
        <f>D72/E21</f>
        <v>4.8609355916618821E-3</v>
      </c>
    </row>
    <row r="73" spans="2:5">
      <c r="B73" s="24" t="s">
        <v>62</v>
      </c>
      <c r="C73" s="25" t="s">
        <v>65</v>
      </c>
      <c r="D73" s="26">
        <f>E17</f>
        <v>503.65</v>
      </c>
      <c r="E73" s="27">
        <f>D73/E21</f>
        <v>2.3417316716314259E-3</v>
      </c>
    </row>
    <row r="74" spans="2:5">
      <c r="B74" s="151" t="s">
        <v>64</v>
      </c>
      <c r="C74" s="152" t="s">
        <v>66</v>
      </c>
      <c r="D74" s="153">
        <f>D58+D71+D72-D73</f>
        <v>215075.88</v>
      </c>
      <c r="E74" s="70">
        <f>E58+E72-E73</f>
        <v>1</v>
      </c>
    </row>
    <row r="75" spans="2:5">
      <c r="B75" s="15" t="s">
        <v>4</v>
      </c>
      <c r="C75" s="16" t="s">
        <v>67</v>
      </c>
      <c r="D75" s="94">
        <f>D74</f>
        <v>215075.88</v>
      </c>
      <c r="E75" s="95">
        <f>E74</f>
        <v>1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139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389117.68</v>
      </c>
      <c r="E11" s="9">
        <f>E12</f>
        <v>197752.71</v>
      </c>
    </row>
    <row r="12" spans="2:7">
      <c r="B12" s="137" t="s">
        <v>4</v>
      </c>
      <c r="C12" s="6" t="s">
        <v>5</v>
      </c>
      <c r="D12" s="90">
        <v>389117.68</v>
      </c>
      <c r="E12" s="101">
        <v>197752.71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389117.68</v>
      </c>
      <c r="E21" s="181">
        <f>E11</f>
        <v>197752.71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458532.4</v>
      </c>
      <c r="E26" s="123">
        <f>D21</f>
        <v>389117.68</v>
      </c>
      <c r="G26" s="84"/>
    </row>
    <row r="27" spans="2:10">
      <c r="B27" s="10" t="s">
        <v>17</v>
      </c>
      <c r="C27" s="11" t="s">
        <v>228</v>
      </c>
      <c r="D27" s="182">
        <v>-114361.23</v>
      </c>
      <c r="E27" s="180">
        <f>E28-E32</f>
        <v>-227612.72000000003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731994.7</v>
      </c>
      <c r="E28" s="81">
        <f>SUM(E29:E31)</f>
        <v>144594.39000000001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694648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37346.699999999997</v>
      </c>
      <c r="E31" s="105">
        <v>144594.39000000001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846355.93</v>
      </c>
      <c r="E32" s="81">
        <f>SUM(E33:E39)</f>
        <v>372207.11000000004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352066.77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75.28</v>
      </c>
      <c r="E35" s="105">
        <v>197.01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9454.52</v>
      </c>
      <c r="E37" s="105">
        <v>4879.7700000000004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836826.13</v>
      </c>
      <c r="E39" s="184">
        <v>15063.56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44946.51</v>
      </c>
      <c r="E40" s="128">
        <v>36247.75</v>
      </c>
      <c r="G40" s="84"/>
    </row>
    <row r="41" spans="2:10" ht="13.5" thickBot="1">
      <c r="B41" s="129" t="s">
        <v>37</v>
      </c>
      <c r="C41" s="130" t="s">
        <v>38</v>
      </c>
      <c r="D41" s="131">
        <v>389117.68000000005</v>
      </c>
      <c r="E41" s="181">
        <f>E26+E27+E40</f>
        <v>197752.70999999996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10442.5506</v>
      </c>
      <c r="E47" s="185">
        <v>8256.2630000000008</v>
      </c>
      <c r="G47" s="79"/>
    </row>
    <row r="48" spans="2:10">
      <c r="B48" s="154" t="s">
        <v>6</v>
      </c>
      <c r="C48" s="23" t="s">
        <v>41</v>
      </c>
      <c r="D48" s="264">
        <v>8256.2630000000008</v>
      </c>
      <c r="E48" s="185">
        <v>3635.1601000000001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43.91</v>
      </c>
      <c r="E50" s="185">
        <v>47.13</v>
      </c>
    </row>
    <row r="51" spans="2:5">
      <c r="B51" s="133" t="s">
        <v>6</v>
      </c>
      <c r="C51" s="16" t="s">
        <v>231</v>
      </c>
      <c r="D51" s="267">
        <v>43.2</v>
      </c>
      <c r="E51" s="185">
        <v>42.01</v>
      </c>
    </row>
    <row r="52" spans="2:5">
      <c r="B52" s="133" t="s">
        <v>8</v>
      </c>
      <c r="C52" s="16" t="s">
        <v>232</v>
      </c>
      <c r="D52" s="267">
        <v>51.49</v>
      </c>
      <c r="E52" s="85">
        <v>54.4</v>
      </c>
    </row>
    <row r="53" spans="2:5" ht="14.25" customHeight="1" thickBot="1">
      <c r="B53" s="134" t="s">
        <v>9</v>
      </c>
      <c r="C53" s="18" t="s">
        <v>41</v>
      </c>
      <c r="D53" s="268">
        <v>47.13</v>
      </c>
      <c r="E53" s="187">
        <v>54.4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197752.71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197752.71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197752.71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197752.71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28" sqref="E2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141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35518658.700000003</v>
      </c>
      <c r="E11" s="9">
        <f>E12</f>
        <v>14584813.24</v>
      </c>
    </row>
    <row r="12" spans="2:7">
      <c r="B12" s="137" t="s">
        <v>4</v>
      </c>
      <c r="C12" s="6" t="s">
        <v>5</v>
      </c>
      <c r="D12" s="90">
        <v>35518658.700000003</v>
      </c>
      <c r="E12" s="101">
        <v>14584813.24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35518658.700000003</v>
      </c>
      <c r="E21" s="181">
        <f>E11</f>
        <v>14584813.24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39116901.460000001</v>
      </c>
      <c r="E26" s="123">
        <v>35518658.700000003</v>
      </c>
      <c r="G26" s="84"/>
    </row>
    <row r="27" spans="2:10">
      <c r="B27" s="10" t="s">
        <v>17</v>
      </c>
      <c r="C27" s="11" t="s">
        <v>228</v>
      </c>
      <c r="D27" s="182">
        <v>-2465125.64</v>
      </c>
      <c r="E27" s="180">
        <f>E28-E32</f>
        <v>-14067956.920000002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16531345.77</v>
      </c>
      <c r="E28" s="81">
        <f>SUM(E29:E31)</f>
        <v>386697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12449835.470000001</v>
      </c>
      <c r="E29" s="105">
        <v>386697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4081510.3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18996471.41</v>
      </c>
      <c r="E32" s="81">
        <f>SUM(E33:E39)</f>
        <v>14454653.920000002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7038071.1900000004</v>
      </c>
      <c r="E33" s="105">
        <v>8631890.2699999996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18053.580000000002</v>
      </c>
      <c r="E35" s="105">
        <v>92225.63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702638.76</v>
      </c>
      <c r="E37" s="105">
        <v>356117.89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11237707.880000001</v>
      </c>
      <c r="E39" s="184">
        <v>5374420.1299999999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-1133117.1200000001</v>
      </c>
      <c r="E40" s="128">
        <v>-6865888.54</v>
      </c>
      <c r="G40" s="84"/>
    </row>
    <row r="41" spans="2:10" ht="13.5" thickBot="1">
      <c r="B41" s="129" t="s">
        <v>37</v>
      </c>
      <c r="C41" s="130" t="s">
        <v>38</v>
      </c>
      <c r="D41" s="131">
        <v>35518658.700000003</v>
      </c>
      <c r="E41" s="181">
        <f>E26+E27+E40</f>
        <v>14584813.240000002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389882.40269999998</v>
      </c>
      <c r="E47" s="185">
        <v>358123.1972</v>
      </c>
      <c r="G47" s="79"/>
    </row>
    <row r="48" spans="2:10">
      <c r="B48" s="154" t="s">
        <v>6</v>
      </c>
      <c r="C48" s="23" t="s">
        <v>41</v>
      </c>
      <c r="D48" s="264">
        <v>358123.1972</v>
      </c>
      <c r="E48" s="185">
        <v>189363.97349999999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100.33</v>
      </c>
      <c r="E50" s="185">
        <v>99.18</v>
      </c>
    </row>
    <row r="51" spans="2:5">
      <c r="B51" s="133" t="s">
        <v>6</v>
      </c>
      <c r="C51" s="16" t="s">
        <v>231</v>
      </c>
      <c r="D51" s="267">
        <v>90.92</v>
      </c>
      <c r="E51" s="185">
        <v>73.8</v>
      </c>
    </row>
    <row r="52" spans="2:5">
      <c r="B52" s="133" t="s">
        <v>8</v>
      </c>
      <c r="C52" s="16" t="s">
        <v>232</v>
      </c>
      <c r="D52" s="267">
        <v>111.99</v>
      </c>
      <c r="E52" s="85">
        <v>99.18</v>
      </c>
    </row>
    <row r="53" spans="2:5" ht="14.25" customHeight="1" thickBot="1">
      <c r="B53" s="134" t="s">
        <v>9</v>
      </c>
      <c r="C53" s="18" t="s">
        <v>41</v>
      </c>
      <c r="D53" s="268">
        <v>99.18</v>
      </c>
      <c r="E53" s="187">
        <v>77.02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14584813.24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14584813.24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14584813.24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14584813.24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3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142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352276.78</v>
      </c>
      <c r="E11" s="9">
        <f>E12</f>
        <v>167165.93</v>
      </c>
    </row>
    <row r="12" spans="2:7">
      <c r="B12" s="137" t="s">
        <v>4</v>
      </c>
      <c r="C12" s="6" t="s">
        <v>5</v>
      </c>
      <c r="D12" s="90">
        <v>352276.78</v>
      </c>
      <c r="E12" s="101">
        <v>167165.93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352276.78</v>
      </c>
      <c r="E21" s="181">
        <f>E11</f>
        <v>167165.93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372790.51</v>
      </c>
      <c r="E26" s="123">
        <v>352276.78</v>
      </c>
      <c r="G26" s="84"/>
    </row>
    <row r="27" spans="2:10">
      <c r="B27" s="10" t="s">
        <v>17</v>
      </c>
      <c r="C27" s="11" t="s">
        <v>228</v>
      </c>
      <c r="D27" s="182">
        <v>-6293.01</v>
      </c>
      <c r="E27" s="180">
        <f>E28-E32</f>
        <v>-189191.15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/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6293.01</v>
      </c>
      <c r="E32" s="81">
        <f>SUM(E33:E39)</f>
        <v>189191.15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186016.49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220.66</v>
      </c>
      <c r="E35" s="105">
        <v>402.09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6072.35</v>
      </c>
      <c r="E37" s="105">
        <v>2772.57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-14220.72</v>
      </c>
      <c r="E40" s="128">
        <v>4080.3</v>
      </c>
      <c r="G40" s="84"/>
    </row>
    <row r="41" spans="2:10" ht="13.5" thickBot="1">
      <c r="B41" s="129" t="s">
        <v>37</v>
      </c>
      <c r="C41" s="130" t="s">
        <v>38</v>
      </c>
      <c r="D41" s="131">
        <v>352276.78</v>
      </c>
      <c r="E41" s="181">
        <f>E26+E27+E40</f>
        <v>167165.93000000002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5352.3404</v>
      </c>
      <c r="E47" s="185">
        <v>5264.1478999999999</v>
      </c>
      <c r="G47" s="79"/>
    </row>
    <row r="48" spans="2:10">
      <c r="B48" s="154" t="s">
        <v>6</v>
      </c>
      <c r="C48" s="23" t="s">
        <v>41</v>
      </c>
      <c r="D48" s="264">
        <v>5264.1478999999999</v>
      </c>
      <c r="E48" s="185">
        <v>2259.9153000000001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69.650000000000006</v>
      </c>
      <c r="E50" s="185">
        <v>66.92</v>
      </c>
    </row>
    <row r="51" spans="2:5">
      <c r="B51" s="133" t="s">
        <v>6</v>
      </c>
      <c r="C51" s="16" t="s">
        <v>231</v>
      </c>
      <c r="D51" s="267">
        <v>63.22</v>
      </c>
      <c r="E51" s="85">
        <v>61.71</v>
      </c>
    </row>
    <row r="52" spans="2:5">
      <c r="B52" s="133" t="s">
        <v>8</v>
      </c>
      <c r="C52" s="16" t="s">
        <v>232</v>
      </c>
      <c r="D52" s="267">
        <v>76.27</v>
      </c>
      <c r="E52" s="85">
        <v>73.97</v>
      </c>
    </row>
    <row r="53" spans="2:5" ht="13.5" customHeight="1" thickBot="1">
      <c r="B53" s="134" t="s">
        <v>9</v>
      </c>
      <c r="C53" s="18" t="s">
        <v>41</v>
      </c>
      <c r="D53" s="268">
        <v>66.92</v>
      </c>
      <c r="E53" s="187">
        <v>73.97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167165.93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167165.93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167165.93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167165.93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140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2735963.11</v>
      </c>
      <c r="E11" s="9">
        <f>E12</f>
        <v>1237959.07</v>
      </c>
    </row>
    <row r="12" spans="2:7">
      <c r="B12" s="137" t="s">
        <v>4</v>
      </c>
      <c r="C12" s="6" t="s">
        <v>5</v>
      </c>
      <c r="D12" s="90">
        <v>2735963.11</v>
      </c>
      <c r="E12" s="101">
        <v>1237959.07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2735963.11</v>
      </c>
      <c r="E21" s="181">
        <f>E11</f>
        <v>1237959.07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1078741.69</v>
      </c>
      <c r="E26" s="123">
        <v>2735963.11</v>
      </c>
      <c r="G26" s="84"/>
    </row>
    <row r="27" spans="2:10">
      <c r="B27" s="10" t="s">
        <v>17</v>
      </c>
      <c r="C27" s="11" t="s">
        <v>228</v>
      </c>
      <c r="D27" s="182">
        <v>1642169.86</v>
      </c>
      <c r="E27" s="180">
        <f>E28-E32</f>
        <v>-1494899.79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2136524.79</v>
      </c>
      <c r="E28" s="81">
        <f>SUM(E29:E31)</f>
        <v>322949.40999999997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736851.99</v>
      </c>
      <c r="E29" s="105">
        <v>14700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1399672.8</v>
      </c>
      <c r="E31" s="105">
        <v>308249.40999999997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494354.93</v>
      </c>
      <c r="E32" s="81">
        <f>SUM(E33:E39)</f>
        <v>1817849.2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120082.01</v>
      </c>
      <c r="E33" s="105">
        <v>1293881.92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630.26</v>
      </c>
      <c r="E35" s="105">
        <v>1535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35203.79</v>
      </c>
      <c r="E37" s="105">
        <v>27862.73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338438.87</v>
      </c>
      <c r="E39" s="184">
        <v>494569.55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15051.56</v>
      </c>
      <c r="E40" s="128">
        <v>-3104.25</v>
      </c>
      <c r="G40" s="84"/>
    </row>
    <row r="41" spans="2:10" ht="13.5" thickBot="1">
      <c r="B41" s="129" t="s">
        <v>37</v>
      </c>
      <c r="C41" s="130" t="s">
        <v>38</v>
      </c>
      <c r="D41" s="131">
        <v>2735963.11</v>
      </c>
      <c r="E41" s="181">
        <f>E26+E27+E40</f>
        <v>1237959.0699999998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6422.9930999999997</v>
      </c>
      <c r="E47" s="83">
        <v>14935.111699999999</v>
      </c>
      <c r="G47" s="79"/>
    </row>
    <row r="48" spans="2:10">
      <c r="B48" s="154" t="s">
        <v>6</v>
      </c>
      <c r="C48" s="23" t="s">
        <v>41</v>
      </c>
      <c r="D48" s="264">
        <v>14935.111699999999</v>
      </c>
      <c r="E48" s="185">
        <v>6334.5396000000001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167.95</v>
      </c>
      <c r="E50" s="85">
        <v>183.19</v>
      </c>
    </row>
    <row r="51" spans="2:5">
      <c r="B51" s="133" t="s">
        <v>6</v>
      </c>
      <c r="C51" s="16" t="s">
        <v>231</v>
      </c>
      <c r="D51" s="267">
        <v>160.85</v>
      </c>
      <c r="E51" s="85">
        <v>154.55000000000001</v>
      </c>
    </row>
    <row r="52" spans="2:5">
      <c r="B52" s="133" t="s">
        <v>8</v>
      </c>
      <c r="C52" s="16" t="s">
        <v>232</v>
      </c>
      <c r="D52" s="267">
        <v>196.66</v>
      </c>
      <c r="E52" s="85">
        <v>197.79</v>
      </c>
    </row>
    <row r="53" spans="2:5" ht="14.25" customHeight="1" thickBot="1">
      <c r="B53" s="134" t="s">
        <v>9</v>
      </c>
      <c r="C53" s="18" t="s">
        <v>41</v>
      </c>
      <c r="D53" s="268">
        <v>183.19</v>
      </c>
      <c r="E53" s="187">
        <v>195.43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1237959.07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1237959.07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1237959.07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1237959.07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253</v>
      </c>
      <c r="C6" s="338"/>
      <c r="D6" s="338"/>
      <c r="E6" s="338"/>
    </row>
    <row r="7" spans="2:7" ht="14.25">
      <c r="B7" s="195"/>
      <c r="C7" s="195"/>
      <c r="D7" s="195"/>
      <c r="E7" s="19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96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49309.93</v>
      </c>
    </row>
    <row r="12" spans="2:7">
      <c r="B12" s="137" t="s">
        <v>4</v>
      </c>
      <c r="C12" s="6" t="s">
        <v>5</v>
      </c>
      <c r="D12" s="90" t="s">
        <v>260</v>
      </c>
      <c r="E12" s="101">
        <v>49309.93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49309.93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96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15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216"/>
      <c r="E27" s="180">
        <f>E28-E32</f>
        <v>50581.070000000007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16"/>
      <c r="E28" s="81">
        <f>SUM(E29:E31)</f>
        <v>58241.41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17"/>
      <c r="E29" s="105">
        <v>58241.41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17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17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16"/>
      <c r="E32" s="81">
        <f>SUM(E33:E39)</f>
        <v>7660.34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17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17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17"/>
      <c r="E35" s="105">
        <v>168.2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17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17"/>
      <c r="E37" s="105">
        <v>374.59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17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18"/>
      <c r="E39" s="184">
        <v>7117.55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19"/>
      <c r="E40" s="128">
        <v>-1271.1400000000001</v>
      </c>
      <c r="G40" s="84"/>
    </row>
    <row r="41" spans="2:10" ht="13.5" thickBot="1">
      <c r="B41" s="129" t="s">
        <v>37</v>
      </c>
      <c r="C41" s="130" t="s">
        <v>38</v>
      </c>
      <c r="D41" s="220"/>
      <c r="E41" s="181" t="e">
        <f>E26+E27+E40</f>
        <v>#VALUE!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96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314.096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156.13</v>
      </c>
    </row>
    <row r="52" spans="2:5">
      <c r="B52" s="133" t="s">
        <v>8</v>
      </c>
      <c r="C52" s="16" t="s">
        <v>232</v>
      </c>
      <c r="D52" s="224"/>
      <c r="E52" s="85">
        <v>162.35</v>
      </c>
    </row>
    <row r="53" spans="2:5" ht="13.5" thickBot="1">
      <c r="B53" s="134" t="s">
        <v>9</v>
      </c>
      <c r="C53" s="18" t="s">
        <v>41</v>
      </c>
      <c r="D53" s="225"/>
      <c r="E53" s="187">
        <v>156.99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49309.93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49309.93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49309.93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49309.93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I36" sqref="I3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254</v>
      </c>
      <c r="C6" s="338"/>
      <c r="D6" s="338"/>
      <c r="E6" s="338"/>
    </row>
    <row r="7" spans="2:7" ht="14.25">
      <c r="B7" s="195"/>
      <c r="C7" s="195"/>
      <c r="D7" s="195"/>
      <c r="E7" s="19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96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42282.02</v>
      </c>
    </row>
    <row r="12" spans="2:7">
      <c r="B12" s="137" t="s">
        <v>4</v>
      </c>
      <c r="C12" s="6" t="s">
        <v>5</v>
      </c>
      <c r="D12" s="90" t="s">
        <v>260</v>
      </c>
      <c r="E12" s="101">
        <v>42282.02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42282.02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96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15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216"/>
      <c r="E27" s="180">
        <f>E28-E32</f>
        <v>41748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16"/>
      <c r="E28" s="81">
        <f>SUM(E29:E31)</f>
        <v>41748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17"/>
      <c r="E29" s="105">
        <v>41748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17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17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16"/>
      <c r="E32" s="81">
        <f>SUM(E33:E39)</f>
        <v>0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17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17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17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17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17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17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18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19"/>
      <c r="E40" s="128">
        <v>534.02</v>
      </c>
      <c r="G40" s="84"/>
    </row>
    <row r="41" spans="2:10" ht="13.5" thickBot="1">
      <c r="B41" s="129" t="s">
        <v>37</v>
      </c>
      <c r="C41" s="130" t="s">
        <v>38</v>
      </c>
      <c r="D41" s="220"/>
      <c r="E41" s="181">
        <f>E27+E40</f>
        <v>42282.02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96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675.97149999999999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61.51</v>
      </c>
    </row>
    <row r="52" spans="2:5">
      <c r="B52" s="133" t="s">
        <v>8</v>
      </c>
      <c r="C52" s="16" t="s">
        <v>232</v>
      </c>
      <c r="D52" s="224"/>
      <c r="E52" s="85">
        <v>62.55</v>
      </c>
    </row>
    <row r="53" spans="2:5" ht="13.5" thickBot="1">
      <c r="B53" s="134" t="s">
        <v>9</v>
      </c>
      <c r="C53" s="18" t="s">
        <v>41</v>
      </c>
      <c r="D53" s="225"/>
      <c r="E53" s="187">
        <v>62.55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42282.02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42282.02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42282.02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42282.02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167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223824.2</v>
      </c>
      <c r="E11" s="9">
        <f>E12</f>
        <v>211466.44</v>
      </c>
    </row>
    <row r="12" spans="2:7">
      <c r="B12" s="137" t="s">
        <v>4</v>
      </c>
      <c r="C12" s="6" t="s">
        <v>5</v>
      </c>
      <c r="D12" s="90">
        <v>223824.2</v>
      </c>
      <c r="E12" s="101">
        <v>211466.44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223824.2</v>
      </c>
      <c r="E21" s="181">
        <f>E11</f>
        <v>211466.44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24661.91</v>
      </c>
      <c r="E26" s="123">
        <v>223824.2</v>
      </c>
      <c r="G26" s="84"/>
    </row>
    <row r="27" spans="2:10">
      <c r="B27" s="10" t="s">
        <v>17</v>
      </c>
      <c r="C27" s="11" t="s">
        <v>228</v>
      </c>
      <c r="D27" s="182">
        <v>209448.03</v>
      </c>
      <c r="E27" s="180">
        <f>E28-E32</f>
        <v>-29188.660000000007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254038.77</v>
      </c>
      <c r="E28" s="81">
        <f>SUM(E29:E31)</f>
        <v>28735.16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17199.990000000002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236838.78</v>
      </c>
      <c r="E31" s="105">
        <v>28735.16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44590.74</v>
      </c>
      <c r="E32" s="81">
        <f>SUM(E33:E39)</f>
        <v>57923.820000000007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20841.490000000002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261.10000000000002</v>
      </c>
      <c r="E35" s="105">
        <v>468.95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2437.2199999999998</v>
      </c>
      <c r="E37" s="105">
        <v>3977.01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41892.42</v>
      </c>
      <c r="E39" s="184">
        <v>32636.37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-10285.74</v>
      </c>
      <c r="E40" s="128">
        <v>16830.900000000001</v>
      </c>
      <c r="G40" s="84"/>
    </row>
    <row r="41" spans="2:10" ht="13.5" thickBot="1">
      <c r="B41" s="129" t="s">
        <v>37</v>
      </c>
      <c r="C41" s="130" t="s">
        <v>38</v>
      </c>
      <c r="D41" s="131">
        <v>223824.2</v>
      </c>
      <c r="E41" s="181">
        <f>E26+E27+E40</f>
        <v>211466.44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152.84729999999999</v>
      </c>
      <c r="E47" s="83">
        <v>1386.6811</v>
      </c>
      <c r="G47" s="79"/>
    </row>
    <row r="48" spans="2:10">
      <c r="B48" s="154" t="s">
        <v>6</v>
      </c>
      <c r="C48" s="23" t="s">
        <v>41</v>
      </c>
      <c r="D48" s="264">
        <v>1386.6811</v>
      </c>
      <c r="E48" s="185">
        <v>1201.0362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161.35</v>
      </c>
      <c r="E50" s="85">
        <v>161.41</v>
      </c>
    </row>
    <row r="51" spans="2:5">
      <c r="B51" s="133" t="s">
        <v>6</v>
      </c>
      <c r="C51" s="16" t="s">
        <v>231</v>
      </c>
      <c r="D51" s="267">
        <v>152.51</v>
      </c>
      <c r="E51" s="85">
        <v>146.72999999999999</v>
      </c>
    </row>
    <row r="52" spans="2:5">
      <c r="B52" s="133" t="s">
        <v>8</v>
      </c>
      <c r="C52" s="16" t="s">
        <v>232</v>
      </c>
      <c r="D52" s="267">
        <v>183.67</v>
      </c>
      <c r="E52" s="85">
        <v>176.13</v>
      </c>
    </row>
    <row r="53" spans="2:5" ht="14.25" customHeight="1" thickBot="1">
      <c r="B53" s="134" t="s">
        <v>9</v>
      </c>
      <c r="C53" s="18" t="s">
        <v>41</v>
      </c>
      <c r="D53" s="268">
        <v>161.41</v>
      </c>
      <c r="E53" s="187">
        <v>176.07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211466.44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211466.44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211466.44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211466.44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J35" sqref="J3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 t="s">
        <v>260</v>
      </c>
    </row>
    <row r="12" spans="2:7">
      <c r="B12" s="137" t="s">
        <v>4</v>
      </c>
      <c r="C12" s="6" t="s">
        <v>5</v>
      </c>
      <c r="D12" s="90" t="s">
        <v>260</v>
      </c>
      <c r="E12" s="101" t="s">
        <v>260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04" t="str">
        <f>E11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0</v>
      </c>
      <c r="G26" s="84"/>
    </row>
    <row r="27" spans="2:10">
      <c r="B27" s="10" t="s">
        <v>17</v>
      </c>
      <c r="C27" s="11" t="s">
        <v>228</v>
      </c>
      <c r="D27" s="182">
        <v>993.35999999999694</v>
      </c>
      <c r="E27" s="180">
        <f>E28-E32</f>
        <v>-5833.2099999999919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22868.28</v>
      </c>
      <c r="E28" s="81">
        <f>SUM(E29:E31)</f>
        <v>151546.06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22868.28</v>
      </c>
      <c r="E31" s="105">
        <v>151546.06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21874.920000000002</v>
      </c>
      <c r="E32" s="81">
        <f>SUM(E33:E39)</f>
        <v>157379.26999999999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8.11</v>
      </c>
      <c r="E35" s="105">
        <v>203.27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27.91</v>
      </c>
      <c r="E37" s="105">
        <v>635.32000000000005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21838.9</v>
      </c>
      <c r="E39" s="184">
        <v>156540.68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-993.35</v>
      </c>
      <c r="E40" s="128">
        <v>5833.21</v>
      </c>
      <c r="G40" s="84"/>
    </row>
    <row r="41" spans="2:10" ht="13.5" thickBot="1">
      <c r="B41" s="129" t="s">
        <v>37</v>
      </c>
      <c r="C41" s="130" t="s">
        <v>38</v>
      </c>
      <c r="D41" s="232" t="s">
        <v>260</v>
      </c>
      <c r="E41" s="181" t="s">
        <v>260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83"/>
      <c r="G47" s="79"/>
    </row>
    <row r="48" spans="2:10">
      <c r="B48" s="154" t="s">
        <v>6</v>
      </c>
      <c r="C48" s="23" t="s">
        <v>41</v>
      </c>
      <c r="D48" s="234"/>
      <c r="E48" s="185"/>
      <c r="G48" s="79"/>
    </row>
    <row r="49" spans="2:5">
      <c r="B49" s="151" t="s">
        <v>23</v>
      </c>
      <c r="C49" s="155" t="s">
        <v>230</v>
      </c>
      <c r="D49" s="235"/>
      <c r="E49" s="156"/>
    </row>
    <row r="50" spans="2:5">
      <c r="B50" s="133" t="s">
        <v>4</v>
      </c>
      <c r="C50" s="16" t="s">
        <v>40</v>
      </c>
      <c r="D50" s="233"/>
      <c r="E50" s="85"/>
    </row>
    <row r="51" spans="2:5">
      <c r="B51" s="133" t="s">
        <v>6</v>
      </c>
      <c r="C51" s="16" t="s">
        <v>231</v>
      </c>
      <c r="D51" s="267">
        <v>45.85</v>
      </c>
      <c r="E51" s="85">
        <v>46.25</v>
      </c>
    </row>
    <row r="52" spans="2:5">
      <c r="B52" s="133" t="s">
        <v>8</v>
      </c>
      <c r="C52" s="16" t="s">
        <v>232</v>
      </c>
      <c r="D52" s="267">
        <v>58.58</v>
      </c>
      <c r="E52" s="85">
        <v>58.83</v>
      </c>
    </row>
    <row r="53" spans="2:5" ht="13.5" customHeight="1" thickBot="1">
      <c r="B53" s="134" t="s">
        <v>9</v>
      </c>
      <c r="C53" s="18" t="s">
        <v>41</v>
      </c>
      <c r="D53" s="225"/>
      <c r="E53" s="187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 t="str">
        <f>D64</f>
        <v>-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 t="str">
        <f>E21</f>
        <v>-</v>
      </c>
      <c r="E64" s="97">
        <f>E58</f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 t="str">
        <f>D58</f>
        <v>-</v>
      </c>
      <c r="E74" s="70">
        <f>E58+E72-E73</f>
        <v>0</v>
      </c>
    </row>
    <row r="75" spans="2:5">
      <c r="B75" s="133" t="s">
        <v>4</v>
      </c>
      <c r="C75" s="16" t="s">
        <v>67</v>
      </c>
      <c r="D75" s="94" t="str">
        <f>D74</f>
        <v>-</v>
      </c>
      <c r="E75" s="95">
        <f>E74</f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172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</f>
        <v>128959.62</v>
      </c>
      <c r="E11" s="9">
        <f>E12</f>
        <v>394498.52</v>
      </c>
    </row>
    <row r="12" spans="2:7">
      <c r="B12" s="137" t="s">
        <v>4</v>
      </c>
      <c r="C12" s="6" t="s">
        <v>5</v>
      </c>
      <c r="D12" s="90">
        <v>128959.62</v>
      </c>
      <c r="E12" s="101">
        <v>394498.52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128959.62</v>
      </c>
      <c r="E21" s="181">
        <f>E11</f>
        <v>394498.52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8181.6</v>
      </c>
      <c r="E26" s="123">
        <f>D21</f>
        <v>128959.62</v>
      </c>
      <c r="G26" s="84"/>
    </row>
    <row r="27" spans="2:10">
      <c r="B27" s="10" t="s">
        <v>17</v>
      </c>
      <c r="C27" s="11" t="s">
        <v>228</v>
      </c>
      <c r="D27" s="182">
        <v>169930.06</v>
      </c>
      <c r="E27" s="180">
        <f>E28-E32</f>
        <v>235690.21999999997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389474.9</v>
      </c>
      <c r="E28" s="81">
        <f>SUM(E29:E31)</f>
        <v>847515.61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389474.9</v>
      </c>
      <c r="E31" s="105">
        <v>847515.61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219544.84</v>
      </c>
      <c r="E32" s="81">
        <f>SUM(E33:E39)</f>
        <v>611825.39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3298.17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221.35</v>
      </c>
      <c r="E35" s="105">
        <v>869.17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1382.61</v>
      </c>
      <c r="E37" s="105">
        <v>4626.01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217940.88</v>
      </c>
      <c r="E39" s="184">
        <v>603032.04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-49152.04</v>
      </c>
      <c r="E40" s="128">
        <v>29848.68</v>
      </c>
      <c r="G40" s="84"/>
    </row>
    <row r="41" spans="2:10" ht="13.5" thickBot="1">
      <c r="B41" s="129" t="s">
        <v>37</v>
      </c>
      <c r="C41" s="130" t="s">
        <v>38</v>
      </c>
      <c r="D41" s="131">
        <v>128959.62</v>
      </c>
      <c r="E41" s="181">
        <f>E26+E27+E40</f>
        <v>394498.51999999996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95.557100000000005</v>
      </c>
      <c r="E47" s="83">
        <v>2441.4922000000001</v>
      </c>
      <c r="G47" s="79"/>
    </row>
    <row r="48" spans="2:10">
      <c r="B48" s="154" t="s">
        <v>6</v>
      </c>
      <c r="C48" s="23" t="s">
        <v>41</v>
      </c>
      <c r="D48" s="264">
        <v>2441.4922000000001</v>
      </c>
      <c r="E48" s="185">
        <v>6918.5991000000004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85.62</v>
      </c>
      <c r="E50" s="85">
        <v>52.82</v>
      </c>
    </row>
    <row r="51" spans="2:5">
      <c r="B51" s="133" t="s">
        <v>6</v>
      </c>
      <c r="C51" s="16" t="s">
        <v>231</v>
      </c>
      <c r="D51" s="267">
        <v>47.65</v>
      </c>
      <c r="E51" s="85">
        <v>42.78</v>
      </c>
    </row>
    <row r="52" spans="2:5">
      <c r="B52" s="133" t="s">
        <v>8</v>
      </c>
      <c r="C52" s="16" t="s">
        <v>232</v>
      </c>
      <c r="D52" s="267">
        <v>101.96</v>
      </c>
      <c r="E52" s="85">
        <v>60.08</v>
      </c>
    </row>
    <row r="53" spans="2:5" ht="13.5" customHeight="1" thickBot="1">
      <c r="B53" s="134" t="s">
        <v>9</v>
      </c>
      <c r="C53" s="18" t="s">
        <v>41</v>
      </c>
      <c r="D53" s="268">
        <v>52.82</v>
      </c>
      <c r="E53" s="187">
        <v>57.02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394498.52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394498.52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394498.52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394498.52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I40" sqref="I4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171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1299320.68</v>
      </c>
      <c r="E11" s="9">
        <f>E12</f>
        <v>940090.79</v>
      </c>
    </row>
    <row r="12" spans="2:7">
      <c r="B12" s="137" t="s">
        <v>4</v>
      </c>
      <c r="C12" s="6" t="s">
        <v>5</v>
      </c>
      <c r="D12" s="90">
        <v>1299320.68</v>
      </c>
      <c r="E12" s="101">
        <v>940090.79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32.31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32.31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1299320.68</v>
      </c>
      <c r="E21" s="181">
        <f>E11-E17</f>
        <v>940058.48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43366.85</v>
      </c>
      <c r="E26" s="123">
        <v>1299320.68</v>
      </c>
      <c r="G26" s="84"/>
    </row>
    <row r="27" spans="2:10">
      <c r="B27" s="10" t="s">
        <v>17</v>
      </c>
      <c r="C27" s="11" t="s">
        <v>228</v>
      </c>
      <c r="D27" s="182">
        <v>1243217.6100000001</v>
      </c>
      <c r="E27" s="180">
        <f>E28-E32</f>
        <v>-389482.12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1408783.72</v>
      </c>
      <c r="E28" s="81">
        <f>SUM(E29:E31)</f>
        <v>141012.07999999999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277707.59000000003</v>
      </c>
      <c r="E29" s="105">
        <v>12249.99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1131076.1299999999</v>
      </c>
      <c r="E31" s="105">
        <v>128762.09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165566.10999999999</v>
      </c>
      <c r="E32" s="81">
        <f>SUM(E33:E39)</f>
        <v>530494.19999999995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69915.679999999993</v>
      </c>
      <c r="E33" s="105">
        <v>419181.68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340.27</v>
      </c>
      <c r="E35" s="105">
        <v>755.1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10120.1</v>
      </c>
      <c r="E37" s="105">
        <v>24575.759999999998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85190.06</v>
      </c>
      <c r="E39" s="184">
        <v>85981.66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12736.22</v>
      </c>
      <c r="E40" s="128">
        <v>30219.919999999998</v>
      </c>
      <c r="G40" s="84"/>
    </row>
    <row r="41" spans="2:10" ht="13.5" thickBot="1">
      <c r="B41" s="129" t="s">
        <v>37</v>
      </c>
      <c r="C41" s="130" t="s">
        <v>38</v>
      </c>
      <c r="D41" s="131">
        <v>1299320.6800000002</v>
      </c>
      <c r="E41" s="181">
        <f>E26+E27+E40</f>
        <v>940058.48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318.59280000000001</v>
      </c>
      <c r="E47" s="83">
        <v>9312.1241000000009</v>
      </c>
      <c r="G47" s="79"/>
    </row>
    <row r="48" spans="2:10">
      <c r="B48" s="154" t="s">
        <v>6</v>
      </c>
      <c r="C48" s="23" t="s">
        <v>41</v>
      </c>
      <c r="D48" s="264">
        <v>9312.1241000000009</v>
      </c>
      <c r="E48" s="185">
        <v>6578.8962000000001</v>
      </c>
      <c r="G48" s="312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136.12</v>
      </c>
      <c r="E50" s="85">
        <v>139.53</v>
      </c>
    </row>
    <row r="51" spans="2:5">
      <c r="B51" s="133" t="s">
        <v>6</v>
      </c>
      <c r="C51" s="16" t="s">
        <v>231</v>
      </c>
      <c r="D51" s="267">
        <v>136.15</v>
      </c>
      <c r="E51" s="85">
        <v>139.53</v>
      </c>
    </row>
    <row r="52" spans="2:5">
      <c r="B52" s="133" t="s">
        <v>8</v>
      </c>
      <c r="C52" s="16" t="s">
        <v>232</v>
      </c>
      <c r="D52" s="267">
        <v>139.53</v>
      </c>
      <c r="E52" s="85">
        <v>142.91999999999999</v>
      </c>
    </row>
    <row r="53" spans="2:5" ht="13.5" customHeight="1" thickBot="1">
      <c r="B53" s="134" t="s">
        <v>9</v>
      </c>
      <c r="C53" s="18" t="s">
        <v>41</v>
      </c>
      <c r="D53" s="268">
        <v>139.53</v>
      </c>
      <c r="E53" s="187">
        <v>142.88999999999999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940090.79</v>
      </c>
      <c r="E58" s="33">
        <f>D58/E21</f>
        <v>1.0000343702021603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940090.79</v>
      </c>
      <c r="E64" s="97">
        <f>E58</f>
        <v>1.0000343702021603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32.31</v>
      </c>
      <c r="E73" s="27">
        <f>D73/E21</f>
        <v>3.4370202160189018E-5</v>
      </c>
    </row>
    <row r="74" spans="2:5">
      <c r="B74" s="162" t="s">
        <v>64</v>
      </c>
      <c r="C74" s="152" t="s">
        <v>66</v>
      </c>
      <c r="D74" s="153">
        <f>D58-D73</f>
        <v>940058.48</v>
      </c>
      <c r="E74" s="70">
        <f>E58+E72-E73</f>
        <v>1.0000000000000002</v>
      </c>
    </row>
    <row r="75" spans="2:5">
      <c r="B75" s="133" t="s">
        <v>4</v>
      </c>
      <c r="C75" s="16" t="s">
        <v>67</v>
      </c>
      <c r="D75" s="94">
        <f>D74</f>
        <v>940058.48</v>
      </c>
      <c r="E75" s="95">
        <f>E74</f>
        <v>1.0000000000000002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opLeftCell="A46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238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30703264.960000001</v>
      </c>
      <c r="E11" s="9">
        <f>E12+E13+E14</f>
        <v>24311716.609999999</v>
      </c>
    </row>
    <row r="12" spans="2:7">
      <c r="B12" s="137" t="s">
        <v>4</v>
      </c>
      <c r="C12" s="6" t="s">
        <v>5</v>
      </c>
      <c r="D12" s="90">
        <v>30700625.07</v>
      </c>
      <c r="E12" s="101">
        <f>22391585.48+1908941.04+5.23</f>
        <v>24300531.75</v>
      </c>
    </row>
    <row r="13" spans="2:7">
      <c r="B13" s="137" t="s">
        <v>6</v>
      </c>
      <c r="C13" s="72" t="s">
        <v>7</v>
      </c>
      <c r="D13" s="90">
        <v>22.59</v>
      </c>
      <c r="E13" s="101">
        <v>119.71</v>
      </c>
    </row>
    <row r="14" spans="2:7">
      <c r="B14" s="137" t="s">
        <v>8</v>
      </c>
      <c r="C14" s="72" t="s">
        <v>10</v>
      </c>
      <c r="D14" s="90">
        <v>2617.3000000000002</v>
      </c>
      <c r="E14" s="101">
        <f>E15</f>
        <v>11065.15</v>
      </c>
    </row>
    <row r="15" spans="2:7">
      <c r="B15" s="137" t="s">
        <v>223</v>
      </c>
      <c r="C15" s="72" t="s">
        <v>11</v>
      </c>
      <c r="D15" s="90">
        <v>2617.3000000000002</v>
      </c>
      <c r="E15" s="101">
        <v>11065.15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6710.02</v>
      </c>
      <c r="E17" s="117">
        <f>SUM(E18:E20)</f>
        <v>30933.84</v>
      </c>
    </row>
    <row r="18" spans="2:10">
      <c r="B18" s="137" t="s">
        <v>4</v>
      </c>
      <c r="C18" s="6" t="s">
        <v>11</v>
      </c>
      <c r="D18" s="90">
        <v>6710.02</v>
      </c>
      <c r="E18" s="102">
        <v>30883.22</v>
      </c>
    </row>
    <row r="19" spans="2:10" ht="13.5" customHeight="1">
      <c r="B19" s="137" t="s">
        <v>6</v>
      </c>
      <c r="C19" s="72" t="s">
        <v>225</v>
      </c>
      <c r="D19" s="90"/>
      <c r="E19" s="101">
        <v>50.62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30696554.940000001</v>
      </c>
      <c r="E21" s="104">
        <f>E11-E17</f>
        <v>24280782.77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  <c r="G25" s="253"/>
    </row>
    <row r="26" spans="2:10">
      <c r="B26" s="120" t="s">
        <v>15</v>
      </c>
      <c r="C26" s="121" t="s">
        <v>16</v>
      </c>
      <c r="D26" s="122">
        <v>22242530.02</v>
      </c>
      <c r="E26" s="123">
        <v>30696554.940000001</v>
      </c>
      <c r="G26" s="84"/>
    </row>
    <row r="27" spans="2:10">
      <c r="B27" s="10" t="s">
        <v>17</v>
      </c>
      <c r="C27" s="11" t="s">
        <v>228</v>
      </c>
      <c r="D27" s="182">
        <v>9785394.75</v>
      </c>
      <c r="E27" s="180">
        <f>E28-E32</f>
        <v>-7786208.5200000042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15486418.720000001</v>
      </c>
      <c r="E28" s="81">
        <f>SUM(E29:E31)</f>
        <v>2103301.5300000003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11039569.74</v>
      </c>
      <c r="E29" s="105">
        <v>1881007.9000000001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4446848.9800000004</v>
      </c>
      <c r="E31" s="105">
        <v>222293.63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5701023.9699999997</v>
      </c>
      <c r="E32" s="81">
        <f>SUM(E33:E39)</f>
        <v>9889510.0500000045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2415088.86</v>
      </c>
      <c r="E33" s="105">
        <v>7274015.9500000002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129669.25</v>
      </c>
      <c r="E35" s="105">
        <v>201814.25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>
        <v>481290.71</v>
      </c>
      <c r="E37" s="105">
        <v>497692.26</v>
      </c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2674975.15</v>
      </c>
      <c r="E39" s="184">
        <v>1915987.590000004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-1331369.83</v>
      </c>
      <c r="E40" s="128">
        <f>1369662.3+774.05</f>
        <v>1370436.35</v>
      </c>
      <c r="G40" s="84"/>
    </row>
    <row r="41" spans="2:10" ht="13.5" thickBot="1">
      <c r="B41" s="129" t="s">
        <v>37</v>
      </c>
      <c r="C41" s="130" t="s">
        <v>38</v>
      </c>
      <c r="D41" s="131">
        <v>30696554.939999998</v>
      </c>
      <c r="E41" s="181">
        <f>E26+E27+E40</f>
        <v>24280782.77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166761.4498</v>
      </c>
      <c r="E47" s="83">
        <v>237937.53390000001</v>
      </c>
      <c r="G47" s="79"/>
    </row>
    <row r="48" spans="2:10">
      <c r="B48" s="154" t="s">
        <v>6</v>
      </c>
      <c r="C48" s="23" t="s">
        <v>41</v>
      </c>
      <c r="D48" s="264">
        <v>237937.53390000001</v>
      </c>
      <c r="E48" s="83">
        <v>178612.20329999999</v>
      </c>
      <c r="G48" s="315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133.37932745653001</v>
      </c>
      <c r="E50" s="83">
        <v>129.01098215509401</v>
      </c>
    </row>
    <row r="51" spans="2:5">
      <c r="B51" s="133" t="s">
        <v>6</v>
      </c>
      <c r="C51" s="16" t="s">
        <v>231</v>
      </c>
      <c r="D51" s="314">
        <v>125.5153</v>
      </c>
      <c r="E51" s="83">
        <v>122.6147</v>
      </c>
    </row>
    <row r="52" spans="2:5" ht="12.75" customHeight="1">
      <c r="B52" s="133" t="s">
        <v>8</v>
      </c>
      <c r="C52" s="16" t="s">
        <v>232</v>
      </c>
      <c r="D52" s="314">
        <v>139.8768</v>
      </c>
      <c r="E52" s="83">
        <v>135.94130000000001</v>
      </c>
    </row>
    <row r="53" spans="2:5" ht="13.5" thickBot="1">
      <c r="B53" s="134" t="s">
        <v>9</v>
      </c>
      <c r="C53" s="18" t="s">
        <v>41</v>
      </c>
      <c r="D53" s="268">
        <v>129.01098215509401</v>
      </c>
      <c r="E53" s="187">
        <v>135.94134284689099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D64+D69</f>
        <v>24300531.75</v>
      </c>
      <c r="E58" s="33">
        <f>D58/E21</f>
        <v>1.0008133584566474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22391585.48</v>
      </c>
      <c r="E64" s="97">
        <f>D64/E21</f>
        <v>0.92219372382285025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1908941.04+5.23</f>
        <v>1908946.27</v>
      </c>
      <c r="E69" s="95">
        <f>D69/E21</f>
        <v>7.8619634633797272E-2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119.71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11065.15</v>
      </c>
      <c r="E72" s="150">
        <f>D72/E21</f>
        <v>4.5571636239303995E-4</v>
      </c>
    </row>
    <row r="73" spans="2:5">
      <c r="B73" s="24" t="s">
        <v>62</v>
      </c>
      <c r="C73" s="25" t="s">
        <v>65</v>
      </c>
      <c r="D73" s="26">
        <f>E17</f>
        <v>30933.84</v>
      </c>
      <c r="E73" s="27">
        <f>D73/E21</f>
        <v>1.2740050554803427E-3</v>
      </c>
    </row>
    <row r="74" spans="2:5">
      <c r="B74" s="151" t="s">
        <v>64</v>
      </c>
      <c r="C74" s="152" t="s">
        <v>66</v>
      </c>
      <c r="D74" s="153">
        <f>D58+D71+D72-D73</f>
        <v>24280782.77</v>
      </c>
      <c r="E74" s="70">
        <f>E58+E72-E73</f>
        <v>0.99999506976356012</v>
      </c>
    </row>
    <row r="75" spans="2:5">
      <c r="B75" s="15" t="s">
        <v>4</v>
      </c>
      <c r="C75" s="16" t="s">
        <v>67</v>
      </c>
      <c r="D75" s="94">
        <f>D74</f>
        <v>24280782.77</v>
      </c>
      <c r="E75" s="95">
        <f>E74</f>
        <v>0.99999506976356012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E33" sqref="E3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173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1583.11</v>
      </c>
      <c r="E11" s="9">
        <f>E12</f>
        <v>19603.189999999999</v>
      </c>
    </row>
    <row r="12" spans="2:7">
      <c r="B12" s="137" t="s">
        <v>4</v>
      </c>
      <c r="C12" s="6" t="s">
        <v>5</v>
      </c>
      <c r="D12" s="90">
        <v>1583.11</v>
      </c>
      <c r="E12" s="101">
        <v>19603.189999999999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1583.11</v>
      </c>
      <c r="E21" s="181">
        <f>E11</f>
        <v>19603.189999999999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0.68</v>
      </c>
      <c r="E26" s="123">
        <v>1583.11</v>
      </c>
      <c r="G26" s="84"/>
    </row>
    <row r="27" spans="2:10">
      <c r="B27" s="10" t="s">
        <v>17</v>
      </c>
      <c r="C27" s="11" t="s">
        <v>228</v>
      </c>
      <c r="D27" s="182">
        <v>2598.4499999999971</v>
      </c>
      <c r="E27" s="180">
        <f>E28-E32</f>
        <v>14824.990000000002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17704.379999999997</v>
      </c>
      <c r="E28" s="81">
        <f>SUM(E29:E31)</f>
        <v>18553.79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3000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14704.38</v>
      </c>
      <c r="E31" s="105">
        <v>18553.79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15105.93</v>
      </c>
      <c r="E32" s="81">
        <f>SUM(E33:E39)</f>
        <v>3728.8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794.79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6.81</v>
      </c>
      <c r="E35" s="105">
        <v>51.82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137.96</v>
      </c>
      <c r="E37" s="105">
        <v>92.42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14166.37</v>
      </c>
      <c r="E39" s="184">
        <v>3584.56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-1016.02</v>
      </c>
      <c r="E40" s="128">
        <v>3195.09</v>
      </c>
      <c r="G40" s="84"/>
    </row>
    <row r="41" spans="2:10" ht="13.5" thickBot="1">
      <c r="B41" s="129" t="s">
        <v>37</v>
      </c>
      <c r="C41" s="130" t="s">
        <v>38</v>
      </c>
      <c r="D41" s="131">
        <v>1583.1099999999969</v>
      </c>
      <c r="E41" s="181">
        <f>E26+E27+E40</f>
        <v>19603.190000000002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1.2699999999999999E-2</v>
      </c>
      <c r="E47" s="83">
        <v>29.214099999999998</v>
      </c>
      <c r="G47" s="79"/>
    </row>
    <row r="48" spans="2:10">
      <c r="B48" s="154" t="s">
        <v>6</v>
      </c>
      <c r="C48" s="23" t="s">
        <v>41</v>
      </c>
      <c r="D48" s="264">
        <v>29.214099999999998</v>
      </c>
      <c r="E48" s="185">
        <v>231.57929999999999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53.24</v>
      </c>
      <c r="E50" s="85">
        <v>54.19</v>
      </c>
    </row>
    <row r="51" spans="2:5">
      <c r="B51" s="133" t="s">
        <v>6</v>
      </c>
      <c r="C51" s="16" t="s">
        <v>231</v>
      </c>
      <c r="D51" s="267">
        <v>50.87</v>
      </c>
      <c r="E51" s="85">
        <v>46.87</v>
      </c>
    </row>
    <row r="52" spans="2:5">
      <c r="B52" s="133" t="s">
        <v>8</v>
      </c>
      <c r="C52" s="16" t="s">
        <v>232</v>
      </c>
      <c r="D52" s="267">
        <v>71.97</v>
      </c>
      <c r="E52" s="85">
        <v>84.88</v>
      </c>
    </row>
    <row r="53" spans="2:5" ht="12.75" customHeight="1" thickBot="1">
      <c r="B53" s="134" t="s">
        <v>9</v>
      </c>
      <c r="C53" s="18" t="s">
        <v>41</v>
      </c>
      <c r="D53" s="268">
        <v>54.19</v>
      </c>
      <c r="E53" s="187">
        <v>84.65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19603.189999999999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19603.189999999999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19603.189999999999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19603.189999999999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9" sqref="E29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174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32492.65</v>
      </c>
      <c r="E11" s="9">
        <f>E12</f>
        <v>30187.59</v>
      </c>
    </row>
    <row r="12" spans="2:7">
      <c r="B12" s="137" t="s">
        <v>4</v>
      </c>
      <c r="C12" s="6" t="s">
        <v>5</v>
      </c>
      <c r="D12" s="90">
        <v>32492.65</v>
      </c>
      <c r="E12" s="101">
        <v>30187.59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32492.65</v>
      </c>
      <c r="E21" s="181">
        <f>E11</f>
        <v>30187.59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2991.03</v>
      </c>
      <c r="E26" s="123">
        <v>32492.65</v>
      </c>
      <c r="G26" s="84"/>
    </row>
    <row r="27" spans="2:10">
      <c r="B27" s="10" t="s">
        <v>17</v>
      </c>
      <c r="C27" s="11" t="s">
        <v>228</v>
      </c>
      <c r="D27" s="182">
        <v>29623.45</v>
      </c>
      <c r="E27" s="180">
        <f>E28-E32</f>
        <v>-3526.0600000000013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29826.61</v>
      </c>
      <c r="E28" s="81">
        <f>SUM(E29:E31)</f>
        <v>5831.84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11000.01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18826.599999999999</v>
      </c>
      <c r="E31" s="105">
        <v>5831.84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203.16</v>
      </c>
      <c r="E32" s="81">
        <f>SUM(E33:E39)</f>
        <v>9357.9000000000015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2859.62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16.559999999999999</v>
      </c>
      <c r="E35" s="105">
        <v>26.05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186.6</v>
      </c>
      <c r="E37" s="105">
        <v>597.09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5875.14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-121.83</v>
      </c>
      <c r="E40" s="128">
        <v>1221</v>
      </c>
      <c r="G40" s="84"/>
    </row>
    <row r="41" spans="2:10" ht="13.5" thickBot="1">
      <c r="B41" s="129" t="s">
        <v>37</v>
      </c>
      <c r="C41" s="130" t="s">
        <v>38</v>
      </c>
      <c r="D41" s="131">
        <v>32492.649999999998</v>
      </c>
      <c r="E41" s="181">
        <f>E26+E27+E40</f>
        <v>30187.59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21.488800000000001</v>
      </c>
      <c r="E47" s="83">
        <v>223.16380000000001</v>
      </c>
      <c r="G47" s="79"/>
    </row>
    <row r="48" spans="2:10">
      <c r="B48" s="154" t="s">
        <v>6</v>
      </c>
      <c r="C48" s="23" t="s">
        <v>41</v>
      </c>
      <c r="D48" s="264">
        <v>223.16380000000001</v>
      </c>
      <c r="E48" s="185">
        <v>200.11660000000001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139.19</v>
      </c>
      <c r="E50" s="85">
        <v>145.6</v>
      </c>
    </row>
    <row r="51" spans="2:5">
      <c r="B51" s="133" t="s">
        <v>6</v>
      </c>
      <c r="C51" s="16" t="s">
        <v>231</v>
      </c>
      <c r="D51" s="267">
        <v>139.22999999999999</v>
      </c>
      <c r="E51" s="85">
        <v>139.22</v>
      </c>
    </row>
    <row r="52" spans="2:5">
      <c r="B52" s="133" t="s">
        <v>8</v>
      </c>
      <c r="C52" s="16" t="s">
        <v>232</v>
      </c>
      <c r="D52" s="267">
        <v>149.79</v>
      </c>
      <c r="E52" s="85">
        <v>150.85</v>
      </c>
    </row>
    <row r="53" spans="2:5" ht="13.5" customHeight="1" thickBot="1">
      <c r="B53" s="134" t="s">
        <v>9</v>
      </c>
      <c r="C53" s="18" t="s">
        <v>41</v>
      </c>
      <c r="D53" s="268">
        <v>145.6</v>
      </c>
      <c r="E53" s="187">
        <v>150.85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30187.59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30187.59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30187.59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30187.59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J36" sqref="J3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169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3404.69</v>
      </c>
    </row>
    <row r="12" spans="2:7">
      <c r="B12" s="137" t="s">
        <v>4</v>
      </c>
      <c r="C12" s="6" t="s">
        <v>5</v>
      </c>
      <c r="D12" s="90" t="s">
        <v>260</v>
      </c>
      <c r="E12" s="101">
        <v>3404.69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3404.69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201333.5</v>
      </c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>
        <v>-197406.74999999997</v>
      </c>
      <c r="E27" s="180">
        <f>E28-E32</f>
        <v>7706.6900000000023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13904.19</v>
      </c>
      <c r="E28" s="81">
        <f>SUM(E29:E31)</f>
        <v>45724.93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13904.19</v>
      </c>
      <c r="E31" s="105">
        <v>45724.93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211310.93999999997</v>
      </c>
      <c r="E32" s="81">
        <f>SUM(E33:E39)</f>
        <v>38018.239999999998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8.9600000000000009</v>
      </c>
      <c r="E35" s="105">
        <v>19.45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539.65</v>
      </c>
      <c r="E37" s="105">
        <v>136.25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210762.33</v>
      </c>
      <c r="E39" s="184">
        <v>37862.54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-3926.75</v>
      </c>
      <c r="E40" s="128">
        <v>-4302</v>
      </c>
      <c r="G40" s="84"/>
    </row>
    <row r="41" spans="2:10" ht="13.5" thickBot="1">
      <c r="B41" s="129" t="s">
        <v>37</v>
      </c>
      <c r="C41" s="130" t="s">
        <v>38</v>
      </c>
      <c r="D41" s="131">
        <v>0</v>
      </c>
      <c r="E41" s="181">
        <f>E27+E40</f>
        <v>3404.6900000000023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2420.4555999999998</v>
      </c>
      <c r="E47" s="83"/>
      <c r="G47" s="79"/>
    </row>
    <row r="48" spans="2:10">
      <c r="B48" s="154" t="s">
        <v>6</v>
      </c>
      <c r="C48" s="23" t="s">
        <v>41</v>
      </c>
      <c r="D48" s="264"/>
      <c r="E48" s="185">
        <v>39.502200000000002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83.18</v>
      </c>
      <c r="E50" s="85"/>
    </row>
    <row r="51" spans="2:5">
      <c r="B51" s="133" t="s">
        <v>6</v>
      </c>
      <c r="C51" s="16" t="s">
        <v>231</v>
      </c>
      <c r="D51" s="267">
        <v>74.63</v>
      </c>
      <c r="E51" s="85">
        <v>86.13</v>
      </c>
    </row>
    <row r="52" spans="2:5">
      <c r="B52" s="133" t="s">
        <v>8</v>
      </c>
      <c r="C52" s="16" t="s">
        <v>232</v>
      </c>
      <c r="D52" s="267">
        <v>102.52</v>
      </c>
      <c r="E52" s="85">
        <v>107.07</v>
      </c>
    </row>
    <row r="53" spans="2:5" ht="13.5" customHeight="1" thickBot="1">
      <c r="B53" s="134" t="s">
        <v>9</v>
      </c>
      <c r="C53" s="18" t="s">
        <v>41</v>
      </c>
      <c r="D53" s="268"/>
      <c r="E53" s="187">
        <v>86.19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3404.69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3404.69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3404.69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3404.69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170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481089.33</v>
      </c>
      <c r="E11" s="9">
        <f>E12</f>
        <v>351840.47</v>
      </c>
    </row>
    <row r="12" spans="2:7">
      <c r="B12" s="137" t="s">
        <v>4</v>
      </c>
      <c r="C12" s="6" t="s">
        <v>5</v>
      </c>
      <c r="D12" s="90">
        <v>481089.33</v>
      </c>
      <c r="E12" s="101">
        <v>351840.47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481089.33</v>
      </c>
      <c r="E21" s="104">
        <f>E11</f>
        <v>351840.47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f>D21</f>
        <v>481089.33</v>
      </c>
      <c r="G26" s="84"/>
    </row>
    <row r="27" spans="2:10">
      <c r="B27" s="10" t="s">
        <v>17</v>
      </c>
      <c r="C27" s="11" t="s">
        <v>228</v>
      </c>
      <c r="D27" s="182">
        <v>480891.24</v>
      </c>
      <c r="E27" s="180">
        <f>E28-E32</f>
        <v>-152782.46999999997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523969.02</v>
      </c>
      <c r="E28" s="81">
        <f>SUM(E29:E31)</f>
        <v>91808.77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175000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348969.02</v>
      </c>
      <c r="E31" s="105">
        <v>91808.77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43077.780000000006</v>
      </c>
      <c r="E32" s="81">
        <f>SUM(E33:E39)</f>
        <v>244591.24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184716.24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252.59</v>
      </c>
      <c r="E35" s="105">
        <v>655.09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3810.82</v>
      </c>
      <c r="E37" s="105">
        <v>9318.2800000000007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39014.370000000003</v>
      </c>
      <c r="E39" s="184">
        <v>49901.63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198.09</v>
      </c>
      <c r="E40" s="128">
        <v>23533.61</v>
      </c>
      <c r="G40" s="84"/>
    </row>
    <row r="41" spans="2:10" ht="13.5" thickBot="1">
      <c r="B41" s="129" t="s">
        <v>37</v>
      </c>
      <c r="C41" s="130" t="s">
        <v>38</v>
      </c>
      <c r="D41" s="131">
        <v>481089.33</v>
      </c>
      <c r="E41" s="181">
        <f>E26+E27+E40</f>
        <v>351840.47000000003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4210.8474999999999</v>
      </c>
      <c r="G47" s="79"/>
    </row>
    <row r="48" spans="2:10">
      <c r="B48" s="154" t="s">
        <v>6</v>
      </c>
      <c r="C48" s="23" t="s">
        <v>41</v>
      </c>
      <c r="D48" s="264">
        <v>4210.8474999999999</v>
      </c>
      <c r="E48" s="185">
        <v>2945.2575999999999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114.25</v>
      </c>
    </row>
    <row r="51" spans="2:5">
      <c r="B51" s="133" t="s">
        <v>6</v>
      </c>
      <c r="C51" s="16" t="s">
        <v>231</v>
      </c>
      <c r="D51" s="267">
        <v>102</v>
      </c>
      <c r="E51" s="85">
        <v>110.37</v>
      </c>
    </row>
    <row r="52" spans="2:5">
      <c r="B52" s="133" t="s">
        <v>8</v>
      </c>
      <c r="C52" s="16" t="s">
        <v>232</v>
      </c>
      <c r="D52" s="267">
        <v>117.55</v>
      </c>
      <c r="E52" s="85">
        <v>119.46</v>
      </c>
    </row>
    <row r="53" spans="2:5" ht="14.25" customHeight="1" thickBot="1">
      <c r="B53" s="134" t="s">
        <v>9</v>
      </c>
      <c r="C53" s="18" t="s">
        <v>41</v>
      </c>
      <c r="D53" s="268">
        <v>114.25</v>
      </c>
      <c r="E53" s="187">
        <v>119.46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351840.47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351840.47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351840.47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351840.47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zoomScaleNormal="100" workbookViewId="0">
      <selection activeCell="E21" sqref="E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175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7843.34</v>
      </c>
      <c r="E11" s="9" t="s">
        <v>260</v>
      </c>
    </row>
    <row r="12" spans="2:7">
      <c r="B12" s="137" t="s">
        <v>4</v>
      </c>
      <c r="C12" s="6" t="s">
        <v>5</v>
      </c>
      <c r="D12" s="90">
        <v>7843.34</v>
      </c>
      <c r="E12" s="101" t="s">
        <v>260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7843.34</v>
      </c>
      <c r="E21" s="104" t="str">
        <f>E11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2.98</v>
      </c>
      <c r="E26" s="123">
        <v>7843.34</v>
      </c>
      <c r="G26" s="84"/>
    </row>
    <row r="27" spans="2:10">
      <c r="B27" s="10" t="s">
        <v>17</v>
      </c>
      <c r="C27" s="11" t="s">
        <v>228</v>
      </c>
      <c r="D27" s="182">
        <v>9279.84</v>
      </c>
      <c r="E27" s="180">
        <f>E28-E32</f>
        <v>-7740.52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21449.360000000001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21449.360000000001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12169.52</v>
      </c>
      <c r="E32" s="81">
        <f>SUM(E33:E39)</f>
        <v>7740.52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4.55</v>
      </c>
      <c r="E35" s="105">
        <v>6.58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34.36</v>
      </c>
      <c r="E37" s="105">
        <v>37.69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12130.61</v>
      </c>
      <c r="E39" s="184">
        <v>7696.25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-1439.48</v>
      </c>
      <c r="E40" s="128">
        <v>-102.82</v>
      </c>
      <c r="G40" s="84"/>
    </row>
    <row r="41" spans="2:10" ht="13.5" thickBot="1">
      <c r="B41" s="129" t="s">
        <v>37</v>
      </c>
      <c r="C41" s="130" t="s">
        <v>38</v>
      </c>
      <c r="D41" s="131">
        <v>7843.34</v>
      </c>
      <c r="E41" s="181" t="s">
        <v>260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2.5399999999999999E-2</v>
      </c>
      <c r="E47" s="83">
        <v>82.232500000000002</v>
      </c>
      <c r="G47" s="79"/>
    </row>
    <row r="48" spans="2:10">
      <c r="B48" s="154" t="s">
        <v>6</v>
      </c>
      <c r="C48" s="23" t="s">
        <v>41</v>
      </c>
      <c r="D48" s="264">
        <v>82.232500000000002</v>
      </c>
      <c r="E48" s="185"/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117.29</v>
      </c>
      <c r="E50" s="85">
        <v>95.38</v>
      </c>
    </row>
    <row r="51" spans="2:5">
      <c r="B51" s="133" t="s">
        <v>6</v>
      </c>
      <c r="C51" s="16" t="s">
        <v>231</v>
      </c>
      <c r="D51" s="267">
        <v>75.599999999999994</v>
      </c>
      <c r="E51" s="85">
        <v>86.23</v>
      </c>
    </row>
    <row r="52" spans="2:5">
      <c r="B52" s="133" t="s">
        <v>8</v>
      </c>
      <c r="C52" s="16" t="s">
        <v>232</v>
      </c>
      <c r="D52" s="267">
        <v>132.63999999999999</v>
      </c>
      <c r="E52" s="85">
        <v>111.71000000000001</v>
      </c>
    </row>
    <row r="53" spans="2:5" ht="13.5" customHeight="1" thickBot="1">
      <c r="B53" s="134" t="s">
        <v>9</v>
      </c>
      <c r="C53" s="18" t="s">
        <v>41</v>
      </c>
      <c r="D53" s="268">
        <v>95.38</v>
      </c>
      <c r="E53" s="187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0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0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v>0</v>
      </c>
      <c r="E74" s="70">
        <f>E58+E72-E73</f>
        <v>0</v>
      </c>
    </row>
    <row r="75" spans="2:5">
      <c r="B75" s="133" t="s">
        <v>4</v>
      </c>
      <c r="C75" s="16" t="s">
        <v>67</v>
      </c>
      <c r="D75" s="94">
        <f>D74</f>
        <v>0</v>
      </c>
      <c r="E75" s="95">
        <f>E74</f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5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157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3325607.39</v>
      </c>
      <c r="E11" s="9">
        <f>E12</f>
        <v>952809.53</v>
      </c>
    </row>
    <row r="12" spans="2:7">
      <c r="B12" s="137" t="s">
        <v>4</v>
      </c>
      <c r="C12" s="6" t="s">
        <v>5</v>
      </c>
      <c r="D12" s="90">
        <v>3325607.39</v>
      </c>
      <c r="E12" s="101">
        <v>952809.53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3325607.39</v>
      </c>
      <c r="E21" s="181">
        <f>E11</f>
        <v>952809.53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2007862.68</v>
      </c>
      <c r="E26" s="123">
        <v>3325607.39</v>
      </c>
      <c r="G26" s="84"/>
    </row>
    <row r="27" spans="2:10">
      <c r="B27" s="10" t="s">
        <v>17</v>
      </c>
      <c r="C27" s="11" t="s">
        <v>228</v>
      </c>
      <c r="D27" s="182">
        <v>1166420.47</v>
      </c>
      <c r="E27" s="180">
        <f>E28-E32</f>
        <v>-2346576.65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2626667.87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2590692.31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35975.56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1460247.4</v>
      </c>
      <c r="E32" s="81">
        <f>SUM(E33:E39)</f>
        <v>2346576.65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600155.03</v>
      </c>
      <c r="E33" s="105">
        <v>982874.65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597.16999999999996</v>
      </c>
      <c r="E35" s="105">
        <v>2714.68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51228.2</v>
      </c>
      <c r="E37" s="105">
        <v>31078.32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808267</v>
      </c>
      <c r="E39" s="184">
        <v>1329909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151324.24</v>
      </c>
      <c r="E40" s="128">
        <v>-26221.21</v>
      </c>
      <c r="G40" s="84"/>
    </row>
    <row r="41" spans="2:10" ht="13.5" thickBot="1">
      <c r="B41" s="129" t="s">
        <v>37</v>
      </c>
      <c r="C41" s="130" t="s">
        <v>38</v>
      </c>
      <c r="D41" s="131">
        <v>3325607.3899999997</v>
      </c>
      <c r="E41" s="181">
        <f>E26+E27+E40</f>
        <v>952809.53000000026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4261.4399999999996</v>
      </c>
      <c r="E47" s="83">
        <v>6580.67</v>
      </c>
      <c r="G47" s="79"/>
    </row>
    <row r="48" spans="2:10">
      <c r="B48" s="154" t="s">
        <v>6</v>
      </c>
      <c r="C48" s="23" t="s">
        <v>41</v>
      </c>
      <c r="D48" s="264">
        <v>6580.67</v>
      </c>
      <c r="E48" s="185">
        <v>1871.18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471.17</v>
      </c>
      <c r="E50" s="85">
        <v>505.36</v>
      </c>
    </row>
    <row r="51" spans="2:5">
      <c r="B51" s="133" t="s">
        <v>6</v>
      </c>
      <c r="C51" s="16" t="s">
        <v>231</v>
      </c>
      <c r="D51" s="267">
        <v>471.89</v>
      </c>
      <c r="E51" s="85">
        <v>478.91</v>
      </c>
    </row>
    <row r="52" spans="2:5">
      <c r="B52" s="133" t="s">
        <v>8</v>
      </c>
      <c r="C52" s="16" t="s">
        <v>232</v>
      </c>
      <c r="D52" s="267">
        <v>538.11</v>
      </c>
      <c r="E52" s="85">
        <v>519.36689999999999</v>
      </c>
    </row>
    <row r="53" spans="2:5" ht="12.75" customHeight="1" thickBot="1">
      <c r="B53" s="134" t="s">
        <v>9</v>
      </c>
      <c r="C53" s="18" t="s">
        <v>41</v>
      </c>
      <c r="D53" s="268">
        <v>505.36</v>
      </c>
      <c r="E53" s="187">
        <v>509.20249999999999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952809.53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952809.53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952809.53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952809.53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9" sqref="E29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201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71474.740000000005</v>
      </c>
      <c r="E11" s="9">
        <f>E12</f>
        <v>51702.82</v>
      </c>
    </row>
    <row r="12" spans="2:7">
      <c r="B12" s="137" t="s">
        <v>4</v>
      </c>
      <c r="C12" s="6" t="s">
        <v>5</v>
      </c>
      <c r="D12" s="90">
        <v>71474.740000000005</v>
      </c>
      <c r="E12" s="101">
        <v>51702.82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71474.740000000005</v>
      </c>
      <c r="E21" s="181">
        <f>E11</f>
        <v>51702.82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f>D21</f>
        <v>71474.740000000005</v>
      </c>
      <c r="G26" s="84"/>
    </row>
    <row r="27" spans="2:10">
      <c r="B27" s="10" t="s">
        <v>17</v>
      </c>
      <c r="C27" s="11" t="s">
        <v>228</v>
      </c>
      <c r="D27" s="182">
        <v>75797.81</v>
      </c>
      <c r="E27" s="180">
        <f>E28-E32</f>
        <v>-21537.34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99148.599999999991</v>
      </c>
      <c r="E28" s="81">
        <f>SUM(E29:E31)</f>
        <v>5521.73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98791.51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357.09</v>
      </c>
      <c r="E31" s="105">
        <v>5521.73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23350.79</v>
      </c>
      <c r="E32" s="81">
        <f>SUM(E33:E39)</f>
        <v>27059.07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2204.5700000000002</v>
      </c>
      <c r="E33" s="105">
        <v>25657.41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76.64</v>
      </c>
      <c r="E35" s="105">
        <v>200.89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392.07</v>
      </c>
      <c r="E37" s="105">
        <v>834.73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20677.509999999998</v>
      </c>
      <c r="E39" s="184">
        <v>366.04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-4323.07</v>
      </c>
      <c r="E40" s="128">
        <v>1765.42</v>
      </c>
      <c r="G40" s="84"/>
    </row>
    <row r="41" spans="2:10" ht="13.5" thickBot="1">
      <c r="B41" s="129" t="s">
        <v>37</v>
      </c>
      <c r="C41" s="130" t="s">
        <v>38</v>
      </c>
      <c r="D41" s="131">
        <v>71474.739999999991</v>
      </c>
      <c r="E41" s="181">
        <f>E26+E27+E40</f>
        <v>51702.820000000007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1726.86</v>
      </c>
      <c r="G47" s="79"/>
    </row>
    <row r="48" spans="2:10">
      <c r="B48" s="154" t="s">
        <v>6</v>
      </c>
      <c r="C48" s="23" t="s">
        <v>41</v>
      </c>
      <c r="D48" s="264">
        <v>1726.86</v>
      </c>
      <c r="E48" s="185">
        <v>1189.7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41.39</v>
      </c>
    </row>
    <row r="51" spans="2:5">
      <c r="B51" s="133" t="s">
        <v>6</v>
      </c>
      <c r="C51" s="16" t="s">
        <v>231</v>
      </c>
      <c r="D51" s="267">
        <v>38.65</v>
      </c>
      <c r="E51" s="85">
        <v>36.4</v>
      </c>
    </row>
    <row r="52" spans="2:5">
      <c r="B52" s="133" t="s">
        <v>8</v>
      </c>
      <c r="C52" s="16" t="s">
        <v>232</v>
      </c>
      <c r="D52" s="267">
        <v>47.18</v>
      </c>
      <c r="E52" s="85">
        <v>47.8521</v>
      </c>
    </row>
    <row r="53" spans="2:5" ht="12.75" customHeight="1" thickBot="1">
      <c r="B53" s="134" t="s">
        <v>9</v>
      </c>
      <c r="C53" s="18" t="s">
        <v>41</v>
      </c>
      <c r="D53" s="268">
        <v>41.39</v>
      </c>
      <c r="E53" s="187">
        <v>43.4587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51702.82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51702.82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51702.82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51702.82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7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158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726583.1</v>
      </c>
      <c r="E11" s="9">
        <f>E12</f>
        <v>892872.42</v>
      </c>
    </row>
    <row r="12" spans="2:7">
      <c r="B12" s="137" t="s">
        <v>4</v>
      </c>
      <c r="C12" s="6" t="s">
        <v>5</v>
      </c>
      <c r="D12" s="90">
        <v>726583.1</v>
      </c>
      <c r="E12" s="101">
        <v>892872.42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726583.1</v>
      </c>
      <c r="E21" s="181">
        <f>E11</f>
        <v>892872.42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784364.35</v>
      </c>
      <c r="E26" s="123">
        <v>726583.1</v>
      </c>
      <c r="G26" s="84"/>
    </row>
    <row r="27" spans="2:10">
      <c r="B27" s="10" t="s">
        <v>17</v>
      </c>
      <c r="C27" s="11" t="s">
        <v>228</v>
      </c>
      <c r="D27" s="182">
        <v>-11491.81</v>
      </c>
      <c r="E27" s="180">
        <f>E28-E32</f>
        <v>114331.51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127521.76999999999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24999.87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102521.9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11491.81</v>
      </c>
      <c r="E32" s="81">
        <f>SUM(E33:E39)</f>
        <v>13190.26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11.52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11491.81</v>
      </c>
      <c r="E37" s="105">
        <v>13178.74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-46289.440000000002</v>
      </c>
      <c r="E40" s="128">
        <v>51957.81</v>
      </c>
      <c r="G40" s="84"/>
    </row>
    <row r="41" spans="2:10" ht="13.5" thickBot="1">
      <c r="B41" s="129" t="s">
        <v>37</v>
      </c>
      <c r="C41" s="130" t="s">
        <v>38</v>
      </c>
      <c r="D41" s="131">
        <v>726583.09999999986</v>
      </c>
      <c r="E41" s="181">
        <f>E26+E27+E40</f>
        <v>892872.41999999993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6997.63</v>
      </c>
      <c r="E47" s="83">
        <v>6892.27</v>
      </c>
      <c r="G47" s="79"/>
    </row>
    <row r="48" spans="2:10">
      <c r="B48" s="154" t="s">
        <v>6</v>
      </c>
      <c r="C48" s="23" t="s">
        <v>41</v>
      </c>
      <c r="D48" s="264">
        <v>6892.27</v>
      </c>
      <c r="E48" s="185">
        <v>7877.92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112.09</v>
      </c>
      <c r="E50" s="85">
        <v>105.42</v>
      </c>
    </row>
    <row r="51" spans="2:5">
      <c r="B51" s="133" t="s">
        <v>6</v>
      </c>
      <c r="C51" s="16" t="s">
        <v>231</v>
      </c>
      <c r="D51" s="267">
        <v>105.27</v>
      </c>
      <c r="E51" s="85">
        <v>104.91</v>
      </c>
    </row>
    <row r="52" spans="2:5">
      <c r="B52" s="133" t="s">
        <v>8</v>
      </c>
      <c r="C52" s="16" t="s">
        <v>232</v>
      </c>
      <c r="D52" s="267">
        <v>114.11</v>
      </c>
      <c r="E52" s="85">
        <v>119.66240000000001</v>
      </c>
    </row>
    <row r="53" spans="2:5" ht="13.5" customHeight="1" thickBot="1">
      <c r="B53" s="134" t="s">
        <v>9</v>
      </c>
      <c r="C53" s="18" t="s">
        <v>41</v>
      </c>
      <c r="D53" s="268">
        <v>105.42</v>
      </c>
      <c r="E53" s="187">
        <v>113.3386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892872.42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892872.42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892872.42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892872.42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153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5099462.5599999996</v>
      </c>
      <c r="E11" s="9">
        <f>E12</f>
        <v>2625616.23</v>
      </c>
    </row>
    <row r="12" spans="2:7">
      <c r="B12" s="137" t="s">
        <v>4</v>
      </c>
      <c r="C12" s="6" t="s">
        <v>5</v>
      </c>
      <c r="D12" s="90">
        <v>5099462.5599999996</v>
      </c>
      <c r="E12" s="101">
        <v>2625616.23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5099462.5599999996</v>
      </c>
      <c r="E21" s="181">
        <f>E11</f>
        <v>2625616.23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1854334.79</v>
      </c>
      <c r="E26" s="123">
        <v>5099462.5599999996</v>
      </c>
      <c r="G26" s="84"/>
    </row>
    <row r="27" spans="2:10">
      <c r="B27" s="10" t="s">
        <v>17</v>
      </c>
      <c r="C27" s="11" t="s">
        <v>228</v>
      </c>
      <c r="D27" s="182">
        <v>3140086.41</v>
      </c>
      <c r="E27" s="180">
        <f>E28-E32</f>
        <v>-2478556.73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4649610.88</v>
      </c>
      <c r="E28" s="81">
        <f>SUM(E29:E31)</f>
        <v>813142.52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2700143.6</v>
      </c>
      <c r="E29" s="105">
        <v>130162.26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1949467.28</v>
      </c>
      <c r="E31" s="105">
        <v>682980.26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1509524.47</v>
      </c>
      <c r="E32" s="81">
        <f>SUM(E33:E39)</f>
        <v>3291699.25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1367078.88</v>
      </c>
      <c r="E33" s="105">
        <v>2887393.51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2145.58</v>
      </c>
      <c r="E35" s="105">
        <v>7678.15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49587.91</v>
      </c>
      <c r="E37" s="105">
        <v>66809.66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90712.1</v>
      </c>
      <c r="E39" s="184">
        <v>329817.93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105041.36</v>
      </c>
      <c r="E40" s="128">
        <v>4710.3999999999996</v>
      </c>
      <c r="G40" s="84"/>
    </row>
    <row r="41" spans="2:10" ht="13.5" thickBot="1">
      <c r="B41" s="129" t="s">
        <v>37</v>
      </c>
      <c r="C41" s="130" t="s">
        <v>38</v>
      </c>
      <c r="D41" s="131">
        <v>5099462.5600000005</v>
      </c>
      <c r="E41" s="181">
        <f>E26+E27+E40</f>
        <v>2625616.2299999995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20755.93</v>
      </c>
      <c r="E47" s="83">
        <v>49989.83</v>
      </c>
      <c r="G47" s="79"/>
    </row>
    <row r="48" spans="2:10">
      <c r="B48" s="154" t="s">
        <v>6</v>
      </c>
      <c r="C48" s="23" t="s">
        <v>41</v>
      </c>
      <c r="D48" s="264">
        <v>49989.83</v>
      </c>
      <c r="E48" s="185">
        <v>25200.15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89.34</v>
      </c>
      <c r="E50" s="85">
        <v>102.01</v>
      </c>
    </row>
    <row r="51" spans="2:5">
      <c r="B51" s="133" t="s">
        <v>6</v>
      </c>
      <c r="C51" s="16" t="s">
        <v>231</v>
      </c>
      <c r="D51" s="267">
        <v>87.28</v>
      </c>
      <c r="E51" s="85">
        <v>86.66</v>
      </c>
    </row>
    <row r="52" spans="2:5">
      <c r="B52" s="133" t="s">
        <v>8</v>
      </c>
      <c r="C52" s="16" t="s">
        <v>232</v>
      </c>
      <c r="D52" s="267">
        <v>111.09</v>
      </c>
      <c r="E52" s="85">
        <v>104.21680000000001</v>
      </c>
    </row>
    <row r="53" spans="2:5" ht="12.75" customHeight="1" thickBot="1">
      <c r="B53" s="134" t="s">
        <v>9</v>
      </c>
      <c r="C53" s="18" t="s">
        <v>41</v>
      </c>
      <c r="D53" s="268">
        <v>102.01</v>
      </c>
      <c r="E53" s="187">
        <v>104.1905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2625616.23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2625616.23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2625616.23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2625616.23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154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1393164.03</v>
      </c>
      <c r="E11" s="9">
        <f>E12</f>
        <v>1357280.67</v>
      </c>
    </row>
    <row r="12" spans="2:7">
      <c r="B12" s="137" t="s">
        <v>4</v>
      </c>
      <c r="C12" s="6" t="s">
        <v>5</v>
      </c>
      <c r="D12" s="90">
        <v>1393164.03</v>
      </c>
      <c r="E12" s="101">
        <v>1357280.67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1393164.03</v>
      </c>
      <c r="E21" s="181">
        <f>E11</f>
        <v>1357280.67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3231858.82</v>
      </c>
      <c r="E26" s="123">
        <v>1393164.03</v>
      </c>
      <c r="G26" s="84"/>
    </row>
    <row r="27" spans="2:10">
      <c r="B27" s="10" t="s">
        <v>17</v>
      </c>
      <c r="C27" s="11" t="s">
        <v>228</v>
      </c>
      <c r="D27" s="182">
        <v>-1402297.54</v>
      </c>
      <c r="E27" s="180">
        <f>E28-E32</f>
        <v>-281482.37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671911</v>
      </c>
      <c r="E28" s="81">
        <f>SUM(E29:E31)</f>
        <v>830259.15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321168.73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350742.27</v>
      </c>
      <c r="E31" s="105">
        <v>830259.15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2074208.54</v>
      </c>
      <c r="E32" s="81">
        <f>SUM(E33:E39)</f>
        <v>1111741.52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15795.01</v>
      </c>
      <c r="E33" s="105">
        <v>1007698.63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524.49</v>
      </c>
      <c r="E35" s="105">
        <v>1251.77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41249.96</v>
      </c>
      <c r="E37" s="105">
        <v>26819.62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2016639.08</v>
      </c>
      <c r="E39" s="184">
        <v>75971.5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-436397.25</v>
      </c>
      <c r="E40" s="128">
        <v>245599.01</v>
      </c>
      <c r="G40" s="84"/>
    </row>
    <row r="41" spans="2:10" ht="13.5" thickBot="1">
      <c r="B41" s="129" t="s">
        <v>37</v>
      </c>
      <c r="C41" s="130" t="s">
        <v>38</v>
      </c>
      <c r="D41" s="131">
        <v>1393164.0299999998</v>
      </c>
      <c r="E41" s="181">
        <f>E26+E27+E40</f>
        <v>1357280.6700000002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7788.55</v>
      </c>
      <c r="E47" s="83">
        <v>4049.66</v>
      </c>
      <c r="G47" s="79"/>
    </row>
    <row r="48" spans="2:10">
      <c r="B48" s="154" t="s">
        <v>6</v>
      </c>
      <c r="C48" s="23" t="s">
        <v>41</v>
      </c>
      <c r="D48" s="264">
        <v>4049.66</v>
      </c>
      <c r="E48" s="185">
        <v>3507.1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414.95</v>
      </c>
      <c r="E50" s="85">
        <v>344.02</v>
      </c>
    </row>
    <row r="51" spans="2:5">
      <c r="B51" s="133" t="s">
        <v>6</v>
      </c>
      <c r="C51" s="16" t="s">
        <v>231</v>
      </c>
      <c r="D51" s="267">
        <v>337.26</v>
      </c>
      <c r="E51" s="265">
        <v>301.18</v>
      </c>
    </row>
    <row r="52" spans="2:5">
      <c r="B52" s="133" t="s">
        <v>8</v>
      </c>
      <c r="C52" s="16" t="s">
        <v>232</v>
      </c>
      <c r="D52" s="267">
        <v>427.58</v>
      </c>
      <c r="E52" s="265">
        <v>391.98950000000002</v>
      </c>
    </row>
    <row r="53" spans="2:5" ht="12.75" customHeight="1" thickBot="1">
      <c r="B53" s="134" t="s">
        <v>9</v>
      </c>
      <c r="C53" s="18" t="s">
        <v>41</v>
      </c>
      <c r="D53" s="268">
        <v>344.02</v>
      </c>
      <c r="E53" s="187">
        <v>387.00940000000003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1357280.67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1357280.67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1357280.67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1357280.67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81"/>
  <sheetViews>
    <sheetView topLeftCell="A55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239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16817766.199999999</v>
      </c>
      <c r="E11" s="9">
        <f>E12+E13+E14</f>
        <v>15686231.75</v>
      </c>
    </row>
    <row r="12" spans="2:7">
      <c r="B12" s="137" t="s">
        <v>4</v>
      </c>
      <c r="C12" s="6" t="s">
        <v>5</v>
      </c>
      <c r="D12" s="90">
        <v>16816291.93</v>
      </c>
      <c r="E12" s="101">
        <f>14311817.9+1361432.07+3.73</f>
        <v>15673253.700000001</v>
      </c>
    </row>
    <row r="13" spans="2:7">
      <c r="B13" s="137" t="s">
        <v>6</v>
      </c>
      <c r="C13" s="72" t="s">
        <v>7</v>
      </c>
      <c r="D13" s="90">
        <v>105.06</v>
      </c>
      <c r="E13" s="101">
        <v>116.86</v>
      </c>
    </row>
    <row r="14" spans="2:7">
      <c r="B14" s="137" t="s">
        <v>8</v>
      </c>
      <c r="C14" s="72" t="s">
        <v>10</v>
      </c>
      <c r="D14" s="90">
        <v>1369.21</v>
      </c>
      <c r="E14" s="101">
        <f>E15</f>
        <v>12861.19</v>
      </c>
    </row>
    <row r="15" spans="2:7">
      <c r="B15" s="137" t="s">
        <v>223</v>
      </c>
      <c r="C15" s="72" t="s">
        <v>11</v>
      </c>
      <c r="D15" s="90">
        <v>1369.21</v>
      </c>
      <c r="E15" s="101">
        <v>12861.19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2913.46</v>
      </c>
      <c r="E17" s="117">
        <f>SUM(E18:E19)</f>
        <v>20740.52</v>
      </c>
    </row>
    <row r="18" spans="2:10">
      <c r="B18" s="137" t="s">
        <v>4</v>
      </c>
      <c r="C18" s="6" t="s">
        <v>11</v>
      </c>
      <c r="D18" s="90">
        <v>2913.46</v>
      </c>
      <c r="E18" s="102">
        <v>20721.32</v>
      </c>
    </row>
    <row r="19" spans="2:10" ht="13.5" customHeight="1">
      <c r="B19" s="137" t="s">
        <v>6</v>
      </c>
      <c r="C19" s="72" t="s">
        <v>225</v>
      </c>
      <c r="D19" s="90"/>
      <c r="E19" s="101">
        <v>19.2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16814852.739999998</v>
      </c>
      <c r="E21" s="104">
        <f>E11-E17</f>
        <v>15665491.23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8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13631841.110000001</v>
      </c>
      <c r="E26" s="123">
        <v>16814852.739999998</v>
      </c>
      <c r="G26" s="84"/>
    </row>
    <row r="27" spans="2:10">
      <c r="B27" s="10" t="s">
        <v>17</v>
      </c>
      <c r="C27" s="11" t="s">
        <v>228</v>
      </c>
      <c r="D27" s="182">
        <v>4707127.1900000004</v>
      </c>
      <c r="E27" s="108">
        <f>E28-E32</f>
        <v>-2076897.1200000006</v>
      </c>
      <c r="F27" s="79"/>
      <c r="G27" s="84"/>
      <c r="I27" s="84"/>
      <c r="J27" s="84"/>
    </row>
    <row r="28" spans="2:10">
      <c r="B28" s="10" t="s">
        <v>18</v>
      </c>
      <c r="C28" s="11" t="s">
        <v>19</v>
      </c>
      <c r="D28" s="182">
        <v>10206411.82</v>
      </c>
      <c r="E28" s="81">
        <f>SUM(E29:E31)</f>
        <v>2086081.65</v>
      </c>
      <c r="F28" s="79"/>
      <c r="G28" s="84"/>
      <c r="H28" s="79"/>
      <c r="I28" s="84"/>
      <c r="J28" s="84"/>
    </row>
    <row r="29" spans="2:10">
      <c r="B29" s="135" t="s">
        <v>4</v>
      </c>
      <c r="C29" s="6" t="s">
        <v>20</v>
      </c>
      <c r="D29" s="183">
        <v>6712425.1099999994</v>
      </c>
      <c r="E29" s="105">
        <v>1824361.25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3493986.71</v>
      </c>
      <c r="E31" s="105">
        <v>261720.4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5499284.6299999999</v>
      </c>
      <c r="E32" s="81">
        <f>SUM(E33:E39)</f>
        <v>4162978.7700000005</v>
      </c>
      <c r="F32" s="79"/>
      <c r="G32" s="79"/>
      <c r="H32" s="79"/>
      <c r="I32" s="84"/>
      <c r="J32" s="84"/>
    </row>
    <row r="33" spans="2:10">
      <c r="B33" s="135" t="s">
        <v>4</v>
      </c>
      <c r="C33" s="6" t="s">
        <v>25</v>
      </c>
      <c r="D33" s="183">
        <v>1829201.86</v>
      </c>
      <c r="E33" s="105">
        <v>2595260.2400000002</v>
      </c>
      <c r="F33" s="79"/>
      <c r="G33" s="84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140329.79</v>
      </c>
      <c r="E35" s="105">
        <v>187474.21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>
        <v>296066.33</v>
      </c>
      <c r="E37" s="105">
        <v>273356.52</v>
      </c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3233686.65</v>
      </c>
      <c r="E39" s="106">
        <v>1106887.8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-1524115.56</v>
      </c>
      <c r="E40" s="128">
        <f>926971.55+564.06</f>
        <v>927535.6100000001</v>
      </c>
      <c r="G40" s="84"/>
    </row>
    <row r="41" spans="2:10" ht="13.5" thickBot="1">
      <c r="B41" s="129" t="s">
        <v>37</v>
      </c>
      <c r="C41" s="130" t="s">
        <v>38</v>
      </c>
      <c r="D41" s="131">
        <v>16814852.740000002</v>
      </c>
      <c r="E41" s="104">
        <f>E26+E27+E40</f>
        <v>15665491.229999997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7.2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109168.8523</v>
      </c>
      <c r="E47" s="83">
        <v>144253.4406</v>
      </c>
      <c r="G47" s="79"/>
    </row>
    <row r="48" spans="2:10">
      <c r="B48" s="154" t="s">
        <v>6</v>
      </c>
      <c r="C48" s="23" t="s">
        <v>41</v>
      </c>
      <c r="D48" s="264">
        <v>144253.4406</v>
      </c>
      <c r="E48" s="83">
        <v>126363.8998</v>
      </c>
      <c r="G48" s="315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124.869326944458</v>
      </c>
      <c r="E50" s="83">
        <v>116.56465641347</v>
      </c>
    </row>
    <row r="51" spans="2:5">
      <c r="B51" s="133" t="s">
        <v>6</v>
      </c>
      <c r="C51" s="16" t="s">
        <v>231</v>
      </c>
      <c r="D51" s="314">
        <v>111.03570000000001</v>
      </c>
      <c r="E51" s="265">
        <v>106.96420000000001</v>
      </c>
    </row>
    <row r="52" spans="2:5" ht="12.75" customHeight="1">
      <c r="B52" s="133" t="s">
        <v>8</v>
      </c>
      <c r="C52" s="16" t="s">
        <v>232</v>
      </c>
      <c r="D52" s="314">
        <v>138.5872</v>
      </c>
      <c r="E52" s="265">
        <v>123.9713</v>
      </c>
    </row>
    <row r="53" spans="2:5" ht="13.5" thickBot="1">
      <c r="B53" s="134" t="s">
        <v>9</v>
      </c>
      <c r="C53" s="18" t="s">
        <v>41</v>
      </c>
      <c r="D53" s="268">
        <v>116.56465641347</v>
      </c>
      <c r="E53" s="187">
        <v>123.971254857177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15673253.700000001</v>
      </c>
      <c r="E58" s="33">
        <f>D58/E21</f>
        <v>1.0004955139858707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14311817.9</v>
      </c>
      <c r="E64" s="97">
        <f>D64/E21</f>
        <v>0.91358883611592945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1361432.07+3.73</f>
        <v>1361435.8</v>
      </c>
      <c r="E69" s="95">
        <f>D69/E21</f>
        <v>8.6906677869941273E-2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116.86</v>
      </c>
      <c r="E71" s="70">
        <f>D71/E21</f>
        <v>7.4597086222364188E-6</v>
      </c>
    </row>
    <row r="72" spans="2:5">
      <c r="B72" s="147" t="s">
        <v>60</v>
      </c>
      <c r="C72" s="148" t="s">
        <v>63</v>
      </c>
      <c r="D72" s="149">
        <f>E14</f>
        <v>12861.19</v>
      </c>
      <c r="E72" s="150">
        <f>D72/E21</f>
        <v>8.2098861830584297E-4</v>
      </c>
    </row>
    <row r="73" spans="2:5">
      <c r="B73" s="24" t="s">
        <v>62</v>
      </c>
      <c r="C73" s="25" t="s">
        <v>65</v>
      </c>
      <c r="D73" s="26">
        <f>E17</f>
        <v>20740.52</v>
      </c>
      <c r="E73" s="27">
        <f>D73/E21</f>
        <v>1.3239623127987924E-3</v>
      </c>
    </row>
    <row r="74" spans="2:5">
      <c r="B74" s="151" t="s">
        <v>64</v>
      </c>
      <c r="C74" s="152" t="s">
        <v>66</v>
      </c>
      <c r="D74" s="153">
        <f>D58+D71+D72-D73</f>
        <v>15665491.23</v>
      </c>
      <c r="E74" s="70">
        <f>E58+E72-E73</f>
        <v>0.99999254029137785</v>
      </c>
    </row>
    <row r="75" spans="2:5">
      <c r="B75" s="15" t="s">
        <v>4</v>
      </c>
      <c r="C75" s="16" t="s">
        <v>67</v>
      </c>
      <c r="D75" s="94">
        <f>D74</f>
        <v>15665491.23</v>
      </c>
      <c r="E75" s="95">
        <f>E74</f>
        <v>0.99999254029137785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155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2832538.48</v>
      </c>
      <c r="E11" s="9">
        <f>E12</f>
        <v>1492826.51</v>
      </c>
    </row>
    <row r="12" spans="2:7">
      <c r="B12" s="137" t="s">
        <v>4</v>
      </c>
      <c r="C12" s="6" t="s">
        <v>5</v>
      </c>
      <c r="D12" s="90">
        <v>2832538.48</v>
      </c>
      <c r="E12" s="101">
        <v>1492826.51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2832538.48</v>
      </c>
      <c r="E21" s="181">
        <f>E11</f>
        <v>1492826.51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1026358.69</v>
      </c>
      <c r="E26" s="123">
        <v>2832538.48</v>
      </c>
      <c r="G26" s="84"/>
    </row>
    <row r="27" spans="2:10">
      <c r="B27" s="10" t="s">
        <v>17</v>
      </c>
      <c r="C27" s="11" t="s">
        <v>228</v>
      </c>
      <c r="D27" s="182">
        <v>1884027.02</v>
      </c>
      <c r="E27" s="180">
        <f>E28-E32</f>
        <v>-1390998.88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3425573.5</v>
      </c>
      <c r="E28" s="81">
        <f>SUM(E29:E31)</f>
        <v>2761.17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2916757.55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508815.95</v>
      </c>
      <c r="E31" s="105">
        <v>2761.17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1541546.48</v>
      </c>
      <c r="E32" s="81">
        <f>SUM(E33:E39)</f>
        <v>1393760.0499999998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937307.36</v>
      </c>
      <c r="E33" s="105">
        <v>352484.64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515.46</v>
      </c>
      <c r="E35" s="105">
        <v>1853.62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37939.68</v>
      </c>
      <c r="E37" s="105">
        <v>30885.72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565783.98</v>
      </c>
      <c r="E39" s="184">
        <v>1008536.07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-77847.23</v>
      </c>
      <c r="E40" s="128">
        <v>51286.91</v>
      </c>
      <c r="G40" s="84"/>
    </row>
    <row r="41" spans="2:10" ht="13.5" thickBot="1">
      <c r="B41" s="129" t="s">
        <v>37</v>
      </c>
      <c r="C41" s="130" t="s">
        <v>38</v>
      </c>
      <c r="D41" s="131">
        <v>2832538.48</v>
      </c>
      <c r="E41" s="181">
        <f>E26+E27+E40</f>
        <v>1492826.51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1880.57</v>
      </c>
      <c r="E47" s="83">
        <v>5198.9399999999996</v>
      </c>
      <c r="G47" s="79"/>
    </row>
    <row r="48" spans="2:10">
      <c r="B48" s="154" t="s">
        <v>6</v>
      </c>
      <c r="C48" s="23" t="s">
        <v>41</v>
      </c>
      <c r="D48" s="264">
        <v>5198.9399999999996</v>
      </c>
      <c r="E48" s="185">
        <v>2621.25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545.77</v>
      </c>
      <c r="E50" s="85">
        <v>544.83000000000004</v>
      </c>
    </row>
    <row r="51" spans="2:5">
      <c r="B51" s="133" t="s">
        <v>6</v>
      </c>
      <c r="C51" s="16" t="s">
        <v>231</v>
      </c>
      <c r="D51" s="267">
        <v>530.84</v>
      </c>
      <c r="E51" s="85">
        <v>507.7</v>
      </c>
    </row>
    <row r="52" spans="2:5">
      <c r="B52" s="133" t="s">
        <v>8</v>
      </c>
      <c r="C52" s="16" t="s">
        <v>232</v>
      </c>
      <c r="D52" s="267">
        <v>581.75</v>
      </c>
      <c r="E52" s="85">
        <v>572.17169999999999</v>
      </c>
    </row>
    <row r="53" spans="2:5" ht="13.5" customHeight="1" thickBot="1">
      <c r="B53" s="134" t="s">
        <v>9</v>
      </c>
      <c r="C53" s="18" t="s">
        <v>41</v>
      </c>
      <c r="D53" s="268">
        <v>544.83000000000004</v>
      </c>
      <c r="E53" s="187">
        <v>569.50940000000003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1492826.51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1492826.51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1492826.51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1492826.51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156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547467.30000000005</v>
      </c>
      <c r="E11" s="9">
        <f>E12</f>
        <v>504749.21</v>
      </c>
    </row>
    <row r="12" spans="2:7">
      <c r="B12" s="137" t="s">
        <v>4</v>
      </c>
      <c r="C12" s="6" t="s">
        <v>5</v>
      </c>
      <c r="D12" s="90">
        <v>547467.30000000005</v>
      </c>
      <c r="E12" s="101">
        <v>504749.21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547467.30000000005</v>
      </c>
      <c r="E21" s="181">
        <f>E11</f>
        <v>504749.21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1891185.77</v>
      </c>
      <c r="E26" s="123">
        <v>547467.30000000005</v>
      </c>
      <c r="G26" s="84"/>
    </row>
    <row r="27" spans="2:10">
      <c r="B27" s="10" t="s">
        <v>17</v>
      </c>
      <c r="C27" s="11" t="s">
        <v>228</v>
      </c>
      <c r="D27" s="182">
        <v>-1315280.32</v>
      </c>
      <c r="E27" s="180">
        <f>E28-E32</f>
        <v>-112256.76999999999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80999.72</v>
      </c>
      <c r="E28" s="81">
        <f>SUM(E29:E31)</f>
        <v>10340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80999.72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10340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1396280.04</v>
      </c>
      <c r="E32" s="81">
        <f>SUM(E33:E39)</f>
        <v>122596.76999999999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505174.25</v>
      </c>
      <c r="E33" s="105">
        <v>3699.95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800.92</v>
      </c>
      <c r="E35" s="105">
        <v>1008.69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14104.91</v>
      </c>
      <c r="E37" s="105">
        <v>8056.57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876199.96</v>
      </c>
      <c r="E39" s="184">
        <v>109831.56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-28438.15</v>
      </c>
      <c r="E40" s="128">
        <v>69538.679999999993</v>
      </c>
      <c r="G40" s="84"/>
    </row>
    <row r="41" spans="2:10" ht="13.5" thickBot="1">
      <c r="B41" s="129" t="s">
        <v>37</v>
      </c>
      <c r="C41" s="130" t="s">
        <v>38</v>
      </c>
      <c r="D41" s="131">
        <v>547467.29999999993</v>
      </c>
      <c r="E41" s="181">
        <f>E26+E27+E40</f>
        <v>504749.21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5847.28</v>
      </c>
      <c r="E47" s="83">
        <v>1796.86</v>
      </c>
      <c r="G47" s="79"/>
    </row>
    <row r="48" spans="2:10">
      <c r="B48" s="154" t="s">
        <v>6</v>
      </c>
      <c r="C48" s="23" t="s">
        <v>41</v>
      </c>
      <c r="D48" s="264">
        <v>1796.86</v>
      </c>
      <c r="E48" s="185">
        <v>1420.35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323.43</v>
      </c>
      <c r="E50" s="85">
        <v>304.68</v>
      </c>
    </row>
    <row r="51" spans="2:5">
      <c r="B51" s="133" t="s">
        <v>6</v>
      </c>
      <c r="C51" s="16" t="s">
        <v>231</v>
      </c>
      <c r="D51" s="267">
        <v>302.45999999999998</v>
      </c>
      <c r="E51" s="85">
        <v>290.75</v>
      </c>
    </row>
    <row r="52" spans="2:5">
      <c r="B52" s="133" t="s">
        <v>8</v>
      </c>
      <c r="C52" s="16" t="s">
        <v>232</v>
      </c>
      <c r="D52" s="267">
        <v>345.6</v>
      </c>
      <c r="E52" s="85">
        <v>364.22410000000002</v>
      </c>
    </row>
    <row r="53" spans="2:5" ht="14.25" customHeight="1" thickBot="1">
      <c r="B53" s="134" t="s">
        <v>9</v>
      </c>
      <c r="C53" s="18" t="s">
        <v>41</v>
      </c>
      <c r="D53" s="268">
        <v>304.68</v>
      </c>
      <c r="E53" s="187">
        <v>355.36959999999999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504749.21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504749.21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504749.21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504749.21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37" sqref="G37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3"/>
      <c r="C4" s="173"/>
      <c r="D4" s="173"/>
      <c r="E4" s="173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241</v>
      </c>
      <c r="C6" s="338"/>
      <c r="D6" s="338"/>
      <c r="E6" s="338"/>
    </row>
    <row r="7" spans="2:7" ht="14.25">
      <c r="B7" s="171"/>
      <c r="C7" s="171"/>
      <c r="D7" s="171"/>
      <c r="E7" s="171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33970.050000000003</v>
      </c>
      <c r="E11" s="9">
        <f>E12</f>
        <v>19711.52</v>
      </c>
    </row>
    <row r="12" spans="2:7">
      <c r="B12" s="137" t="s">
        <v>4</v>
      </c>
      <c r="C12" s="6" t="s">
        <v>5</v>
      </c>
      <c r="D12" s="90">
        <v>33970.050000000003</v>
      </c>
      <c r="E12" s="101">
        <v>19711.52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42.44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42.44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33970.050000000003</v>
      </c>
      <c r="E21" s="181">
        <f>E11-E17</f>
        <v>19669.080000000002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32685.87</v>
      </c>
      <c r="E26" s="123">
        <v>33970.050000000003</v>
      </c>
      <c r="G26" s="84"/>
    </row>
    <row r="27" spans="2:10">
      <c r="B27" s="10" t="s">
        <v>17</v>
      </c>
      <c r="C27" s="11" t="s">
        <v>228</v>
      </c>
      <c r="D27" s="182">
        <v>828.46</v>
      </c>
      <c r="E27" s="180">
        <f>E28-E32</f>
        <v>-14685.469999999994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53364.22</v>
      </c>
      <c r="E28" s="81">
        <f>SUM(E29:E31)</f>
        <v>19831.78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34000</v>
      </c>
      <c r="E29" s="105"/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>
        <v>19364.22</v>
      </c>
      <c r="E31" s="105">
        <v>19831.78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52535.76</v>
      </c>
      <c r="E32" s="81">
        <f>SUM(E33:E39)</f>
        <v>34517.249999999993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10010.49</v>
      </c>
      <c r="E33" s="105">
        <v>33904.559999999998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40.78</v>
      </c>
      <c r="E35" s="105">
        <v>51.13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592.29</v>
      </c>
      <c r="E37" s="105">
        <v>561.55999999999995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>
        <v>41892.199999999997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455.72</v>
      </c>
      <c r="E40" s="128">
        <v>384.5</v>
      </c>
      <c r="G40" s="84"/>
    </row>
    <row r="41" spans="2:10" ht="13.5" thickBot="1">
      <c r="B41" s="129" t="s">
        <v>37</v>
      </c>
      <c r="C41" s="130" t="s">
        <v>38</v>
      </c>
      <c r="D41" s="131">
        <v>33970.050000000003</v>
      </c>
      <c r="E41" s="181">
        <f>E26+E27+E40</f>
        <v>19669.080000000009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51"/>
      <c r="D43" s="351"/>
      <c r="E43" s="351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99.935400000000001</v>
      </c>
      <c r="E47" s="83">
        <v>102.32250000000001</v>
      </c>
      <c r="G47" s="311"/>
    </row>
    <row r="48" spans="2:10">
      <c r="B48" s="154" t="s">
        <v>6</v>
      </c>
      <c r="C48" s="23" t="s">
        <v>41</v>
      </c>
      <c r="D48" s="264">
        <v>102.32250000000001</v>
      </c>
      <c r="E48" s="185">
        <v>58.533700000000003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327.07</v>
      </c>
      <c r="E50" s="85">
        <v>331.99</v>
      </c>
    </row>
    <row r="51" spans="2:5">
      <c r="B51" s="133" t="s">
        <v>6</v>
      </c>
      <c r="C51" s="16" t="s">
        <v>231</v>
      </c>
      <c r="D51" s="267">
        <v>327.13</v>
      </c>
      <c r="E51" s="265">
        <v>331.90000000000003</v>
      </c>
    </row>
    <row r="52" spans="2:5">
      <c r="B52" s="133" t="s">
        <v>8</v>
      </c>
      <c r="C52" s="16" t="s">
        <v>232</v>
      </c>
      <c r="D52" s="267">
        <v>331.99</v>
      </c>
      <c r="E52" s="265">
        <v>336.03</v>
      </c>
    </row>
    <row r="53" spans="2:5" ht="12.75" customHeight="1" thickBot="1">
      <c r="B53" s="134" t="s">
        <v>9</v>
      </c>
      <c r="C53" s="18" t="s">
        <v>41</v>
      </c>
      <c r="D53" s="268">
        <v>331.99</v>
      </c>
      <c r="E53" s="187">
        <v>336.03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19711.52</v>
      </c>
      <c r="E58" s="33">
        <f>D58/E21</f>
        <v>1.0021577013261422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19711.52</v>
      </c>
      <c r="E64" s="97">
        <f>E58</f>
        <v>1.0021577013261422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42.44</v>
      </c>
      <c r="E73" s="27">
        <f>D73/E21</f>
        <v>2.1577013261423511E-3</v>
      </c>
    </row>
    <row r="74" spans="2:5">
      <c r="B74" s="162" t="s">
        <v>64</v>
      </c>
      <c r="C74" s="152" t="s">
        <v>66</v>
      </c>
      <c r="D74" s="153">
        <f>D58-D73</f>
        <v>19669.080000000002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D74</f>
        <v>19669.080000000002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143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21641.759999999998</v>
      </c>
      <c r="E11" s="9">
        <f>E12</f>
        <v>26997.35</v>
      </c>
    </row>
    <row r="12" spans="2:7">
      <c r="B12" s="137" t="s">
        <v>4</v>
      </c>
      <c r="C12" s="6" t="s">
        <v>5</v>
      </c>
      <c r="D12" s="90">
        <v>21641.759999999998</v>
      </c>
      <c r="E12" s="101">
        <v>26997.35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21641.759999999998</v>
      </c>
      <c r="E21" s="181">
        <f>E11</f>
        <v>26997.35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3246.41</v>
      </c>
      <c r="E26" s="123">
        <v>21641.759999999998</v>
      </c>
      <c r="G26" s="84"/>
    </row>
    <row r="27" spans="2:10">
      <c r="B27" s="10" t="s">
        <v>17</v>
      </c>
      <c r="C27" s="11" t="s">
        <v>228</v>
      </c>
      <c r="D27" s="182">
        <v>18683.18</v>
      </c>
      <c r="E27" s="180">
        <f>E28-E32</f>
        <v>3749.8499999999985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18999.990000000002</v>
      </c>
      <c r="E28" s="81">
        <f>SUM(E29:E31)</f>
        <v>23526.71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18999.990000000002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23526.71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316.81</v>
      </c>
      <c r="E32" s="81">
        <f>SUM(E33:E39)</f>
        <v>19776.86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19073.990000000002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56.14</v>
      </c>
      <c r="E35" s="105">
        <v>94.27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260.67</v>
      </c>
      <c r="E37" s="105">
        <v>608.6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-287.83</v>
      </c>
      <c r="E40" s="128">
        <v>1605.74</v>
      </c>
      <c r="G40" s="84"/>
    </row>
    <row r="41" spans="2:10" ht="13.5" thickBot="1">
      <c r="B41" s="129" t="s">
        <v>37</v>
      </c>
      <c r="C41" s="130" t="s">
        <v>38</v>
      </c>
      <c r="D41" s="131">
        <v>21641.759999999998</v>
      </c>
      <c r="E41" s="181">
        <f>E26+E27+E40</f>
        <v>26997.35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25.667400000000001</v>
      </c>
      <c r="E47" s="83">
        <v>172.00569999999999</v>
      </c>
      <c r="G47" s="79"/>
    </row>
    <row r="48" spans="2:10">
      <c r="B48" s="154" t="s">
        <v>6</v>
      </c>
      <c r="C48" s="23" t="s">
        <v>41</v>
      </c>
      <c r="D48" s="264">
        <v>172.00569999999999</v>
      </c>
      <c r="E48" s="185">
        <v>202.47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126.48</v>
      </c>
      <c r="E50" s="85">
        <v>125.82</v>
      </c>
    </row>
    <row r="51" spans="2:5">
      <c r="B51" s="133" t="s">
        <v>6</v>
      </c>
      <c r="C51" s="16" t="s">
        <v>231</v>
      </c>
      <c r="D51" s="267">
        <v>125.05</v>
      </c>
      <c r="E51" s="85">
        <v>122.5</v>
      </c>
    </row>
    <row r="52" spans="2:5">
      <c r="B52" s="133" t="s">
        <v>8</v>
      </c>
      <c r="C52" s="16" t="s">
        <v>232</v>
      </c>
      <c r="D52" s="267">
        <v>129.59</v>
      </c>
      <c r="E52" s="85">
        <v>133.69999999999999</v>
      </c>
    </row>
    <row r="53" spans="2:5" ht="12.75" customHeight="1" thickBot="1">
      <c r="B53" s="134" t="s">
        <v>9</v>
      </c>
      <c r="C53" s="18" t="s">
        <v>41</v>
      </c>
      <c r="D53" s="268">
        <v>125.82</v>
      </c>
      <c r="E53" s="187">
        <v>133.34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26997.35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26997.35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26997.35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26997.35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5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197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39051.660000000003</v>
      </c>
      <c r="E11" s="9">
        <f>E12</f>
        <v>95507.51</v>
      </c>
    </row>
    <row r="12" spans="2:7">
      <c r="B12" s="137" t="s">
        <v>4</v>
      </c>
      <c r="C12" s="6" t="s">
        <v>5</v>
      </c>
      <c r="D12" s="90">
        <v>39051.660000000003</v>
      </c>
      <c r="E12" s="101">
        <v>95507.51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39051.660000000003</v>
      </c>
      <c r="E21" s="181">
        <f>E11</f>
        <v>95507.51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39051.660000000003</v>
      </c>
      <c r="G26" s="84"/>
    </row>
    <row r="27" spans="2:10">
      <c r="B27" s="10" t="s">
        <v>17</v>
      </c>
      <c r="C27" s="11" t="s">
        <v>228</v>
      </c>
      <c r="D27" s="182">
        <v>41821.199999999997</v>
      </c>
      <c r="E27" s="180">
        <f>E28-E32</f>
        <v>50314.53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57894.1</v>
      </c>
      <c r="E28" s="81">
        <f>SUM(E29:E31)</f>
        <v>51128.84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42900.47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14993.63</v>
      </c>
      <c r="E31" s="105">
        <v>51128.84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16072.9</v>
      </c>
      <c r="E32" s="81">
        <f>SUM(E33:E39)</f>
        <v>814.31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24.02</v>
      </c>
      <c r="E35" s="105">
        <v>49.14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553.75</v>
      </c>
      <c r="E37" s="105">
        <v>765.17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15495.13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-2769.54</v>
      </c>
      <c r="E40" s="128">
        <v>6141.32</v>
      </c>
      <c r="G40" s="84"/>
    </row>
    <row r="41" spans="2:10" ht="13.5" thickBot="1">
      <c r="B41" s="129" t="s">
        <v>37</v>
      </c>
      <c r="C41" s="130" t="s">
        <v>38</v>
      </c>
      <c r="D41" s="131">
        <v>39051.659999999996</v>
      </c>
      <c r="E41" s="181">
        <f>E26+E27+E40</f>
        <v>95507.510000000009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560.60379999999998</v>
      </c>
      <c r="G47" s="79"/>
    </row>
    <row r="48" spans="2:10">
      <c r="B48" s="154" t="s">
        <v>6</v>
      </c>
      <c r="C48" s="23" t="s">
        <v>41</v>
      </c>
      <c r="D48" s="264">
        <v>560.60379999999998</v>
      </c>
      <c r="E48" s="185">
        <v>1184.9567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69.66</v>
      </c>
    </row>
    <row r="51" spans="2:5">
      <c r="B51" s="133" t="s">
        <v>6</v>
      </c>
      <c r="C51" s="16" t="s">
        <v>231</v>
      </c>
      <c r="D51" s="267">
        <v>65.37</v>
      </c>
      <c r="E51" s="85">
        <v>62.92</v>
      </c>
    </row>
    <row r="52" spans="2:5">
      <c r="B52" s="133" t="s">
        <v>8</v>
      </c>
      <c r="C52" s="16" t="s">
        <v>232</v>
      </c>
      <c r="D52" s="267">
        <v>76.16</v>
      </c>
      <c r="E52" s="85">
        <v>80.599999999999994</v>
      </c>
    </row>
    <row r="53" spans="2:5" ht="13.5" customHeight="1" thickBot="1">
      <c r="B53" s="134" t="s">
        <v>9</v>
      </c>
      <c r="C53" s="18" t="s">
        <v>41</v>
      </c>
      <c r="D53" s="268">
        <v>69.66</v>
      </c>
      <c r="E53" s="187">
        <v>80.599999999999994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95507.51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95507.51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95507.51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95507.51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5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144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35000.78</v>
      </c>
      <c r="E11" s="9">
        <f>E12</f>
        <v>12801.73</v>
      </c>
    </row>
    <row r="12" spans="2:7">
      <c r="B12" s="137" t="s">
        <v>4</v>
      </c>
      <c r="C12" s="6" t="s">
        <v>5</v>
      </c>
      <c r="D12" s="90">
        <v>35000.78</v>
      </c>
      <c r="E12" s="101">
        <v>12801.73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35000.78</v>
      </c>
      <c r="E21" s="181">
        <f>E11</f>
        <v>12801.73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9924.65</v>
      </c>
      <c r="E26" s="123">
        <v>35000.78</v>
      </c>
      <c r="G26" s="84"/>
    </row>
    <row r="27" spans="2:10">
      <c r="B27" s="10" t="s">
        <v>17</v>
      </c>
      <c r="C27" s="11" t="s">
        <v>228</v>
      </c>
      <c r="D27" s="182">
        <v>26840.42</v>
      </c>
      <c r="E27" s="180">
        <f>E28-E32</f>
        <v>-20485.850000000006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416259.11</v>
      </c>
      <c r="E28" s="81">
        <f>SUM(E29:E31)</f>
        <v>43334.68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3000</v>
      </c>
      <c r="E29" s="105">
        <v>11760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413259.11</v>
      </c>
      <c r="E31" s="105">
        <v>31574.68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389418.69</v>
      </c>
      <c r="E32" s="81">
        <f>SUM(E33:E39)</f>
        <v>63820.530000000006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956.57</v>
      </c>
      <c r="E33" s="105">
        <v>11522.87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102.76</v>
      </c>
      <c r="E35" s="105">
        <v>60.46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2211.81</v>
      </c>
      <c r="E37" s="105">
        <v>354.79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386147.55</v>
      </c>
      <c r="E39" s="184">
        <v>51882.41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-1764.29</v>
      </c>
      <c r="E40" s="128">
        <v>-1713.2</v>
      </c>
      <c r="G40" s="84"/>
    </row>
    <row r="41" spans="2:10" ht="13.5" thickBot="1">
      <c r="B41" s="129" t="s">
        <v>37</v>
      </c>
      <c r="C41" s="130" t="s">
        <v>38</v>
      </c>
      <c r="D41" s="131">
        <v>35000.78</v>
      </c>
      <c r="E41" s="181">
        <f>E26+E27+E40</f>
        <v>12801.729999999992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141.13550000000001</v>
      </c>
      <c r="E47" s="83">
        <v>489.86399999999998</v>
      </c>
      <c r="G47" s="79"/>
    </row>
    <row r="48" spans="2:10">
      <c r="B48" s="154" t="s">
        <v>6</v>
      </c>
      <c r="C48" s="23" t="s">
        <v>41</v>
      </c>
      <c r="D48" s="264">
        <v>489.86399999999998</v>
      </c>
      <c r="E48" s="185">
        <v>173.74770000000001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70.319999999999993</v>
      </c>
      <c r="E50" s="85">
        <v>71.45</v>
      </c>
    </row>
    <row r="51" spans="2:5">
      <c r="B51" s="133" t="s">
        <v>6</v>
      </c>
      <c r="C51" s="16" t="s">
        <v>231</v>
      </c>
      <c r="D51" s="267">
        <v>67.180000000000007</v>
      </c>
      <c r="E51" s="85">
        <v>58.44</v>
      </c>
    </row>
    <row r="52" spans="2:5">
      <c r="B52" s="133" t="s">
        <v>8</v>
      </c>
      <c r="C52" s="16" t="s">
        <v>232</v>
      </c>
      <c r="D52" s="267">
        <v>80.569999999999993</v>
      </c>
      <c r="E52" s="85">
        <v>76.53</v>
      </c>
    </row>
    <row r="53" spans="2:5" ht="12.75" customHeight="1" thickBot="1">
      <c r="B53" s="134" t="s">
        <v>9</v>
      </c>
      <c r="C53" s="18" t="s">
        <v>41</v>
      </c>
      <c r="D53" s="268">
        <v>71.45</v>
      </c>
      <c r="E53" s="187">
        <v>73.680000000000007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12801.73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12801.73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12801.73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12801.73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H35" sqref="H3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198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140439.1</v>
      </c>
      <c r="E11" s="9">
        <f>E12</f>
        <v>46926.26</v>
      </c>
    </row>
    <row r="12" spans="2:7">
      <c r="B12" s="137" t="s">
        <v>4</v>
      </c>
      <c r="C12" s="6" t="s">
        <v>5</v>
      </c>
      <c r="D12" s="90">
        <v>140439.1</v>
      </c>
      <c r="E12" s="101">
        <v>46926.26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140439.1</v>
      </c>
      <c r="E21" s="181">
        <f>E11</f>
        <v>46926.26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>
        <v>0</v>
      </c>
      <c r="E26" s="123">
        <v>140439.1</v>
      </c>
      <c r="G26" s="84"/>
    </row>
    <row r="27" spans="2:10">
      <c r="B27" s="10" t="s">
        <v>17</v>
      </c>
      <c r="C27" s="11" t="s">
        <v>228</v>
      </c>
      <c r="D27" s="182">
        <v>138540.18</v>
      </c>
      <c r="E27" s="180">
        <f>E28-E32</f>
        <v>-92390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182031.15</v>
      </c>
      <c r="E28" s="81">
        <f>SUM(E29:E31)</f>
        <v>17161.25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182031.15</v>
      </c>
      <c r="E31" s="105">
        <v>17161.25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43490.97</v>
      </c>
      <c r="E32" s="81">
        <f>SUM(E33:E39)</f>
        <v>109551.25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8142.64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79.27</v>
      </c>
      <c r="E35" s="105">
        <v>52.15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937.31</v>
      </c>
      <c r="E37" s="105">
        <v>1180.0899999999999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34331.75</v>
      </c>
      <c r="E39" s="184">
        <v>108319.01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1898.92</v>
      </c>
      <c r="E40" s="128">
        <v>-1122.8399999999999</v>
      </c>
      <c r="G40" s="84"/>
    </row>
    <row r="41" spans="2:10" ht="13.5" thickBot="1">
      <c r="B41" s="129" t="s">
        <v>37</v>
      </c>
      <c r="C41" s="130" t="s">
        <v>38</v>
      </c>
      <c r="D41" s="131">
        <v>140439.1</v>
      </c>
      <c r="E41" s="181">
        <f>E26+E27+E40</f>
        <v>46926.260000000009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1089.8579999999999</v>
      </c>
      <c r="G47" s="79"/>
    </row>
    <row r="48" spans="2:10">
      <c r="B48" s="154" t="s">
        <v>6</v>
      </c>
      <c r="C48" s="23" t="s">
        <v>41</v>
      </c>
      <c r="D48" s="264">
        <v>1089.8579999999999</v>
      </c>
      <c r="E48" s="185">
        <v>369.12029999999999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128.86000000000001</v>
      </c>
    </row>
    <row r="51" spans="2:5">
      <c r="B51" s="133" t="s">
        <v>6</v>
      </c>
      <c r="C51" s="16" t="s">
        <v>231</v>
      </c>
      <c r="D51" s="267">
        <v>116.55</v>
      </c>
      <c r="E51" s="85">
        <v>121.86</v>
      </c>
    </row>
    <row r="52" spans="2:5">
      <c r="B52" s="133" t="s">
        <v>8</v>
      </c>
      <c r="C52" s="16" t="s">
        <v>232</v>
      </c>
      <c r="D52" s="267">
        <v>132.72999999999999</v>
      </c>
      <c r="E52" s="85">
        <v>133.87</v>
      </c>
    </row>
    <row r="53" spans="2:5" ht="12.75" customHeight="1" thickBot="1">
      <c r="B53" s="134" t="s">
        <v>9</v>
      </c>
      <c r="C53" s="18" t="s">
        <v>41</v>
      </c>
      <c r="D53" s="268">
        <v>128.86000000000001</v>
      </c>
      <c r="E53" s="187">
        <v>127.13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46926.26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46926.26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46926.26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46926.26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7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40" sqref="G4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267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51724.98</v>
      </c>
    </row>
    <row r="12" spans="2:7">
      <c r="B12" s="137" t="s">
        <v>4</v>
      </c>
      <c r="C12" s="6" t="s">
        <v>5</v>
      </c>
      <c r="D12" s="90" t="s">
        <v>260</v>
      </c>
      <c r="E12" s="101">
        <v>51724.98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51724.98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228"/>
      <c r="E27" s="180">
        <f>E28-E32</f>
        <v>51185.01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28"/>
      <c r="E28" s="81">
        <f>SUM(E29:E31)</f>
        <v>51185.01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29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29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29"/>
      <c r="E31" s="105">
        <v>51185.01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28"/>
      <c r="E32" s="81"/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29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29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29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29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29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29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30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31"/>
      <c r="E40" s="128">
        <v>539.97</v>
      </c>
      <c r="G40" s="84"/>
    </row>
    <row r="41" spans="2:10" ht="13.5" thickBot="1">
      <c r="B41" s="129" t="s">
        <v>37</v>
      </c>
      <c r="C41" s="130" t="s">
        <v>38</v>
      </c>
      <c r="D41" s="232"/>
      <c r="E41" s="181">
        <f>E27+E40</f>
        <v>51724.98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239"/>
      <c r="G47" s="79"/>
    </row>
    <row r="48" spans="2:10">
      <c r="B48" s="154" t="s">
        <v>6</v>
      </c>
      <c r="C48" s="23" t="s">
        <v>41</v>
      </c>
      <c r="D48" s="234"/>
      <c r="E48" s="185">
        <v>184.48830000000001</v>
      </c>
      <c r="G48" s="79"/>
    </row>
    <row r="49" spans="2:5">
      <c r="B49" s="151" t="s">
        <v>23</v>
      </c>
      <c r="C49" s="155" t="s">
        <v>230</v>
      </c>
      <c r="D49" s="235"/>
      <c r="E49" s="156"/>
    </row>
    <row r="50" spans="2:5">
      <c r="B50" s="133" t="s">
        <v>4</v>
      </c>
      <c r="C50" s="16" t="s">
        <v>40</v>
      </c>
      <c r="D50" s="233"/>
      <c r="E50" s="85"/>
    </row>
    <row r="51" spans="2:5">
      <c r="B51" s="133" t="s">
        <v>6</v>
      </c>
      <c r="C51" s="16" t="s">
        <v>231</v>
      </c>
      <c r="D51" s="236"/>
      <c r="E51" s="85">
        <v>223.83</v>
      </c>
    </row>
    <row r="52" spans="2:5">
      <c r="B52" s="133" t="s">
        <v>8</v>
      </c>
      <c r="C52" s="16" t="s">
        <v>232</v>
      </c>
      <c r="D52" s="236"/>
      <c r="E52" s="85">
        <v>280.37</v>
      </c>
    </row>
    <row r="53" spans="2:5" ht="13.5" thickBot="1">
      <c r="B53" s="134" t="s">
        <v>9</v>
      </c>
      <c r="C53" s="18" t="s">
        <v>41</v>
      </c>
      <c r="D53" s="237"/>
      <c r="E53" s="187">
        <v>280.37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51724.98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51724.98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51724.98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51724.98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12" sqref="D1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268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11009.59</v>
      </c>
    </row>
    <row r="12" spans="2:7">
      <c r="B12" s="137" t="s">
        <v>4</v>
      </c>
      <c r="C12" s="6" t="s">
        <v>5</v>
      </c>
      <c r="D12" s="90" t="s">
        <v>260</v>
      </c>
      <c r="E12" s="101">
        <v>11009.59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11009.59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 t="s">
        <v>260</v>
      </c>
      <c r="G26" s="84"/>
    </row>
    <row r="27" spans="2:10">
      <c r="B27" s="10" t="s">
        <v>17</v>
      </c>
      <c r="C27" s="11" t="s">
        <v>228</v>
      </c>
      <c r="D27" s="228"/>
      <c r="E27" s="180">
        <f>E28-E32</f>
        <v>10878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28"/>
      <c r="E28" s="81">
        <f>SUM(E29:E31)</f>
        <v>10878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29"/>
      <c r="E29" s="105">
        <v>10878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29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29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28"/>
      <c r="E32" s="81">
        <f>SUM(E33:E39)</f>
        <v>0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29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29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29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29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29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29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30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31"/>
      <c r="E40" s="128">
        <v>131.59</v>
      </c>
      <c r="G40" s="84"/>
    </row>
    <row r="41" spans="2:10" ht="13.5" thickBot="1">
      <c r="B41" s="129" t="s">
        <v>37</v>
      </c>
      <c r="C41" s="130" t="s">
        <v>38</v>
      </c>
      <c r="D41" s="232"/>
      <c r="E41" s="181">
        <f>E27+E40</f>
        <v>11009.59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83"/>
      <c r="G47" s="79"/>
    </row>
    <row r="48" spans="2:10">
      <c r="B48" s="154" t="s">
        <v>6</v>
      </c>
      <c r="C48" s="23" t="s">
        <v>41</v>
      </c>
      <c r="D48" s="234"/>
      <c r="E48" s="185">
        <v>86.005700000000004</v>
      </c>
      <c r="G48" s="79"/>
    </row>
    <row r="49" spans="2:5">
      <c r="B49" s="151" t="s">
        <v>23</v>
      </c>
      <c r="C49" s="155" t="s">
        <v>230</v>
      </c>
      <c r="D49" s="235"/>
      <c r="E49" s="156"/>
    </row>
    <row r="50" spans="2:5">
      <c r="B50" s="133" t="s">
        <v>4</v>
      </c>
      <c r="C50" s="16" t="s">
        <v>40</v>
      </c>
      <c r="D50" s="233"/>
      <c r="E50" s="85"/>
    </row>
    <row r="51" spans="2:5">
      <c r="B51" s="133" t="s">
        <v>6</v>
      </c>
      <c r="C51" s="16" t="s">
        <v>231</v>
      </c>
      <c r="D51" s="236"/>
      <c r="E51" s="85">
        <v>99.08</v>
      </c>
    </row>
    <row r="52" spans="2:5">
      <c r="B52" s="133" t="s">
        <v>8</v>
      </c>
      <c r="C52" s="16" t="s">
        <v>232</v>
      </c>
      <c r="D52" s="236"/>
      <c r="E52" s="85">
        <v>129.78</v>
      </c>
    </row>
    <row r="53" spans="2:5" ht="13.5" thickBot="1">
      <c r="B53" s="134" t="s">
        <v>9</v>
      </c>
      <c r="C53" s="18" t="s">
        <v>41</v>
      </c>
      <c r="D53" s="237"/>
      <c r="E53" s="187">
        <v>128.01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11009.59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11009.59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11009.59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11009.59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>
  <dimension ref="A1:J81"/>
  <sheetViews>
    <sheetView topLeftCell="A4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165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14959.2</v>
      </c>
      <c r="E11" s="9">
        <f>E12</f>
        <v>28221.35</v>
      </c>
    </row>
    <row r="12" spans="2:7">
      <c r="B12" s="137" t="s">
        <v>4</v>
      </c>
      <c r="C12" s="6" t="s">
        <v>5</v>
      </c>
      <c r="D12" s="90">
        <v>14959.2</v>
      </c>
      <c r="E12" s="101">
        <v>28221.35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14959.2</v>
      </c>
      <c r="E21" s="181">
        <f>E11</f>
        <v>28221.35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34583.51</v>
      </c>
      <c r="E26" s="123">
        <f>D21</f>
        <v>14959.2</v>
      </c>
      <c r="G26" s="84"/>
    </row>
    <row r="27" spans="2:10">
      <c r="B27" s="10" t="s">
        <v>17</v>
      </c>
      <c r="C27" s="11" t="s">
        <v>228</v>
      </c>
      <c r="D27" s="182">
        <v>-10140.58</v>
      </c>
      <c r="E27" s="180">
        <f>E28-E32</f>
        <v>10160.94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37893.839999999997</v>
      </c>
      <c r="E28" s="81">
        <f>SUM(E29:E31)</f>
        <v>10590.15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37893.839999999997</v>
      </c>
      <c r="E31" s="105">
        <v>10590.15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48034.42</v>
      </c>
      <c r="E32" s="81">
        <f>SUM(E33:E39)</f>
        <v>429.21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20.9</v>
      </c>
      <c r="E35" s="105">
        <v>23.71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613.75</v>
      </c>
      <c r="E37" s="105">
        <v>405.5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47399.77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-9483.73</v>
      </c>
      <c r="E40" s="128">
        <v>3101.21</v>
      </c>
      <c r="G40" s="84"/>
    </row>
    <row r="41" spans="2:10" ht="13.5" thickBot="1">
      <c r="B41" s="129" t="s">
        <v>37</v>
      </c>
      <c r="C41" s="130" t="s">
        <v>38</v>
      </c>
      <c r="D41" s="131">
        <v>14959.2</v>
      </c>
      <c r="E41" s="181">
        <f>E26+E27+E40</f>
        <v>28221.35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2454.4720000000002</v>
      </c>
      <c r="E47" s="83">
        <v>1450.941</v>
      </c>
      <c r="G47" s="79"/>
    </row>
    <row r="48" spans="2:10">
      <c r="B48" s="154" t="s">
        <v>6</v>
      </c>
      <c r="C48" s="23" t="s">
        <v>41</v>
      </c>
      <c r="D48" s="264">
        <v>1450.941</v>
      </c>
      <c r="E48" s="185">
        <v>2290.694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14.09</v>
      </c>
      <c r="E50" s="85">
        <v>10.31</v>
      </c>
    </row>
    <row r="51" spans="2:5">
      <c r="B51" s="133" t="s">
        <v>6</v>
      </c>
      <c r="C51" s="16" t="s">
        <v>231</v>
      </c>
      <c r="D51" s="267">
        <v>9.9700000000000006</v>
      </c>
      <c r="E51" s="85">
        <v>9.17</v>
      </c>
    </row>
    <row r="52" spans="2:5">
      <c r="B52" s="133" t="s">
        <v>8</v>
      </c>
      <c r="C52" s="16" t="s">
        <v>232</v>
      </c>
      <c r="D52" s="267">
        <v>15.37</v>
      </c>
      <c r="E52" s="85">
        <v>12.54</v>
      </c>
    </row>
    <row r="53" spans="2:5" ht="13.5" customHeight="1" thickBot="1">
      <c r="B53" s="134" t="s">
        <v>9</v>
      </c>
      <c r="C53" s="18" t="s">
        <v>41</v>
      </c>
      <c r="D53" s="268">
        <v>10.31</v>
      </c>
      <c r="E53" s="187">
        <v>12.32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28221.35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28221.35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28221.35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28221.35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81"/>
  <sheetViews>
    <sheetView topLeftCell="A40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92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37228129.150000006</v>
      </c>
      <c r="E11" s="9">
        <f>E12+E13+E14</f>
        <v>32123492.369999997</v>
      </c>
    </row>
    <row r="12" spans="2:7">
      <c r="B12" s="137" t="s">
        <v>4</v>
      </c>
      <c r="C12" s="6" t="s">
        <v>5</v>
      </c>
      <c r="D12" s="90">
        <v>37225323.380000003</v>
      </c>
      <c r="E12" s="101">
        <f>29958754.56+2149278.04+5.89</f>
        <v>32108038.489999998</v>
      </c>
    </row>
    <row r="13" spans="2:7">
      <c r="B13" s="137" t="s">
        <v>6</v>
      </c>
      <c r="C13" s="72" t="s">
        <v>7</v>
      </c>
      <c r="D13" s="90">
        <v>101.06</v>
      </c>
      <c r="E13" s="101">
        <v>243.86</v>
      </c>
    </row>
    <row r="14" spans="2:7">
      <c r="B14" s="137" t="s">
        <v>8</v>
      </c>
      <c r="C14" s="72" t="s">
        <v>10</v>
      </c>
      <c r="D14" s="90">
        <v>2704.71</v>
      </c>
      <c r="E14" s="101">
        <f>E15</f>
        <v>15210.02</v>
      </c>
    </row>
    <row r="15" spans="2:7">
      <c r="B15" s="137" t="s">
        <v>223</v>
      </c>
      <c r="C15" s="72" t="s">
        <v>11</v>
      </c>
      <c r="D15" s="90">
        <v>2704.71</v>
      </c>
      <c r="E15" s="101">
        <v>15210.02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6884.66</v>
      </c>
      <c r="E17" s="117">
        <f>SUM(E18:E20)</f>
        <v>79723.12</v>
      </c>
    </row>
    <row r="18" spans="2:10">
      <c r="B18" s="137" t="s">
        <v>4</v>
      </c>
      <c r="C18" s="6" t="s">
        <v>11</v>
      </c>
      <c r="D18" s="90">
        <v>6884.66</v>
      </c>
      <c r="E18" s="102">
        <v>31729.38</v>
      </c>
    </row>
    <row r="19" spans="2:10" ht="13.5" customHeight="1">
      <c r="B19" s="137" t="s">
        <v>6</v>
      </c>
      <c r="C19" s="72" t="s">
        <v>225</v>
      </c>
      <c r="D19" s="90"/>
      <c r="E19" s="101">
        <v>47993.74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37221244.49000001</v>
      </c>
      <c r="E21" s="104">
        <f>E11-E17</f>
        <v>32043769.249999996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89">
        <v>30312426.129999999</v>
      </c>
      <c r="E26" s="123">
        <v>37221244.49000001</v>
      </c>
      <c r="G26" s="84"/>
    </row>
    <row r="27" spans="2:10">
      <c r="B27" s="10" t="s">
        <v>17</v>
      </c>
      <c r="C27" s="11" t="s">
        <v>228</v>
      </c>
      <c r="D27" s="290">
        <v>7702729.3300000001</v>
      </c>
      <c r="E27" s="180">
        <f>E28-E32</f>
        <v>-6344195.3900000006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290">
        <v>16744516.889999999</v>
      </c>
      <c r="E28" s="81">
        <f>SUM(E29:E31)</f>
        <v>2339032.3199999998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291">
        <v>13300824.380000001</v>
      </c>
      <c r="E29" s="105">
        <v>1924239.21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291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291">
        <v>3443692.5100000002</v>
      </c>
      <c r="E31" s="105">
        <v>414793.11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290">
        <v>9041787.5600000005</v>
      </c>
      <c r="E32" s="81">
        <f>SUM(E33:E39)</f>
        <v>8683227.7100000009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291">
        <v>5650279.4300000006</v>
      </c>
      <c r="E33" s="105">
        <v>5719429.3899999997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291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291">
        <v>136251.53</v>
      </c>
      <c r="E35" s="105">
        <v>197919.61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291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291">
        <v>586936.78</v>
      </c>
      <c r="E37" s="105">
        <v>610254.62</v>
      </c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291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292">
        <v>2668319.8199999998</v>
      </c>
      <c r="E39" s="184">
        <v>2155624.09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293">
        <v>-793910.97</v>
      </c>
      <c r="E40" s="128">
        <f>1165832.83+887.32</f>
        <v>1166720.1500000001</v>
      </c>
      <c r="G40" s="84"/>
    </row>
    <row r="41" spans="2:10" ht="13.5" thickBot="1">
      <c r="B41" s="129" t="s">
        <v>37</v>
      </c>
      <c r="C41" s="130" t="s">
        <v>38</v>
      </c>
      <c r="D41" s="93">
        <v>37221244.490000002</v>
      </c>
      <c r="E41" s="181">
        <f>E26+E27+E40</f>
        <v>32043769.250000007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94">
        <v>238041.51699999999</v>
      </c>
      <c r="E47" s="83">
        <v>297099.30440000002</v>
      </c>
      <c r="G47" s="79"/>
    </row>
    <row r="48" spans="2:10">
      <c r="B48" s="154" t="s">
        <v>6</v>
      </c>
      <c r="C48" s="23" t="s">
        <v>41</v>
      </c>
      <c r="D48" s="295">
        <v>297099.30440000002</v>
      </c>
      <c r="E48" s="83">
        <v>246897.13389999999</v>
      </c>
      <c r="G48" s="315"/>
    </row>
    <row r="49" spans="2:5">
      <c r="B49" s="151" t="s">
        <v>23</v>
      </c>
      <c r="C49" s="155" t="s">
        <v>230</v>
      </c>
      <c r="D49" s="296"/>
      <c r="E49" s="156"/>
    </row>
    <row r="50" spans="2:5">
      <c r="B50" s="133" t="s">
        <v>4</v>
      </c>
      <c r="C50" s="16" t="s">
        <v>40</v>
      </c>
      <c r="D50" s="297">
        <v>127.34092149983999</v>
      </c>
      <c r="E50" s="83">
        <v>125.282166396078</v>
      </c>
    </row>
    <row r="51" spans="2:5">
      <c r="B51" s="133" t="s">
        <v>6</v>
      </c>
      <c r="C51" s="16" t="s">
        <v>231</v>
      </c>
      <c r="D51" s="298">
        <v>123.0069</v>
      </c>
      <c r="E51" s="265">
        <v>121.51180000000001</v>
      </c>
    </row>
    <row r="52" spans="2:5" ht="12.75" customHeight="1">
      <c r="B52" s="133" t="s">
        <v>8</v>
      </c>
      <c r="C52" s="16" t="s">
        <v>232</v>
      </c>
      <c r="D52" s="298">
        <v>132.59620000000001</v>
      </c>
      <c r="E52" s="265">
        <v>129.81469999999999</v>
      </c>
    </row>
    <row r="53" spans="2:5" ht="13.5" thickBot="1">
      <c r="B53" s="134" t="s">
        <v>9</v>
      </c>
      <c r="C53" s="18" t="s">
        <v>41</v>
      </c>
      <c r="D53" s="268">
        <v>125.282166396078</v>
      </c>
      <c r="E53" s="187">
        <v>129.78591020657899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32108038.489999998</v>
      </c>
      <c r="E58" s="33">
        <f>D58/E21</f>
        <v>1.0020056704159421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29958754.559999999</v>
      </c>
      <c r="E64" s="97">
        <f>D64/E21</f>
        <v>0.93493228983977916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2149278.04+5.89</f>
        <v>2149283.9300000002</v>
      </c>
      <c r="E69" s="95">
        <f>D69/E21</f>
        <v>6.7073380576163036E-2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243.86</v>
      </c>
      <c r="E71" s="70">
        <f>D71/E21</f>
        <v>7.6102158300244297E-6</v>
      </c>
    </row>
    <row r="72" spans="2:5">
      <c r="B72" s="147" t="s">
        <v>60</v>
      </c>
      <c r="C72" s="148" t="s">
        <v>63</v>
      </c>
      <c r="D72" s="149">
        <f>E14</f>
        <v>15210.02</v>
      </c>
      <c r="E72" s="150">
        <f>D72/E21</f>
        <v>4.7466388492982929E-4</v>
      </c>
    </row>
    <row r="73" spans="2:5">
      <c r="B73" s="24" t="s">
        <v>62</v>
      </c>
      <c r="C73" s="25" t="s">
        <v>65</v>
      </c>
      <c r="D73" s="26">
        <f>E17</f>
        <v>79723.12</v>
      </c>
      <c r="E73" s="27">
        <f>D73/E21</f>
        <v>2.4879445167019483E-3</v>
      </c>
    </row>
    <row r="74" spans="2:5">
      <c r="B74" s="151" t="s">
        <v>64</v>
      </c>
      <c r="C74" s="152" t="s">
        <v>66</v>
      </c>
      <c r="D74" s="153">
        <f>D58+D71+D72-D73</f>
        <v>32043769.249999996</v>
      </c>
      <c r="E74" s="70">
        <f>E58+E72-E73</f>
        <v>0.99999238978416993</v>
      </c>
    </row>
    <row r="75" spans="2:5">
      <c r="B75" s="15" t="s">
        <v>4</v>
      </c>
      <c r="C75" s="16" t="s">
        <v>67</v>
      </c>
      <c r="D75" s="94">
        <f>D74</f>
        <v>32043769.249999996</v>
      </c>
      <c r="E75" s="95">
        <f>E74</f>
        <v>0.99999238978416993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>
  <dimension ref="A1:J81"/>
  <sheetViews>
    <sheetView topLeftCell="A4"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166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 t="s">
        <v>260</v>
      </c>
    </row>
    <row r="12" spans="2:7">
      <c r="B12" s="137" t="s">
        <v>4</v>
      </c>
      <c r="C12" s="6" t="s">
        <v>5</v>
      </c>
      <c r="D12" s="90" t="s">
        <v>260</v>
      </c>
      <c r="E12" s="101" t="s">
        <v>260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04" t="str">
        <f>E11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>
        <v>908.64</v>
      </c>
      <c r="E27" s="180">
        <f>E28-E32</f>
        <v>-3544.3800000000192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9238.74</v>
      </c>
      <c r="E28" s="81">
        <f>SUM(E29:E31)</f>
        <v>65724.429999999993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9238.74</v>
      </c>
      <c r="E31" s="105">
        <v>65724.429999999993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8330.1</v>
      </c>
      <c r="E32" s="81">
        <f>SUM(E33:E39)</f>
        <v>69268.810000000012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4.84</v>
      </c>
      <c r="E35" s="105">
        <v>148.91999999999999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16.04</v>
      </c>
      <c r="E37" s="105">
        <v>667.18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8309.2199999999993</v>
      </c>
      <c r="E39" s="184">
        <v>68452.710000000006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-908.64</v>
      </c>
      <c r="E40" s="128">
        <v>3544.38</v>
      </c>
      <c r="G40" s="84"/>
    </row>
    <row r="41" spans="2:10" ht="13.5" thickBot="1">
      <c r="B41" s="129" t="s">
        <v>37</v>
      </c>
      <c r="C41" s="130" t="s">
        <v>38</v>
      </c>
      <c r="D41" s="131">
        <v>0</v>
      </c>
      <c r="E41" s="181">
        <v>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83"/>
      <c r="G47" s="79"/>
    </row>
    <row r="48" spans="2:10">
      <c r="B48" s="154" t="s">
        <v>6</v>
      </c>
      <c r="C48" s="23" t="s">
        <v>41</v>
      </c>
      <c r="D48" s="234"/>
      <c r="E48" s="185"/>
      <c r="G48" s="79"/>
    </row>
    <row r="49" spans="2:5">
      <c r="B49" s="151" t="s">
        <v>23</v>
      </c>
      <c r="C49" s="155" t="s">
        <v>230</v>
      </c>
      <c r="D49" s="235"/>
      <c r="E49" s="156"/>
    </row>
    <row r="50" spans="2:5">
      <c r="B50" s="133" t="s">
        <v>4</v>
      </c>
      <c r="C50" s="16" t="s">
        <v>40</v>
      </c>
      <c r="D50" s="233"/>
      <c r="E50" s="85"/>
    </row>
    <row r="51" spans="2:5">
      <c r="B51" s="133" t="s">
        <v>6</v>
      </c>
      <c r="C51" s="16" t="s">
        <v>231</v>
      </c>
      <c r="D51" s="267">
        <v>6.4</v>
      </c>
      <c r="E51" s="85">
        <v>5.75</v>
      </c>
    </row>
    <row r="52" spans="2:5">
      <c r="B52" s="133" t="s">
        <v>8</v>
      </c>
      <c r="C52" s="16" t="s">
        <v>232</v>
      </c>
      <c r="D52" s="267">
        <v>9.08</v>
      </c>
      <c r="E52" s="85">
        <v>8.2899999999999991</v>
      </c>
    </row>
    <row r="53" spans="2:5" ht="13.5" customHeight="1" thickBot="1">
      <c r="B53" s="134" t="s">
        <v>9</v>
      </c>
      <c r="C53" s="18" t="s">
        <v>41</v>
      </c>
      <c r="D53" s="237"/>
      <c r="E53" s="187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 t="str">
        <f>D64</f>
        <v>-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 t="str">
        <f>E21</f>
        <v>-</v>
      </c>
      <c r="E64" s="97">
        <f>E58</f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 t="str">
        <f>D58</f>
        <v>-</v>
      </c>
      <c r="E74" s="70">
        <f>E58+E72-E73</f>
        <v>0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 t="str">
        <f>D74</f>
        <v>-</v>
      </c>
      <c r="E76" s="95">
        <f>E74</f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6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163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7290340.7199999997</v>
      </c>
      <c r="E11" s="9">
        <f>E12</f>
        <v>7933746.6600000001</v>
      </c>
    </row>
    <row r="12" spans="2:7">
      <c r="B12" s="137" t="s">
        <v>4</v>
      </c>
      <c r="C12" s="6" t="s">
        <v>5</v>
      </c>
      <c r="D12" s="90">
        <v>7290340.7199999997</v>
      </c>
      <c r="E12" s="101">
        <v>7933746.6600000001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7290340.7199999997</v>
      </c>
      <c r="E21" s="181">
        <f>E11</f>
        <v>7933746.6600000001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13565108.82</v>
      </c>
      <c r="E26" s="123">
        <v>7290340.7199999997</v>
      </c>
      <c r="G26" s="84"/>
    </row>
    <row r="27" spans="2:10">
      <c r="B27" s="10" t="s">
        <v>17</v>
      </c>
      <c r="C27" s="11" t="s">
        <v>228</v>
      </c>
      <c r="D27" s="182">
        <v>-5842517.0099999998</v>
      </c>
      <c r="E27" s="180">
        <f>E28-E32</f>
        <v>191939.00000000023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3990119.25</v>
      </c>
      <c r="E28" s="81">
        <f>SUM(E29:E31)</f>
        <v>1546686.37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1284300.93</v>
      </c>
      <c r="E29" s="105"/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>
        <v>2705818.32</v>
      </c>
      <c r="E31" s="105">
        <v>1546686.37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9832636.2599999998</v>
      </c>
      <c r="E32" s="81">
        <f>SUM(E33:E39)</f>
        <v>1354747.3699999999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1928930.17</v>
      </c>
      <c r="E33" s="105">
        <v>1011212.61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5765.25</v>
      </c>
      <c r="E35" s="105">
        <v>12076.77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184500.89</v>
      </c>
      <c r="E37" s="105">
        <v>127219.81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>
        <v>7713439.9500000002</v>
      </c>
      <c r="E39" s="184">
        <v>204238.18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-432251.09</v>
      </c>
      <c r="E40" s="128">
        <v>451466.94</v>
      </c>
      <c r="G40" s="84"/>
    </row>
    <row r="41" spans="2:10" ht="13.5" thickBot="1">
      <c r="B41" s="129" t="s">
        <v>37</v>
      </c>
      <c r="C41" s="130" t="s">
        <v>38</v>
      </c>
      <c r="D41" s="131">
        <v>7290340.7200000007</v>
      </c>
      <c r="E41" s="181">
        <f>E26+E27+E40</f>
        <v>7933746.6600000001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51"/>
      <c r="D43" s="351"/>
      <c r="E43" s="351"/>
      <c r="G43" s="79"/>
    </row>
    <row r="44" spans="2:10" ht="18" customHeight="1" thickBot="1">
      <c r="B44" s="339" t="s">
        <v>256</v>
      </c>
      <c r="C44" s="350"/>
      <c r="D44" s="350"/>
      <c r="E44" s="350"/>
      <c r="G44" s="79"/>
    </row>
    <row r="45" spans="2:10" ht="13.5" thickBot="1">
      <c r="B45" s="26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283" t="s">
        <v>4</v>
      </c>
      <c r="C47" s="284" t="s">
        <v>40</v>
      </c>
      <c r="D47" s="263">
        <v>964801.48100000003</v>
      </c>
      <c r="E47" s="83">
        <v>542839.96400000004</v>
      </c>
      <c r="G47" s="79"/>
    </row>
    <row r="48" spans="2:10">
      <c r="B48" s="285" t="s">
        <v>6</v>
      </c>
      <c r="C48" s="286" t="s">
        <v>41</v>
      </c>
      <c r="D48" s="264">
        <v>542839.96400000004</v>
      </c>
      <c r="E48" s="185">
        <v>563076.41299999994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283" t="s">
        <v>4</v>
      </c>
      <c r="C50" s="284" t="s">
        <v>40</v>
      </c>
      <c r="D50" s="263">
        <v>14.06</v>
      </c>
      <c r="E50" s="85">
        <v>13.43</v>
      </c>
    </row>
    <row r="51" spans="2:5">
      <c r="B51" s="283" t="s">
        <v>6</v>
      </c>
      <c r="C51" s="284" t="s">
        <v>231</v>
      </c>
      <c r="D51" s="267">
        <v>12.8</v>
      </c>
      <c r="E51" s="85">
        <v>12.41</v>
      </c>
    </row>
    <row r="52" spans="2:5">
      <c r="B52" s="283" t="s">
        <v>8</v>
      </c>
      <c r="C52" s="284" t="s">
        <v>232</v>
      </c>
      <c r="D52" s="267">
        <v>14.46</v>
      </c>
      <c r="E52" s="85">
        <v>14.19</v>
      </c>
    </row>
    <row r="53" spans="2:5" ht="14.25" customHeight="1" thickBot="1">
      <c r="B53" s="287" t="s">
        <v>9</v>
      </c>
      <c r="C53" s="288" t="s">
        <v>41</v>
      </c>
      <c r="D53" s="268">
        <v>13.43</v>
      </c>
      <c r="E53" s="187">
        <v>14.09</v>
      </c>
    </row>
    <row r="54" spans="2:5">
      <c r="B54" s="309"/>
      <c r="C54" s="310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7933746.6600000001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7933746.6600000001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7933746.6600000001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7933746.6600000001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164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11898794.42</v>
      </c>
      <c r="E11" s="9">
        <f>E12</f>
        <v>10676382.380000001</v>
      </c>
    </row>
    <row r="12" spans="2:7">
      <c r="B12" s="137" t="s">
        <v>4</v>
      </c>
      <c r="C12" s="6" t="s">
        <v>5</v>
      </c>
      <c r="D12" s="90">
        <v>11898794.42</v>
      </c>
      <c r="E12" s="101">
        <v>10676382.380000001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11898794.42</v>
      </c>
      <c r="E21" s="181">
        <f>E11</f>
        <v>10676382.380000001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19854111.859999999</v>
      </c>
      <c r="E26" s="123">
        <f>D21</f>
        <v>11898794.42</v>
      </c>
      <c r="G26" s="84"/>
    </row>
    <row r="27" spans="2:10">
      <c r="B27" s="10" t="s">
        <v>17</v>
      </c>
      <c r="C27" s="11" t="s">
        <v>228</v>
      </c>
      <c r="D27" s="182">
        <v>-7444212.7999999998</v>
      </c>
      <c r="E27" s="180">
        <f>E28-E32</f>
        <v>-1889129.29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3317726.5</v>
      </c>
      <c r="E28" s="81">
        <f>SUM(E29:E31)</f>
        <v>322040.62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3102720.26</v>
      </c>
      <c r="E29" s="105">
        <v>2437.5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215006.24</v>
      </c>
      <c r="E31" s="105">
        <v>319603.12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10761939.300000001</v>
      </c>
      <c r="E32" s="81">
        <f>SUM(E33:E39)</f>
        <v>2211169.91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1891551.51</v>
      </c>
      <c r="E33" s="105">
        <v>612263.23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9174.01</v>
      </c>
      <c r="E35" s="105">
        <v>27806.400000000001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237370.53</v>
      </c>
      <c r="E37" s="105">
        <v>167267.07999999999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8623843.25</v>
      </c>
      <c r="E39" s="184">
        <v>1403833.2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-511104.64</v>
      </c>
      <c r="E40" s="128">
        <v>666717.25</v>
      </c>
      <c r="G40" s="84"/>
    </row>
    <row r="41" spans="2:10" ht="13.5" thickBot="1">
      <c r="B41" s="129" t="s">
        <v>37</v>
      </c>
      <c r="C41" s="130" t="s">
        <v>38</v>
      </c>
      <c r="D41" s="131">
        <v>11898794.419999998</v>
      </c>
      <c r="E41" s="181">
        <f>E26+E27+E40</f>
        <v>10676382.379999999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233522.84</v>
      </c>
      <c r="E47" s="83">
        <v>146230.72899999999</v>
      </c>
      <c r="G47" s="79"/>
    </row>
    <row r="48" spans="2:10">
      <c r="B48" s="154" t="s">
        <v>6</v>
      </c>
      <c r="C48" s="23" t="s">
        <v>41</v>
      </c>
      <c r="D48" s="264">
        <v>146230.72899999999</v>
      </c>
      <c r="E48" s="185">
        <v>122239.322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85.02</v>
      </c>
      <c r="E50" s="85">
        <v>81.37</v>
      </c>
    </row>
    <row r="51" spans="2:5">
      <c r="B51" s="133" t="s">
        <v>6</v>
      </c>
      <c r="C51" s="16" t="s">
        <v>231</v>
      </c>
      <c r="D51" s="267">
        <v>77.489999999999995</v>
      </c>
      <c r="E51" s="85">
        <v>74.69</v>
      </c>
    </row>
    <row r="52" spans="2:5">
      <c r="B52" s="133" t="s">
        <v>8</v>
      </c>
      <c r="C52" s="16" t="s">
        <v>232</v>
      </c>
      <c r="D52" s="267">
        <v>87.2</v>
      </c>
      <c r="E52" s="85">
        <v>88.09</v>
      </c>
    </row>
    <row r="53" spans="2:5" ht="14.25" customHeight="1" thickBot="1">
      <c r="B53" s="134" t="s">
        <v>9</v>
      </c>
      <c r="C53" s="18" t="s">
        <v>41</v>
      </c>
      <c r="D53" s="268">
        <v>81.37</v>
      </c>
      <c r="E53" s="187">
        <v>87.34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10676382.380000001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10676382.380000001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10676382.380000001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10676382.380000001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203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40953.79</v>
      </c>
      <c r="E11" s="9">
        <f>E12</f>
        <v>47606.3</v>
      </c>
    </row>
    <row r="12" spans="2:7">
      <c r="B12" s="137" t="s">
        <v>4</v>
      </c>
      <c r="C12" s="6" t="s">
        <v>5</v>
      </c>
      <c r="D12" s="90">
        <v>40953.79</v>
      </c>
      <c r="E12" s="101">
        <v>47606.3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40953.79</v>
      </c>
      <c r="E21" s="181">
        <f>E11</f>
        <v>47606.3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40953.79</v>
      </c>
      <c r="G26" s="84"/>
    </row>
    <row r="27" spans="2:10">
      <c r="B27" s="10" t="s">
        <v>17</v>
      </c>
      <c r="C27" s="11" t="s">
        <v>228</v>
      </c>
      <c r="D27" s="182">
        <v>49267.01</v>
      </c>
      <c r="E27" s="180">
        <f>E28-E32</f>
        <v>-3081.9400000000005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51519.27</v>
      </c>
      <c r="E28" s="81">
        <f>SUM(E29:E31)</f>
        <v>3394.59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51519.27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3394.59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2252.2600000000002</v>
      </c>
      <c r="E32" s="81">
        <f>SUM(E33:E39)</f>
        <v>6476.5300000000007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1976.48</v>
      </c>
      <c r="E33" s="105">
        <v>3104.01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67.67</v>
      </c>
      <c r="E35" s="105">
        <v>218.11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208.11</v>
      </c>
      <c r="E37" s="105">
        <v>664.63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2489.7800000000002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-8313.2199999999993</v>
      </c>
      <c r="E40" s="128">
        <v>9734.4500000000007</v>
      </c>
      <c r="G40" s="84"/>
    </row>
    <row r="41" spans="2:10" ht="13.5" thickBot="1">
      <c r="B41" s="129" t="s">
        <v>37</v>
      </c>
      <c r="C41" s="130" t="s">
        <v>38</v>
      </c>
      <c r="D41" s="131">
        <v>40953.79</v>
      </c>
      <c r="E41" s="181">
        <f>E26+E27+E40</f>
        <v>47606.3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7800.7209999999995</v>
      </c>
      <c r="G47" s="79"/>
    </row>
    <row r="48" spans="2:10">
      <c r="B48" s="154" t="s">
        <v>6</v>
      </c>
      <c r="C48" s="23" t="s">
        <v>41</v>
      </c>
      <c r="D48" s="264">
        <v>7800.7209999999995</v>
      </c>
      <c r="E48" s="185">
        <v>7380.8209999999999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5.25</v>
      </c>
    </row>
    <row r="51" spans="2:5">
      <c r="B51" s="133" t="s">
        <v>6</v>
      </c>
      <c r="C51" s="16" t="s">
        <v>231</v>
      </c>
      <c r="D51" s="267">
        <v>5.09</v>
      </c>
      <c r="E51" s="85">
        <v>4.58</v>
      </c>
    </row>
    <row r="52" spans="2:5">
      <c r="B52" s="133" t="s">
        <v>8</v>
      </c>
      <c r="C52" s="16" t="s">
        <v>232</v>
      </c>
      <c r="D52" s="267">
        <v>7.42</v>
      </c>
      <c r="E52" s="85">
        <v>7.3</v>
      </c>
    </row>
    <row r="53" spans="2:5" ht="14.25" customHeight="1" thickBot="1">
      <c r="B53" s="134" t="s">
        <v>9</v>
      </c>
      <c r="C53" s="18" t="s">
        <v>41</v>
      </c>
      <c r="D53" s="268">
        <v>5.25</v>
      </c>
      <c r="E53" s="187">
        <v>6.45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47606.3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47606.3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47606.3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47606.3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200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218590.81</v>
      </c>
      <c r="E11" s="9">
        <f>E12</f>
        <v>241638.35</v>
      </c>
    </row>
    <row r="12" spans="2:7">
      <c r="B12" s="137" t="s">
        <v>4</v>
      </c>
      <c r="C12" s="6" t="s">
        <v>5</v>
      </c>
      <c r="D12" s="90">
        <v>218590.81</v>
      </c>
      <c r="E12" s="101">
        <v>241638.35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218590.81</v>
      </c>
      <c r="E21" s="181">
        <f>E11</f>
        <v>241638.35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v>218590.81</v>
      </c>
      <c r="G26" s="84"/>
    </row>
    <row r="27" spans="2:10">
      <c r="B27" s="10" t="s">
        <v>17</v>
      </c>
      <c r="C27" s="11" t="s">
        <v>228</v>
      </c>
      <c r="D27" s="182">
        <v>233473.38</v>
      </c>
      <c r="E27" s="180">
        <f>E28-E32</f>
        <v>-8108.14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234894.14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234894.14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1420.76</v>
      </c>
      <c r="E32" s="81">
        <f>SUM(E33:E39)</f>
        <v>8108.14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3908.71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401.55</v>
      </c>
      <c r="E35" s="105">
        <v>1058.92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1019.21</v>
      </c>
      <c r="E37" s="105">
        <v>3140.51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-14882.57</v>
      </c>
      <c r="E40" s="128">
        <v>31155.68</v>
      </c>
      <c r="G40" s="84"/>
    </row>
    <row r="41" spans="2:10" ht="13.5" thickBot="1">
      <c r="B41" s="129" t="s">
        <v>37</v>
      </c>
      <c r="C41" s="130" t="s">
        <v>38</v>
      </c>
      <c r="D41" s="131">
        <v>218590.81</v>
      </c>
      <c r="E41" s="181">
        <f>E26+E27+E40</f>
        <v>241638.34999999998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1979.9892</v>
      </c>
      <c r="G47" s="79"/>
    </row>
    <row r="48" spans="2:10">
      <c r="B48" s="154" t="s">
        <v>6</v>
      </c>
      <c r="C48" s="23" t="s">
        <v>41</v>
      </c>
      <c r="D48" s="264">
        <v>1979.9892</v>
      </c>
      <c r="E48" s="185">
        <v>1910.0336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110.4</v>
      </c>
    </row>
    <row r="51" spans="2:5">
      <c r="B51" s="133" t="s">
        <v>6</v>
      </c>
      <c r="C51" s="16" t="s">
        <v>231</v>
      </c>
      <c r="D51" s="267">
        <v>105.78</v>
      </c>
      <c r="E51" s="85">
        <v>103.46000000000001</v>
      </c>
    </row>
    <row r="52" spans="2:5">
      <c r="B52" s="133" t="s">
        <v>8</v>
      </c>
      <c r="C52" s="16" t="s">
        <v>232</v>
      </c>
      <c r="D52" s="267">
        <v>129.35</v>
      </c>
      <c r="E52" s="85">
        <v>126.51</v>
      </c>
    </row>
    <row r="53" spans="2:5" ht="14.25" customHeight="1" thickBot="1">
      <c r="B53" s="134" t="s">
        <v>9</v>
      </c>
      <c r="C53" s="18" t="s">
        <v>41</v>
      </c>
      <c r="D53" s="268">
        <v>110.4</v>
      </c>
      <c r="E53" s="187">
        <v>126.51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241638.35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241638.35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241638.35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241638.35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10" sqref="G1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6"/>
      <c r="C4" s="176"/>
      <c r="D4" s="176"/>
      <c r="E4" s="17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146</v>
      </c>
      <c r="C6" s="338"/>
      <c r="D6" s="338"/>
      <c r="E6" s="338"/>
    </row>
    <row r="7" spans="2:7" ht="14.25">
      <c r="B7" s="174"/>
      <c r="C7" s="174"/>
      <c r="D7" s="174"/>
      <c r="E7" s="17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5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234940.21</v>
      </c>
      <c r="E11" s="9">
        <f>E12</f>
        <v>262590.55</v>
      </c>
    </row>
    <row r="12" spans="2:7">
      <c r="B12" s="137" t="s">
        <v>4</v>
      </c>
      <c r="C12" s="6" t="s">
        <v>5</v>
      </c>
      <c r="D12" s="90">
        <v>234940.21</v>
      </c>
      <c r="E12" s="101">
        <v>262590.55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187.29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187.29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234940.21</v>
      </c>
      <c r="E21" s="181">
        <f>E11-E17</f>
        <v>262403.26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45364.12</v>
      </c>
      <c r="E26" s="123">
        <v>234940.21</v>
      </c>
      <c r="G26" s="84"/>
    </row>
    <row r="27" spans="2:10">
      <c r="B27" s="10" t="s">
        <v>17</v>
      </c>
      <c r="C27" s="11" t="s">
        <v>228</v>
      </c>
      <c r="D27" s="182">
        <v>206730.96</v>
      </c>
      <c r="E27" s="180">
        <f>E28-E32</f>
        <v>320.32999999999447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271171.56</v>
      </c>
      <c r="E28" s="81">
        <f>SUM(E29:E31)</f>
        <v>49399.159999999996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162559.26</v>
      </c>
      <c r="E29" s="105">
        <v>34888.699999999997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108612.3</v>
      </c>
      <c r="E31" s="105">
        <v>14510.46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64440.6</v>
      </c>
      <c r="E32" s="81">
        <f>SUM(E33:E39)</f>
        <v>49078.83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16167.8</v>
      </c>
      <c r="E33" s="105">
        <v>6682.49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634.53</v>
      </c>
      <c r="E35" s="105">
        <v>1344.53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2511.1</v>
      </c>
      <c r="E37" s="105">
        <v>4005.8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45127.17</v>
      </c>
      <c r="E39" s="184">
        <v>37046.01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-17154.87</v>
      </c>
      <c r="E40" s="128">
        <v>27142.720000000001</v>
      </c>
      <c r="G40" s="84"/>
    </row>
    <row r="41" spans="2:10" ht="13.5" thickBot="1">
      <c r="B41" s="129" t="s">
        <v>37</v>
      </c>
      <c r="C41" s="130" t="s">
        <v>38</v>
      </c>
      <c r="D41" s="131">
        <v>234940.21</v>
      </c>
      <c r="E41" s="181">
        <f>E26+E27+E40</f>
        <v>262403.26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519.8134</v>
      </c>
      <c r="E47" s="83">
        <v>2618.3017</v>
      </c>
      <c r="G47" s="79"/>
      <c r="H47" s="200"/>
    </row>
    <row r="48" spans="2:10">
      <c r="B48" s="154" t="s">
        <v>6</v>
      </c>
      <c r="C48" s="23" t="s">
        <v>41</v>
      </c>
      <c r="D48" s="264">
        <v>2618.3017</v>
      </c>
      <c r="E48" s="185">
        <v>2613.0578</v>
      </c>
      <c r="G48" s="79"/>
    </row>
    <row r="49" spans="2:8">
      <c r="B49" s="151" t="s">
        <v>23</v>
      </c>
      <c r="C49" s="155" t="s">
        <v>230</v>
      </c>
      <c r="D49" s="266"/>
      <c r="E49" s="156"/>
      <c r="H49" s="192"/>
    </row>
    <row r="50" spans="2:8">
      <c r="B50" s="133" t="s">
        <v>4</v>
      </c>
      <c r="C50" s="16" t="s">
        <v>40</v>
      </c>
      <c r="D50" s="263">
        <v>87.27</v>
      </c>
      <c r="E50" s="85">
        <v>89.73</v>
      </c>
    </row>
    <row r="51" spans="2:8">
      <c r="B51" s="133" t="s">
        <v>6</v>
      </c>
      <c r="C51" s="16" t="s">
        <v>231</v>
      </c>
      <c r="D51" s="267">
        <v>85.44</v>
      </c>
      <c r="E51" s="85">
        <v>82.460000000000008</v>
      </c>
    </row>
    <row r="52" spans="2:8">
      <c r="B52" s="133" t="s">
        <v>8</v>
      </c>
      <c r="C52" s="16" t="s">
        <v>232</v>
      </c>
      <c r="D52" s="267">
        <v>101.23</v>
      </c>
      <c r="E52" s="85">
        <v>102.06</v>
      </c>
    </row>
    <row r="53" spans="2:8" ht="13.5" customHeight="1" thickBot="1">
      <c r="B53" s="134" t="s">
        <v>9</v>
      </c>
      <c r="C53" s="18" t="s">
        <v>41</v>
      </c>
      <c r="D53" s="268">
        <v>89.73</v>
      </c>
      <c r="E53" s="187">
        <v>100.42</v>
      </c>
    </row>
    <row r="54" spans="2:8">
      <c r="B54" s="140"/>
      <c r="C54" s="141"/>
      <c r="D54" s="142"/>
      <c r="E54" s="142"/>
    </row>
    <row r="55" spans="2:8" ht="13.5">
      <c r="B55" s="341" t="s">
        <v>62</v>
      </c>
      <c r="C55" s="342"/>
      <c r="D55" s="342"/>
      <c r="E55" s="342"/>
    </row>
    <row r="56" spans="2:8" ht="15.75" customHeight="1" thickBot="1">
      <c r="B56" s="339" t="s">
        <v>233</v>
      </c>
      <c r="C56" s="343"/>
      <c r="D56" s="343"/>
      <c r="E56" s="343"/>
    </row>
    <row r="57" spans="2:8" ht="23.25" thickBot="1">
      <c r="B57" s="334" t="s">
        <v>42</v>
      </c>
      <c r="C57" s="335"/>
      <c r="D57" s="19" t="s">
        <v>257</v>
      </c>
      <c r="E57" s="20" t="s">
        <v>234</v>
      </c>
    </row>
    <row r="58" spans="2:8">
      <c r="B58" s="21" t="s">
        <v>18</v>
      </c>
      <c r="C58" s="157" t="s">
        <v>43</v>
      </c>
      <c r="D58" s="158">
        <f>D64</f>
        <v>262590.55</v>
      </c>
      <c r="E58" s="33">
        <f>D58/E21</f>
        <v>1.0007137487544933</v>
      </c>
    </row>
    <row r="59" spans="2:8" ht="25.5">
      <c r="B59" s="154" t="s">
        <v>4</v>
      </c>
      <c r="C59" s="23" t="s">
        <v>44</v>
      </c>
      <c r="D59" s="96">
        <v>0</v>
      </c>
      <c r="E59" s="97">
        <v>0</v>
      </c>
    </row>
    <row r="60" spans="2:8" ht="25.5">
      <c r="B60" s="133" t="s">
        <v>6</v>
      </c>
      <c r="C60" s="16" t="s">
        <v>45</v>
      </c>
      <c r="D60" s="94">
        <v>0</v>
      </c>
      <c r="E60" s="95">
        <v>0</v>
      </c>
    </row>
    <row r="61" spans="2:8">
      <c r="B61" s="133" t="s">
        <v>8</v>
      </c>
      <c r="C61" s="16" t="s">
        <v>46</v>
      </c>
      <c r="D61" s="94">
        <v>0</v>
      </c>
      <c r="E61" s="95">
        <v>0</v>
      </c>
    </row>
    <row r="62" spans="2:8">
      <c r="B62" s="133" t="s">
        <v>9</v>
      </c>
      <c r="C62" s="16" t="s">
        <v>47</v>
      </c>
      <c r="D62" s="94">
        <v>0</v>
      </c>
      <c r="E62" s="95">
        <v>0</v>
      </c>
    </row>
    <row r="63" spans="2:8">
      <c r="B63" s="133" t="s">
        <v>29</v>
      </c>
      <c r="C63" s="16" t="s">
        <v>48</v>
      </c>
      <c r="D63" s="94">
        <v>0</v>
      </c>
      <c r="E63" s="95">
        <v>0</v>
      </c>
    </row>
    <row r="64" spans="2:8">
      <c r="B64" s="154" t="s">
        <v>31</v>
      </c>
      <c r="C64" s="23" t="s">
        <v>49</v>
      </c>
      <c r="D64" s="96">
        <f>E12</f>
        <v>262590.55</v>
      </c>
      <c r="E64" s="97">
        <f>E58</f>
        <v>1.0007137487544933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187.29</v>
      </c>
      <c r="E73" s="27">
        <f>D73/E21</f>
        <v>7.1374875449337018E-4</v>
      </c>
    </row>
    <row r="74" spans="2:5">
      <c r="B74" s="162" t="s">
        <v>64</v>
      </c>
      <c r="C74" s="152" t="s">
        <v>66</v>
      </c>
      <c r="D74" s="153">
        <f>D75</f>
        <v>262403.26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D58-D73</f>
        <v>262403.26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184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93470.15</v>
      </c>
      <c r="E11" s="9">
        <f>E12</f>
        <v>117844.04</v>
      </c>
    </row>
    <row r="12" spans="2:7">
      <c r="B12" s="137" t="s">
        <v>4</v>
      </c>
      <c r="C12" s="6" t="s">
        <v>5</v>
      </c>
      <c r="D12" s="90">
        <v>93470.15</v>
      </c>
      <c r="E12" s="101">
        <v>117844.04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93470.15</v>
      </c>
      <c r="E21" s="181">
        <f>E11</f>
        <v>117844.04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78575.429999999993</v>
      </c>
      <c r="E26" s="123">
        <v>93470.15</v>
      </c>
      <c r="G26" s="84"/>
    </row>
    <row r="27" spans="2:10">
      <c r="B27" s="10" t="s">
        <v>17</v>
      </c>
      <c r="C27" s="11" t="s">
        <v>228</v>
      </c>
      <c r="D27" s="182">
        <v>16523.59</v>
      </c>
      <c r="E27" s="180">
        <f>E28-E32</f>
        <v>14307.529999999999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41916.57</v>
      </c>
      <c r="E28" s="81">
        <f>SUM(E29:E31)</f>
        <v>75513.84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4800.12</v>
      </c>
      <c r="E29" s="105">
        <v>5533.32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37116.449999999997</v>
      </c>
      <c r="E31" s="105">
        <v>69980.52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25392.98</v>
      </c>
      <c r="E32" s="81">
        <f>SUM(E33:E39)</f>
        <v>61206.31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1826.67</v>
      </c>
      <c r="E33" s="105">
        <v>626.83000000000004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377.84</v>
      </c>
      <c r="E35" s="105">
        <v>566.30999999999995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728.37</v>
      </c>
      <c r="E37" s="105">
        <v>827.22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22460.1</v>
      </c>
      <c r="E39" s="184">
        <v>59185.95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-1628.87</v>
      </c>
      <c r="E40" s="128">
        <v>10066.36</v>
      </c>
      <c r="G40" s="84"/>
    </row>
    <row r="41" spans="2:10" ht="13.5" thickBot="1">
      <c r="B41" s="129" t="s">
        <v>37</v>
      </c>
      <c r="C41" s="130" t="s">
        <v>38</v>
      </c>
      <c r="D41" s="131">
        <v>93470.15</v>
      </c>
      <c r="E41" s="181">
        <f>E26+E27+E40</f>
        <v>117844.04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766.14110000000005</v>
      </c>
      <c r="E47" s="83">
        <v>920.34410000000003</v>
      </c>
      <c r="G47" s="79"/>
    </row>
    <row r="48" spans="2:10">
      <c r="B48" s="154" t="s">
        <v>6</v>
      </c>
      <c r="C48" s="23" t="s">
        <v>41</v>
      </c>
      <c r="D48" s="264">
        <v>920.34410000000003</v>
      </c>
      <c r="E48" s="185">
        <v>1023.8405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102.56</v>
      </c>
      <c r="E50" s="85">
        <v>101.56</v>
      </c>
    </row>
    <row r="51" spans="2:5">
      <c r="B51" s="133" t="s">
        <v>6</v>
      </c>
      <c r="C51" s="16" t="s">
        <v>231</v>
      </c>
      <c r="D51" s="267">
        <v>96.37</v>
      </c>
      <c r="E51" s="85">
        <v>95.09</v>
      </c>
    </row>
    <row r="52" spans="2:5">
      <c r="B52" s="133" t="s">
        <v>8</v>
      </c>
      <c r="C52" s="16" t="s">
        <v>232</v>
      </c>
      <c r="D52" s="267">
        <v>110.61</v>
      </c>
      <c r="E52" s="85">
        <v>115.1</v>
      </c>
    </row>
    <row r="53" spans="2:5" ht="13.5" customHeight="1" thickBot="1">
      <c r="B53" s="134" t="s">
        <v>9</v>
      </c>
      <c r="C53" s="18" t="s">
        <v>41</v>
      </c>
      <c r="D53" s="268">
        <v>101.56</v>
      </c>
      <c r="E53" s="187">
        <v>115.1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117844.04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117844.04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117844.04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117844.04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6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H28" sqref="H2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151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55097.98</v>
      </c>
      <c r="E11" s="9">
        <f>E12</f>
        <v>54787.77</v>
      </c>
    </row>
    <row r="12" spans="2:7">
      <c r="B12" s="137" t="s">
        <v>4</v>
      </c>
      <c r="C12" s="6" t="s">
        <v>5</v>
      </c>
      <c r="D12" s="90">
        <v>55097.98</v>
      </c>
      <c r="E12" s="101">
        <v>54787.77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55097.98</v>
      </c>
      <c r="E21" s="181">
        <f>E11</f>
        <v>54787.77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39369.730000000003</v>
      </c>
      <c r="E26" s="123">
        <v>55097.98</v>
      </c>
      <c r="G26" s="84"/>
    </row>
    <row r="27" spans="2:10">
      <c r="B27" s="10" t="s">
        <v>17</v>
      </c>
      <c r="C27" s="11" t="s">
        <v>228</v>
      </c>
      <c r="D27" s="182">
        <v>26152.46</v>
      </c>
      <c r="E27" s="180">
        <f>E28-E32</f>
        <v>-7273.3600000000006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133743.60999999999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133743.60999999999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107591.15</v>
      </c>
      <c r="E32" s="81">
        <f>SUM(E33:E39)</f>
        <v>7273.3600000000006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84397.81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202.93</v>
      </c>
      <c r="E35" s="105">
        <v>148.4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905.3</v>
      </c>
      <c r="E37" s="105">
        <v>745.94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22085.11</v>
      </c>
      <c r="E39" s="184">
        <v>6379.02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-10424.209999999999</v>
      </c>
      <c r="E40" s="128">
        <v>6963.15</v>
      </c>
      <c r="G40" s="84"/>
    </row>
    <row r="41" spans="2:10" ht="13.5" thickBot="1">
      <c r="B41" s="129" t="s">
        <v>37</v>
      </c>
      <c r="C41" s="130" t="s">
        <v>38</v>
      </c>
      <c r="D41" s="131">
        <v>55097.98</v>
      </c>
      <c r="E41" s="181">
        <f>E26+E27+E40</f>
        <v>54787.770000000004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422.19549999999998</v>
      </c>
      <c r="E47" s="83">
        <v>623.35080000000005</v>
      </c>
      <c r="G47" s="79"/>
    </row>
    <row r="48" spans="2:10">
      <c r="B48" s="154" t="s">
        <v>6</v>
      </c>
      <c r="C48" s="23" t="s">
        <v>41</v>
      </c>
      <c r="D48" s="264">
        <v>623.35080000000005</v>
      </c>
      <c r="E48" s="185">
        <v>539.7278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93.25</v>
      </c>
      <c r="E50" s="85">
        <v>88.39</v>
      </c>
    </row>
    <row r="51" spans="2:5">
      <c r="B51" s="133" t="s">
        <v>6</v>
      </c>
      <c r="C51" s="16" t="s">
        <v>231</v>
      </c>
      <c r="D51" s="267">
        <v>83.89</v>
      </c>
      <c r="E51" s="85">
        <v>81.25</v>
      </c>
    </row>
    <row r="52" spans="2:5">
      <c r="B52" s="133" t="s">
        <v>8</v>
      </c>
      <c r="C52" s="16" t="s">
        <v>232</v>
      </c>
      <c r="D52" s="267">
        <v>103.02</v>
      </c>
      <c r="E52" s="85">
        <v>101.51</v>
      </c>
    </row>
    <row r="53" spans="2:5" ht="12.75" customHeight="1" thickBot="1">
      <c r="B53" s="134" t="s">
        <v>9</v>
      </c>
      <c r="C53" s="18" t="s">
        <v>41</v>
      </c>
      <c r="D53" s="268">
        <v>88.39</v>
      </c>
      <c r="E53" s="187">
        <v>101.51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54787.77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54787.77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54787.77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54787.77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68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145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392472.51</v>
      </c>
      <c r="E11" s="9">
        <f>E12</f>
        <v>687908.93</v>
      </c>
    </row>
    <row r="12" spans="2:7">
      <c r="B12" s="137" t="s">
        <v>4</v>
      </c>
      <c r="C12" s="6" t="s">
        <v>5</v>
      </c>
      <c r="D12" s="90">
        <v>392472.51</v>
      </c>
      <c r="E12" s="101">
        <v>687908.93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392472.51</v>
      </c>
      <c r="E21" s="181">
        <f>E11</f>
        <v>687908.93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54672.800000000003</v>
      </c>
      <c r="E26" s="123">
        <v>392472.51</v>
      </c>
      <c r="G26" s="84"/>
    </row>
    <row r="27" spans="2:10">
      <c r="B27" s="10" t="s">
        <v>17</v>
      </c>
      <c r="C27" s="11" t="s">
        <v>228</v>
      </c>
      <c r="D27" s="182">
        <v>370077.09</v>
      </c>
      <c r="E27" s="180">
        <f>E28-E32</f>
        <v>235015.41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405894.91000000003</v>
      </c>
      <c r="E28" s="81">
        <f>SUM(E29:E31)</f>
        <v>434966.63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187015.82</v>
      </c>
      <c r="E29" s="105">
        <v>5766.85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218879.09</v>
      </c>
      <c r="E31" s="105">
        <v>429199.78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35817.82</v>
      </c>
      <c r="E32" s="81">
        <f>SUM(E33:E39)</f>
        <v>199951.22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19845.330000000002</v>
      </c>
      <c r="E33" s="105">
        <v>185937.22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509.53</v>
      </c>
      <c r="E35" s="105">
        <v>1084.78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2228.0100000000002</v>
      </c>
      <c r="E37" s="105">
        <v>10616.58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13234.95</v>
      </c>
      <c r="E39" s="184">
        <v>2312.64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-32277.38</v>
      </c>
      <c r="E40" s="128">
        <v>60421.01</v>
      </c>
      <c r="G40" s="84"/>
    </row>
    <row r="41" spans="2:10" ht="13.5" thickBot="1">
      <c r="B41" s="129" t="s">
        <v>37</v>
      </c>
      <c r="C41" s="130" t="s">
        <v>38</v>
      </c>
      <c r="D41" s="131">
        <v>392472.51</v>
      </c>
      <c r="E41" s="181">
        <f>E26+E27+E40</f>
        <v>687908.93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268.59640000000002</v>
      </c>
      <c r="E47" s="83">
        <v>2161.4303</v>
      </c>
      <c r="G47" s="79"/>
    </row>
    <row r="48" spans="2:10">
      <c r="B48" s="154" t="s">
        <v>6</v>
      </c>
      <c r="C48" s="23" t="s">
        <v>41</v>
      </c>
      <c r="D48" s="264">
        <v>2161.4303</v>
      </c>
      <c r="E48" s="185">
        <v>3402.9627999999998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203.55</v>
      </c>
      <c r="E50" s="85">
        <v>181.58</v>
      </c>
    </row>
    <row r="51" spans="2:5">
      <c r="B51" s="133" t="s">
        <v>6</v>
      </c>
      <c r="C51" s="16" t="s">
        <v>231</v>
      </c>
      <c r="D51" s="267">
        <v>171.72</v>
      </c>
      <c r="E51" s="85">
        <v>164.38</v>
      </c>
    </row>
    <row r="52" spans="2:5">
      <c r="B52" s="133" t="s">
        <v>8</v>
      </c>
      <c r="C52" s="16" t="s">
        <v>232</v>
      </c>
      <c r="D52" s="267">
        <v>223.12</v>
      </c>
      <c r="E52" s="85">
        <v>202.15</v>
      </c>
    </row>
    <row r="53" spans="2:5" ht="13.5" customHeight="1" thickBot="1">
      <c r="B53" s="134" t="s">
        <v>9</v>
      </c>
      <c r="C53" s="18" t="s">
        <v>41</v>
      </c>
      <c r="D53" s="268">
        <v>181.58</v>
      </c>
      <c r="E53" s="187">
        <v>202.15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687908.93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687908.93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687908.93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687908.93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69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150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1290957.28</v>
      </c>
      <c r="E11" s="9">
        <f>E12</f>
        <v>860846.74</v>
      </c>
    </row>
    <row r="12" spans="2:7">
      <c r="B12" s="137" t="s">
        <v>4</v>
      </c>
      <c r="C12" s="6" t="s">
        <v>5</v>
      </c>
      <c r="D12" s="90">
        <v>1290957.28</v>
      </c>
      <c r="E12" s="101">
        <v>860846.74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216.1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216.1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1290957.28</v>
      </c>
      <c r="E21" s="181">
        <f>E11-E17</f>
        <v>860630.64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1123440.3899999999</v>
      </c>
      <c r="E26" s="123">
        <v>1290957.28</v>
      </c>
      <c r="G26" s="84"/>
    </row>
    <row r="27" spans="2:10">
      <c r="B27" s="10" t="s">
        <v>17</v>
      </c>
      <c r="C27" s="11" t="s">
        <v>228</v>
      </c>
      <c r="D27" s="182">
        <v>169903.25</v>
      </c>
      <c r="E27" s="180">
        <f>E28-E32</f>
        <v>-429795.93000000005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433211.20999999996</v>
      </c>
      <c r="E28" s="81">
        <f>SUM(E29:E31)</f>
        <v>190629.88999999998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361601.11</v>
      </c>
      <c r="E29" s="105">
        <v>13827.52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71610.100000000006</v>
      </c>
      <c r="E31" s="105">
        <v>176802.37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263307.96000000002</v>
      </c>
      <c r="E32" s="81">
        <f>SUM(E33:E39)</f>
        <v>620425.82000000007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64975.6</v>
      </c>
      <c r="E33" s="105">
        <v>264916.17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1909.87</v>
      </c>
      <c r="E35" s="105">
        <v>2351.4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20866.919999999998</v>
      </c>
      <c r="E37" s="105">
        <v>19913.669999999998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175555.57</v>
      </c>
      <c r="E39" s="184">
        <v>333244.58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-2386.36</v>
      </c>
      <c r="E40" s="128">
        <v>-530.71</v>
      </c>
      <c r="G40" s="84"/>
    </row>
    <row r="41" spans="2:10" ht="13.5" thickBot="1">
      <c r="B41" s="129" t="s">
        <v>37</v>
      </c>
      <c r="C41" s="130" t="s">
        <v>38</v>
      </c>
      <c r="D41" s="131">
        <v>1290957.2799999998</v>
      </c>
      <c r="E41" s="181">
        <f>E26+E27+E40</f>
        <v>860630.64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311"/>
    </row>
    <row r="47" spans="2:10">
      <c r="B47" s="133" t="s">
        <v>4</v>
      </c>
      <c r="C47" s="16" t="s">
        <v>40</v>
      </c>
      <c r="D47" s="263">
        <v>3375.6208999999999</v>
      </c>
      <c r="E47" s="83">
        <v>3876.8649999999998</v>
      </c>
      <c r="G47" s="311"/>
    </row>
    <row r="48" spans="2:10">
      <c r="B48" s="154" t="s">
        <v>6</v>
      </c>
      <c r="C48" s="23" t="s">
        <v>41</v>
      </c>
      <c r="D48" s="264">
        <v>3876.8649999999998</v>
      </c>
      <c r="E48" s="185">
        <v>2590.6223199999999</v>
      </c>
      <c r="G48" s="311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332.81</v>
      </c>
      <c r="E50" s="85">
        <v>332.99</v>
      </c>
    </row>
    <row r="51" spans="2:5">
      <c r="B51" s="133" t="s">
        <v>6</v>
      </c>
      <c r="C51" s="16" t="s">
        <v>231</v>
      </c>
      <c r="D51" s="267">
        <v>328.82</v>
      </c>
      <c r="E51" s="85">
        <v>330.54</v>
      </c>
    </row>
    <row r="52" spans="2:5">
      <c r="B52" s="133" t="s">
        <v>8</v>
      </c>
      <c r="C52" s="16" t="s">
        <v>232</v>
      </c>
      <c r="D52" s="267">
        <v>338.31</v>
      </c>
      <c r="E52" s="85">
        <v>339.19</v>
      </c>
    </row>
    <row r="53" spans="2:5" ht="13.5" customHeight="1" thickBot="1">
      <c r="B53" s="134" t="s">
        <v>9</v>
      </c>
      <c r="C53" s="18" t="s">
        <v>41</v>
      </c>
      <c r="D53" s="268">
        <v>332.99</v>
      </c>
      <c r="E53" s="187">
        <v>332.21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860846.74</v>
      </c>
      <c r="E58" s="33">
        <f>D58/E21</f>
        <v>1.0002510949412631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860846.74</v>
      </c>
      <c r="E64" s="97">
        <f>E58</f>
        <v>1.0002510949412631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216.1</v>
      </c>
      <c r="E73" s="27">
        <f>D73/E21</f>
        <v>2.5109494126307193E-4</v>
      </c>
    </row>
    <row r="74" spans="2:5">
      <c r="B74" s="162" t="s">
        <v>64</v>
      </c>
      <c r="C74" s="152" t="s">
        <v>66</v>
      </c>
      <c r="D74" s="153">
        <f>D58-D73</f>
        <v>860630.64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860630.64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81"/>
  <sheetViews>
    <sheetView topLeftCell="A49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4.57031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102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D12+D13+D14+D15</f>
        <v>54627047.900000006</v>
      </c>
      <c r="E11" s="9">
        <f>E12+E13+E14</f>
        <v>45524847.060000002</v>
      </c>
    </row>
    <row r="12" spans="2:7">
      <c r="B12" s="137" t="s">
        <v>4</v>
      </c>
      <c r="C12" s="6" t="s">
        <v>5</v>
      </c>
      <c r="D12" s="90">
        <f>45729171.56+8897876.34</f>
        <v>54627047.900000006</v>
      </c>
      <c r="E12" s="101">
        <f>42808432.88+2716128.63+7.44</f>
        <v>45524568.950000003</v>
      </c>
    </row>
    <row r="13" spans="2:7">
      <c r="B13" s="137" t="s">
        <v>6</v>
      </c>
      <c r="C13" s="72" t="s">
        <v>7</v>
      </c>
      <c r="D13" s="90"/>
      <c r="E13" s="101">
        <v>278.11</v>
      </c>
    </row>
    <row r="14" spans="2:7">
      <c r="B14" s="137" t="s">
        <v>8</v>
      </c>
      <c r="C14" s="72" t="s">
        <v>10</v>
      </c>
      <c r="D14" s="90"/>
      <c r="E14" s="10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SUM(E18:E20)</f>
        <v>144957.07</v>
      </c>
    </row>
    <row r="18" spans="2:10">
      <c r="B18" s="137" t="s">
        <v>4</v>
      </c>
      <c r="C18" s="6" t="s">
        <v>11</v>
      </c>
      <c r="D18" s="90"/>
      <c r="E18" s="102">
        <v>126986.82</v>
      </c>
    </row>
    <row r="19" spans="2:10" ht="13.5" customHeight="1">
      <c r="B19" s="137" t="s">
        <v>6</v>
      </c>
      <c r="C19" s="72" t="s">
        <v>225</v>
      </c>
      <c r="D19" s="90"/>
      <c r="E19" s="101">
        <v>17970.25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54627047.900000006</v>
      </c>
      <c r="E21" s="104">
        <f>E11-E17</f>
        <v>45379889.990000002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6484061.1200000001</v>
      </c>
      <c r="E26" s="123">
        <v>54627047.900000006</v>
      </c>
      <c r="G26" s="84"/>
    </row>
    <row r="27" spans="2:10">
      <c r="B27" s="10" t="s">
        <v>17</v>
      </c>
      <c r="C27" s="11" t="s">
        <v>228</v>
      </c>
      <c r="D27" s="182">
        <v>47891758.850000001</v>
      </c>
      <c r="E27" s="180">
        <v>-10972269.970000001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51910984.509999998</v>
      </c>
      <c r="E28" s="81">
        <v>1448336.76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36425932.07</v>
      </c>
      <c r="E29" s="105">
        <v>128691.73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15485052.439999999</v>
      </c>
      <c r="E31" s="105">
        <v>1319645.03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4019225.66</v>
      </c>
      <c r="E32" s="81">
        <v>12420606.73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1983005.26</v>
      </c>
      <c r="E33" s="105">
        <v>7708507.2400000002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22578.86</v>
      </c>
      <c r="E35" s="105">
        <v>106920.07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445690.8</v>
      </c>
      <c r="E37" s="105">
        <v>931312.8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1567950.74</v>
      </c>
      <c r="E39" s="184">
        <v>3673866.62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251227.93</v>
      </c>
      <c r="E40" s="128">
        <f>1724566.27+545.79</f>
        <v>1725112.06</v>
      </c>
      <c r="G40" s="84"/>
    </row>
    <row r="41" spans="2:10" ht="13.5" thickBot="1">
      <c r="B41" s="129" t="s">
        <v>37</v>
      </c>
      <c r="C41" s="130" t="s">
        <v>38</v>
      </c>
      <c r="D41" s="131">
        <v>54627047.899999999</v>
      </c>
      <c r="E41" s="181">
        <f>E26+E27+E40</f>
        <v>45379889.99000001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58402.429400000001</v>
      </c>
      <c r="E47" s="83">
        <v>459947.19439999998</v>
      </c>
      <c r="G47" s="79"/>
    </row>
    <row r="48" spans="2:10">
      <c r="B48" s="154" t="s">
        <v>6</v>
      </c>
      <c r="C48" s="23" t="s">
        <v>41</v>
      </c>
      <c r="D48" s="264">
        <v>459947.19439999998</v>
      </c>
      <c r="E48" s="83">
        <v>366500.28830000001</v>
      </c>
      <c r="G48" s="311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111.023825320526</v>
      </c>
      <c r="E50" s="83">
        <v>118.768085913124</v>
      </c>
    </row>
    <row r="51" spans="2:5">
      <c r="B51" s="133" t="s">
        <v>6</v>
      </c>
      <c r="C51" s="16" t="s">
        <v>231</v>
      </c>
      <c r="D51" s="314">
        <v>109.0703</v>
      </c>
      <c r="E51" s="265">
        <v>104.5428</v>
      </c>
    </row>
    <row r="52" spans="2:5" ht="12" customHeight="1">
      <c r="B52" s="133" t="s">
        <v>8</v>
      </c>
      <c r="C52" s="16" t="s">
        <v>232</v>
      </c>
      <c r="D52" s="314">
        <v>124.3875</v>
      </c>
      <c r="E52" s="265">
        <v>124.3515</v>
      </c>
    </row>
    <row r="53" spans="2:5" ht="13.5" thickBot="1">
      <c r="B53" s="134" t="s">
        <v>9</v>
      </c>
      <c r="C53" s="18" t="s">
        <v>41</v>
      </c>
      <c r="D53" s="268">
        <v>118.768085913124</v>
      </c>
      <c r="E53" s="187">
        <v>123.819520583572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45524568.950000003</v>
      </c>
      <c r="E58" s="33">
        <f>D58/E21</f>
        <v>1.0031881734405237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5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42808432.880000003</v>
      </c>
      <c r="E64" s="97">
        <f>D64/E21</f>
        <v>0.94333487563397245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2716128.63+7.44</f>
        <v>2716136.07</v>
      </c>
      <c r="E69" s="95">
        <f>D69/E21</f>
        <v>5.9853297806551152E-2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278.11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0</v>
      </c>
      <c r="E72" s="150">
        <f>D72/E21</f>
        <v>0</v>
      </c>
    </row>
    <row r="73" spans="2:5">
      <c r="B73" s="24" t="s">
        <v>62</v>
      </c>
      <c r="C73" s="25" t="s">
        <v>65</v>
      </c>
      <c r="D73" s="26">
        <f>E17</f>
        <v>144957.07</v>
      </c>
      <c r="E73" s="27">
        <f>D73/E21</f>
        <v>3.1943019260721661E-3</v>
      </c>
    </row>
    <row r="74" spans="2:5">
      <c r="B74" s="151" t="s">
        <v>64</v>
      </c>
      <c r="C74" s="152" t="s">
        <v>66</v>
      </c>
      <c r="D74" s="153">
        <f>D58+D71+D72-D73</f>
        <v>45379889.990000002</v>
      </c>
      <c r="E74" s="70">
        <f>E58+E72-E73</f>
        <v>0.99999387151445152</v>
      </c>
    </row>
    <row r="75" spans="2:5">
      <c r="B75" s="15" t="s">
        <v>4</v>
      </c>
      <c r="C75" s="16" t="s">
        <v>67</v>
      </c>
      <c r="D75" s="94">
        <f>D74</f>
        <v>45379889.990000002</v>
      </c>
      <c r="E75" s="95">
        <f>E74</f>
        <v>0.99999387151445152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70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148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711193.63</v>
      </c>
      <c r="E11" s="9">
        <f>E12</f>
        <v>307264.73</v>
      </c>
    </row>
    <row r="12" spans="2:7">
      <c r="B12" s="137" t="s">
        <v>4</v>
      </c>
      <c r="C12" s="6" t="s">
        <v>5</v>
      </c>
      <c r="D12" s="90">
        <v>711193.63</v>
      </c>
      <c r="E12" s="101">
        <v>307264.73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106.86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106.86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711193.63</v>
      </c>
      <c r="E21" s="181">
        <f>E11-E17</f>
        <v>307157.87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743632.35</v>
      </c>
      <c r="E26" s="123">
        <v>711193.63</v>
      </c>
      <c r="G26" s="84"/>
    </row>
    <row r="27" spans="2:10">
      <c r="B27" s="10" t="s">
        <v>17</v>
      </c>
      <c r="C27" s="11" t="s">
        <v>228</v>
      </c>
      <c r="D27" s="182">
        <v>-44051.94</v>
      </c>
      <c r="E27" s="180">
        <f>E28-E32</f>
        <v>-417090.54000000004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877763.93</v>
      </c>
      <c r="E28" s="81">
        <f>SUM(E29:E31)</f>
        <v>129243.5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810814.77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66949.16</v>
      </c>
      <c r="E31" s="105">
        <v>129243.5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921815.87</v>
      </c>
      <c r="E32" s="81">
        <f>SUM(E33:E39)</f>
        <v>546334.04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24425.37</v>
      </c>
      <c r="E33" s="105">
        <v>304995.38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879.19</v>
      </c>
      <c r="E35" s="105">
        <v>926.89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14547.62</v>
      </c>
      <c r="E37" s="105">
        <v>10849.93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881963.69</v>
      </c>
      <c r="E39" s="184">
        <v>229561.84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11613.22</v>
      </c>
      <c r="E40" s="128">
        <v>13054.78</v>
      </c>
      <c r="G40" s="84"/>
    </row>
    <row r="41" spans="2:10" ht="13.5" thickBot="1">
      <c r="B41" s="129" t="s">
        <v>37</v>
      </c>
      <c r="C41" s="130" t="s">
        <v>38</v>
      </c>
      <c r="D41" s="131">
        <v>711193.62999999989</v>
      </c>
      <c r="E41" s="181">
        <f>E26+E27+E40</f>
        <v>307157.87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3723.5608999999999</v>
      </c>
      <c r="E47" s="83">
        <v>3504.9708000000001</v>
      </c>
      <c r="G47" s="79"/>
    </row>
    <row r="48" spans="2:10">
      <c r="B48" s="154" t="s">
        <v>6</v>
      </c>
      <c r="C48" s="23" t="s">
        <v>41</v>
      </c>
      <c r="D48" s="264">
        <v>3504.9708000000001</v>
      </c>
      <c r="E48" s="185">
        <v>1479.4946</v>
      </c>
      <c r="G48" s="79"/>
      <c r="H48" s="200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199.71</v>
      </c>
      <c r="E50" s="85">
        <v>202.91</v>
      </c>
    </row>
    <row r="51" spans="2:5">
      <c r="B51" s="133" t="s">
        <v>6</v>
      </c>
      <c r="C51" s="16" t="s">
        <v>231</v>
      </c>
      <c r="D51" s="267">
        <v>199.8</v>
      </c>
      <c r="E51" s="85">
        <v>202.26</v>
      </c>
    </row>
    <row r="52" spans="2:5">
      <c r="B52" s="133" t="s">
        <v>8</v>
      </c>
      <c r="C52" s="16" t="s">
        <v>232</v>
      </c>
      <c r="D52" s="267">
        <v>203.6</v>
      </c>
      <c r="E52" s="85">
        <v>208.16</v>
      </c>
    </row>
    <row r="53" spans="2:5" ht="14.25" customHeight="1" thickBot="1">
      <c r="B53" s="134" t="s">
        <v>9</v>
      </c>
      <c r="C53" s="18" t="s">
        <v>41</v>
      </c>
      <c r="D53" s="268">
        <v>202.91</v>
      </c>
      <c r="E53" s="187">
        <v>207.61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307264.73</v>
      </c>
      <c r="E58" s="33">
        <f>D58/E21</f>
        <v>1.0003478992740769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307264.73</v>
      </c>
      <c r="E64" s="97">
        <f>E58</f>
        <v>1.0003478992740769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106.86</v>
      </c>
      <c r="E73" s="97">
        <f>D73/E21</f>
        <v>3.4789927407687782E-4</v>
      </c>
    </row>
    <row r="74" spans="2:5">
      <c r="B74" s="162" t="s">
        <v>64</v>
      </c>
      <c r="C74" s="152" t="s">
        <v>66</v>
      </c>
      <c r="D74" s="153">
        <f>D58-D73</f>
        <v>307157.87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307157.87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71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149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149352.82</v>
      </c>
      <c r="E11" s="9">
        <f>E12</f>
        <v>144698.82</v>
      </c>
    </row>
    <row r="12" spans="2:7">
      <c r="B12" s="137" t="s">
        <v>4</v>
      </c>
      <c r="C12" s="6" t="s">
        <v>5</v>
      </c>
      <c r="D12" s="90">
        <v>149352.82</v>
      </c>
      <c r="E12" s="101">
        <v>144698.82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149352.82</v>
      </c>
      <c r="E21" s="181">
        <f>E11</f>
        <v>144698.82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137554.53</v>
      </c>
      <c r="E26" s="123">
        <v>149352.82</v>
      </c>
      <c r="G26" s="84"/>
    </row>
    <row r="27" spans="2:10">
      <c r="B27" s="10" t="s">
        <v>17</v>
      </c>
      <c r="C27" s="11" t="s">
        <v>228</v>
      </c>
      <c r="D27" s="182">
        <v>23099.26</v>
      </c>
      <c r="E27" s="180">
        <f>E28-E32</f>
        <v>-14875.520000000002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53606.77</v>
      </c>
      <c r="E28" s="81">
        <f>SUM(E29:E31)</f>
        <v>13674.17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25878.02</v>
      </c>
      <c r="E29" s="105">
        <v>13353.06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27728.75</v>
      </c>
      <c r="E31" s="105">
        <v>321.11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30507.510000000002</v>
      </c>
      <c r="E32" s="81">
        <f>SUM(E33:E39)</f>
        <v>28549.690000000002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26267.49</v>
      </c>
      <c r="E33" s="105">
        <v>23646.75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418.04</v>
      </c>
      <c r="E35" s="105">
        <v>510.36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2202.4299999999998</v>
      </c>
      <c r="E37" s="105">
        <v>2028.68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1619.55</v>
      </c>
      <c r="E39" s="184">
        <v>2363.9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-11300.97</v>
      </c>
      <c r="E40" s="128">
        <v>10221.52</v>
      </c>
      <c r="G40" s="84"/>
    </row>
    <row r="41" spans="2:10" ht="13.5" thickBot="1">
      <c r="B41" s="129" t="s">
        <v>37</v>
      </c>
      <c r="C41" s="130" t="s">
        <v>38</v>
      </c>
      <c r="D41" s="131">
        <v>149352.82</v>
      </c>
      <c r="E41" s="181">
        <f>E26+E27+E40</f>
        <v>144698.82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447.41910000000001</v>
      </c>
      <c r="E47" s="83">
        <v>522.39530000000002</v>
      </c>
      <c r="G47" s="79"/>
    </row>
    <row r="48" spans="2:10">
      <c r="B48" s="154" t="s">
        <v>6</v>
      </c>
      <c r="C48" s="23" t="s">
        <v>41</v>
      </c>
      <c r="D48" s="264">
        <v>522.39530000000002</v>
      </c>
      <c r="E48" s="185">
        <v>472.65570000000002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307.44</v>
      </c>
      <c r="E50" s="85">
        <v>285.89999999999998</v>
      </c>
    </row>
    <row r="51" spans="2:5">
      <c r="B51" s="133" t="s">
        <v>6</v>
      </c>
      <c r="C51" s="16" t="s">
        <v>231</v>
      </c>
      <c r="D51" s="267">
        <v>276.45</v>
      </c>
      <c r="E51" s="85">
        <v>273.32</v>
      </c>
    </row>
    <row r="52" spans="2:5">
      <c r="B52" s="133" t="s">
        <v>8</v>
      </c>
      <c r="C52" s="16" t="s">
        <v>232</v>
      </c>
      <c r="D52" s="267">
        <v>324.04000000000002</v>
      </c>
      <c r="E52" s="85">
        <v>306.14</v>
      </c>
    </row>
    <row r="53" spans="2:5" ht="13.5" customHeight="1" thickBot="1">
      <c r="B53" s="134" t="s">
        <v>9</v>
      </c>
      <c r="C53" s="18" t="s">
        <v>41</v>
      </c>
      <c r="D53" s="268">
        <v>285.89999999999998</v>
      </c>
      <c r="E53" s="187">
        <v>306.14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144698.82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144698.82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144698.82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144698.82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72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H15" sqref="H1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152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12093.85</v>
      </c>
      <c r="E11" s="9">
        <f>E12</f>
        <v>17081.25</v>
      </c>
    </row>
    <row r="12" spans="2:7">
      <c r="B12" s="137" t="s">
        <v>4</v>
      </c>
      <c r="C12" s="6" t="s">
        <v>5</v>
      </c>
      <c r="D12" s="90">
        <v>12093.85</v>
      </c>
      <c r="E12" s="101">
        <v>17081.25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12093.85</v>
      </c>
      <c r="E21" s="181">
        <f>E11</f>
        <v>17081.25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7158.52</v>
      </c>
      <c r="E26" s="123">
        <v>12093.85</v>
      </c>
      <c r="G26" s="84"/>
    </row>
    <row r="27" spans="2:10">
      <c r="B27" s="10" t="s">
        <v>17</v>
      </c>
      <c r="C27" s="11" t="s">
        <v>228</v>
      </c>
      <c r="D27" s="182">
        <v>4766.7299999999996</v>
      </c>
      <c r="E27" s="180">
        <f>E28-E32</f>
        <v>4752.04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5000.01</v>
      </c>
      <c r="E28" s="81">
        <f>SUM(E29:E31)</f>
        <v>5000.01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5000.01</v>
      </c>
      <c r="E29" s="105">
        <v>5000.01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233.28</v>
      </c>
      <c r="E32" s="81">
        <f>SUM(E33:E39)</f>
        <v>247.97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47.66</v>
      </c>
      <c r="E35" s="105">
        <v>48.84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185.62</v>
      </c>
      <c r="E37" s="105">
        <v>199.13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168.6</v>
      </c>
      <c r="E40" s="128">
        <v>235.36</v>
      </c>
      <c r="G40" s="84"/>
    </row>
    <row r="41" spans="2:10" ht="13.5" thickBot="1">
      <c r="B41" s="129" t="s">
        <v>37</v>
      </c>
      <c r="C41" s="130" t="s">
        <v>38</v>
      </c>
      <c r="D41" s="131">
        <v>12093.85</v>
      </c>
      <c r="E41" s="181">
        <f>E26+E27+E40</f>
        <v>17081.25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63.377800000000001</v>
      </c>
      <c r="E47" s="83">
        <v>104.84480000000001</v>
      </c>
      <c r="G47" s="79"/>
    </row>
    <row r="48" spans="2:10">
      <c r="B48" s="154" t="s">
        <v>6</v>
      </c>
      <c r="C48" s="23" t="s">
        <v>41</v>
      </c>
      <c r="D48" s="264">
        <v>104.84480000000001</v>
      </c>
      <c r="E48" s="185">
        <v>145.47139999999999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112.95</v>
      </c>
      <c r="E50" s="85">
        <v>115.35</v>
      </c>
    </row>
    <row r="51" spans="2:5">
      <c r="B51" s="133" t="s">
        <v>6</v>
      </c>
      <c r="C51" s="16" t="s">
        <v>231</v>
      </c>
      <c r="D51" s="267">
        <v>112.98</v>
      </c>
      <c r="E51" s="85">
        <v>115.35000000000001</v>
      </c>
    </row>
    <row r="52" spans="2:5">
      <c r="B52" s="133" t="s">
        <v>8</v>
      </c>
      <c r="C52" s="16" t="s">
        <v>232</v>
      </c>
      <c r="D52" s="267">
        <v>115.35</v>
      </c>
      <c r="E52" s="85">
        <v>117.42</v>
      </c>
    </row>
    <row r="53" spans="2:5" ht="13.5" customHeight="1" thickBot="1">
      <c r="B53" s="134" t="s">
        <v>9</v>
      </c>
      <c r="C53" s="18" t="s">
        <v>41</v>
      </c>
      <c r="D53" s="268">
        <v>115.35</v>
      </c>
      <c r="E53" s="187">
        <v>117.42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17081.25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17081.25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17081.25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17081.25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73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199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6687.24</v>
      </c>
      <c r="E11" s="9">
        <f>E12</f>
        <v>932848.72</v>
      </c>
    </row>
    <row r="12" spans="2:7">
      <c r="B12" s="137" t="s">
        <v>4</v>
      </c>
      <c r="C12" s="6" t="s">
        <v>5</v>
      </c>
      <c r="D12" s="90">
        <v>6687.24</v>
      </c>
      <c r="E12" s="101">
        <v>932848.72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6687.24</v>
      </c>
      <c r="E21" s="181">
        <f>E11</f>
        <v>932848.72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13983.3</v>
      </c>
      <c r="E26" s="123">
        <f>D21</f>
        <v>6687.24</v>
      </c>
      <c r="G26" s="84"/>
    </row>
    <row r="27" spans="2:10">
      <c r="B27" s="10" t="s">
        <v>17</v>
      </c>
      <c r="C27" s="11" t="s">
        <v>228</v>
      </c>
      <c r="D27" s="182">
        <v>-6737.58</v>
      </c>
      <c r="E27" s="180">
        <f>E28-E32</f>
        <v>944234.85000000009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3147</v>
      </c>
      <c r="E28" s="81">
        <f>SUM(E29:E31)</f>
        <v>1969562.4200000002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3147</v>
      </c>
      <c r="E29" s="105">
        <v>326414.83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1643147.59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9884.58</v>
      </c>
      <c r="E32" s="81">
        <f>SUM(E33:E39)</f>
        <v>1025327.5700000001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9599.8700000000008</v>
      </c>
      <c r="E33" s="105">
        <v>82900.570000000007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41.66</v>
      </c>
      <c r="E35" s="105">
        <v>58.57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243.05</v>
      </c>
      <c r="E37" s="105">
        <v>10858.5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931509.93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-558.48</v>
      </c>
      <c r="E40" s="128">
        <v>-18073.37</v>
      </c>
      <c r="G40" s="84"/>
    </row>
    <row r="41" spans="2:10" ht="13.5" thickBot="1">
      <c r="B41" s="129" t="s">
        <v>37</v>
      </c>
      <c r="C41" s="130" t="s">
        <v>38</v>
      </c>
      <c r="D41" s="131">
        <v>6687.24</v>
      </c>
      <c r="E41" s="181">
        <f>E26+E27+E40</f>
        <v>932848.72000000009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68.468400000000003</v>
      </c>
      <c r="E47" s="83">
        <v>33.998899999999999</v>
      </c>
      <c r="G47" s="79"/>
    </row>
    <row r="48" spans="2:10">
      <c r="B48" s="154" t="s">
        <v>6</v>
      </c>
      <c r="C48" s="23" t="s">
        <v>41</v>
      </c>
      <c r="D48" s="264">
        <v>33.998899999999999</v>
      </c>
      <c r="E48" s="185">
        <v>4616.6917000000003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204.23</v>
      </c>
      <c r="E50" s="85">
        <v>196.69</v>
      </c>
    </row>
    <row r="51" spans="2:5">
      <c r="B51" s="133" t="s">
        <v>6</v>
      </c>
      <c r="C51" s="16" t="s">
        <v>231</v>
      </c>
      <c r="D51" s="267">
        <v>187.86</v>
      </c>
      <c r="E51" s="85">
        <v>196.69</v>
      </c>
    </row>
    <row r="52" spans="2:5">
      <c r="B52" s="133" t="s">
        <v>8</v>
      </c>
      <c r="C52" s="16" t="s">
        <v>232</v>
      </c>
      <c r="D52" s="267">
        <v>212.6</v>
      </c>
      <c r="E52" s="85">
        <v>215.8</v>
      </c>
    </row>
    <row r="53" spans="2:5" ht="13.5" customHeight="1" thickBot="1">
      <c r="B53" s="134" t="s">
        <v>9</v>
      </c>
      <c r="C53" s="18" t="s">
        <v>41</v>
      </c>
      <c r="D53" s="268">
        <v>196.69</v>
      </c>
      <c r="E53" s="187">
        <v>202.06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932848.72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932848.72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932848.72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932848.72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74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147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59956.92</v>
      </c>
      <c r="E11" s="9">
        <f>E12</f>
        <v>65369.14</v>
      </c>
    </row>
    <row r="12" spans="2:7">
      <c r="B12" s="137" t="s">
        <v>4</v>
      </c>
      <c r="C12" s="6" t="s">
        <v>5</v>
      </c>
      <c r="D12" s="90">
        <v>59956.92</v>
      </c>
      <c r="E12" s="101">
        <v>65369.14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59956.92</v>
      </c>
      <c r="E21" s="181">
        <f>E11</f>
        <v>65369.14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76091.28</v>
      </c>
      <c r="E26" s="123">
        <v>59956.92</v>
      </c>
      <c r="G26" s="84"/>
    </row>
    <row r="27" spans="2:10">
      <c r="B27" s="10" t="s">
        <v>17</v>
      </c>
      <c r="C27" s="11" t="s">
        <v>228</v>
      </c>
      <c r="D27" s="182">
        <v>-12961.9</v>
      </c>
      <c r="E27" s="180">
        <f>E28-E32</f>
        <v>3463.6400000000003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4434.78</v>
      </c>
      <c r="E28" s="81">
        <f>SUM(E29:E31)</f>
        <v>4636.17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4434.78</v>
      </c>
      <c r="E29" s="105">
        <v>4636.17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17396.68</v>
      </c>
      <c r="E32" s="81">
        <f>SUM(E33:E39)</f>
        <v>1172.53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16097.38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142.85</v>
      </c>
      <c r="E35" s="105">
        <v>155.44999999999999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1156.45</v>
      </c>
      <c r="E37" s="105">
        <v>1017.08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-3172.46</v>
      </c>
      <c r="E40" s="128">
        <v>1948.58</v>
      </c>
      <c r="G40" s="84"/>
    </row>
    <row r="41" spans="2:10" ht="13.5" thickBot="1">
      <c r="B41" s="129" t="s">
        <v>37</v>
      </c>
      <c r="C41" s="130" t="s">
        <v>38</v>
      </c>
      <c r="D41" s="131">
        <v>59956.92</v>
      </c>
      <c r="E41" s="181">
        <f>E26+E27+E40</f>
        <v>65369.14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448.0702</v>
      </c>
      <c r="E47" s="83">
        <v>372.2876</v>
      </c>
      <c r="G47" s="79"/>
    </row>
    <row r="48" spans="2:10">
      <c r="B48" s="154" t="s">
        <v>6</v>
      </c>
      <c r="C48" s="23" t="s">
        <v>41</v>
      </c>
      <c r="D48" s="264">
        <v>372.2876</v>
      </c>
      <c r="E48" s="185">
        <v>393.6003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169.82</v>
      </c>
      <c r="E50" s="85">
        <v>161.05000000000001</v>
      </c>
    </row>
    <row r="51" spans="2:5">
      <c r="B51" s="133" t="s">
        <v>6</v>
      </c>
      <c r="C51" s="16" t="s">
        <v>231</v>
      </c>
      <c r="D51" s="267">
        <v>156.53</v>
      </c>
      <c r="E51" s="85">
        <v>155.42000000000002</v>
      </c>
    </row>
    <row r="52" spans="2:5">
      <c r="B52" s="133" t="s">
        <v>8</v>
      </c>
      <c r="C52" s="16" t="s">
        <v>232</v>
      </c>
      <c r="D52" s="267">
        <v>175.79</v>
      </c>
      <c r="E52" s="85">
        <v>166.91</v>
      </c>
    </row>
    <row r="53" spans="2:5" ht="13.5" customHeight="1" thickBot="1">
      <c r="B53" s="134" t="s">
        <v>9</v>
      </c>
      <c r="C53" s="18" t="s">
        <v>41</v>
      </c>
      <c r="D53" s="268">
        <v>161.05000000000001</v>
      </c>
      <c r="E53" s="187">
        <v>166.08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65369.14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65369.14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65369.14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65369.14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75.xml><?xml version="1.0" encoding="utf-8"?>
<worksheet xmlns="http://schemas.openxmlformats.org/spreadsheetml/2006/main" xmlns:r="http://schemas.openxmlformats.org/officeDocument/2006/relationships">
  <dimension ref="A1:J81"/>
  <sheetViews>
    <sheetView topLeftCell="A7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219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1881555.09</v>
      </c>
      <c r="E11" s="9">
        <f>E12</f>
        <v>485575.32</v>
      </c>
    </row>
    <row r="12" spans="2:7">
      <c r="B12" s="137" t="s">
        <v>4</v>
      </c>
      <c r="C12" s="6" t="s">
        <v>5</v>
      </c>
      <c r="D12" s="90">
        <v>1881555.09</v>
      </c>
      <c r="E12" s="101">
        <v>485575.32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1881555.09</v>
      </c>
      <c r="E21" s="181">
        <f>E11</f>
        <v>485575.32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1881555.09</v>
      </c>
      <c r="G26" s="84"/>
    </row>
    <row r="27" spans="2:10">
      <c r="B27" s="10" t="s">
        <v>17</v>
      </c>
      <c r="C27" s="11" t="s">
        <v>228</v>
      </c>
      <c r="D27" s="182">
        <v>1926726.48</v>
      </c>
      <c r="E27" s="180">
        <f>E28-E32</f>
        <v>-1345888.02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1975682.84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1950875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24807.84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48956.36</v>
      </c>
      <c r="E32" s="81">
        <f>SUM(E33:E39)</f>
        <v>1345888.02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1301623.8400000001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664.1</v>
      </c>
      <c r="E35" s="105">
        <v>3618.42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11959.07</v>
      </c>
      <c r="E37" s="105">
        <v>17469.150000000001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36333.19</v>
      </c>
      <c r="E39" s="184">
        <v>23176.61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-45171.39</v>
      </c>
      <c r="E40" s="128">
        <v>-50091.75</v>
      </c>
      <c r="G40" s="84"/>
    </row>
    <row r="41" spans="2:10" ht="13.5" thickBot="1">
      <c r="B41" s="129" t="s">
        <v>37</v>
      </c>
      <c r="C41" s="130" t="s">
        <v>38</v>
      </c>
      <c r="D41" s="131">
        <v>1881555.09</v>
      </c>
      <c r="E41" s="181">
        <f>E26+E27+E40</f>
        <v>485575.32000000007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18513.776300000001</v>
      </c>
      <c r="G47" s="79"/>
    </row>
    <row r="48" spans="2:10">
      <c r="B48" s="154" t="s">
        <v>6</v>
      </c>
      <c r="C48" s="23" t="s">
        <v>41</v>
      </c>
      <c r="D48" s="264">
        <v>18513.776300000001</v>
      </c>
      <c r="E48" s="185">
        <v>4851.3869999999997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101.63</v>
      </c>
    </row>
    <row r="51" spans="2:5">
      <c r="B51" s="133" t="s">
        <v>6</v>
      </c>
      <c r="C51" s="16" t="s">
        <v>231</v>
      </c>
      <c r="D51" s="267">
        <v>98.97</v>
      </c>
      <c r="E51" s="85">
        <v>96.26</v>
      </c>
    </row>
    <row r="52" spans="2:5">
      <c r="B52" s="133" t="s">
        <v>8</v>
      </c>
      <c r="C52" s="16" t="s">
        <v>232</v>
      </c>
      <c r="D52" s="267">
        <v>105.49</v>
      </c>
      <c r="E52" s="85">
        <v>101.9</v>
      </c>
    </row>
    <row r="53" spans="2:5" ht="12.75" customHeight="1" thickBot="1">
      <c r="B53" s="134" t="s">
        <v>9</v>
      </c>
      <c r="C53" s="18" t="s">
        <v>41</v>
      </c>
      <c r="D53" s="268">
        <v>101.63</v>
      </c>
      <c r="E53" s="187">
        <v>100.09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485575.32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485575.32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485575.32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485575.32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7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204</v>
      </c>
      <c r="C6" s="338"/>
      <c r="D6" s="338"/>
      <c r="E6" s="338"/>
    </row>
    <row r="7" spans="2:7" ht="14.25">
      <c r="B7" s="177"/>
      <c r="C7" s="177"/>
      <c r="D7" s="177"/>
      <c r="E7" s="177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78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2488485.1</v>
      </c>
      <c r="E11" s="9">
        <f>E12</f>
        <v>1978121.52</v>
      </c>
    </row>
    <row r="12" spans="2:7">
      <c r="B12" s="137" t="s">
        <v>4</v>
      </c>
      <c r="C12" s="6" t="s">
        <v>5</v>
      </c>
      <c r="D12" s="90">
        <v>2488485.1</v>
      </c>
      <c r="E12" s="101">
        <v>1978121.52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2488485.1</v>
      </c>
      <c r="E21" s="181">
        <f>E11</f>
        <v>1978121.52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78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2488485.1</v>
      </c>
      <c r="G26" s="84"/>
    </row>
    <row r="27" spans="2:10">
      <c r="B27" s="10" t="s">
        <v>17</v>
      </c>
      <c r="C27" s="11" t="s">
        <v>228</v>
      </c>
      <c r="D27" s="182">
        <v>2514996.04</v>
      </c>
      <c r="E27" s="180">
        <f>E28-E32</f>
        <v>-514782.25000000006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2741284.77</v>
      </c>
      <c r="E28" s="81">
        <f>SUM(E29:E31)</f>
        <v>178736.44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779212.28</v>
      </c>
      <c r="E29" s="105">
        <v>36420.26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1962072.49</v>
      </c>
      <c r="E31" s="105">
        <v>142316.18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226288.73</v>
      </c>
      <c r="E32" s="81">
        <f>SUM(E33:E39)</f>
        <v>693518.69000000006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134063.6</v>
      </c>
      <c r="E33" s="105">
        <v>647010.27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2744.61</v>
      </c>
      <c r="E35" s="105">
        <v>9571.27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14970.39</v>
      </c>
      <c r="E37" s="105">
        <v>35834.93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74510.13</v>
      </c>
      <c r="E39" s="184">
        <v>1102.22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-26510.94</v>
      </c>
      <c r="E40" s="128">
        <v>4418.67</v>
      </c>
      <c r="G40" s="84"/>
    </row>
    <row r="41" spans="2:10" ht="13.5" thickBot="1">
      <c r="B41" s="129" t="s">
        <v>37</v>
      </c>
      <c r="C41" s="130" t="s">
        <v>38</v>
      </c>
      <c r="D41" s="131">
        <v>2488485.1</v>
      </c>
      <c r="E41" s="181">
        <f>E26+E27+E40</f>
        <v>1978121.52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78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>
        <v>16823.182100000002</v>
      </c>
      <c r="G47" s="79"/>
    </row>
    <row r="48" spans="2:10">
      <c r="B48" s="154" t="s">
        <v>6</v>
      </c>
      <c r="C48" s="23" t="s">
        <v>41</v>
      </c>
      <c r="D48" s="264">
        <v>16823.182100000002</v>
      </c>
      <c r="E48" s="185">
        <v>13344.947200000001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>
        <v>147.91999999999999</v>
      </c>
    </row>
    <row r="51" spans="2:5">
      <c r="B51" s="133" t="s">
        <v>6</v>
      </c>
      <c r="C51" s="16" t="s">
        <v>231</v>
      </c>
      <c r="D51" s="267">
        <v>145.47</v>
      </c>
      <c r="E51" s="85">
        <v>146.12</v>
      </c>
    </row>
    <row r="52" spans="2:5">
      <c r="B52" s="133" t="s">
        <v>8</v>
      </c>
      <c r="C52" s="16" t="s">
        <v>232</v>
      </c>
      <c r="D52" s="267">
        <v>152.46</v>
      </c>
      <c r="E52" s="85">
        <v>155.59</v>
      </c>
    </row>
    <row r="53" spans="2:5" ht="13.5" customHeight="1" thickBot="1">
      <c r="B53" s="134" t="s">
        <v>9</v>
      </c>
      <c r="C53" s="18" t="s">
        <v>41</v>
      </c>
      <c r="D53" s="268">
        <v>147.91999999999999</v>
      </c>
      <c r="E53" s="187">
        <v>148.22999999999999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1978121.52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1978121.52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1978121.52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1978121.52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F40" sqref="F40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6" max="6" width="11.28515625" bestFit="1" customWidth="1"/>
    <col min="7" max="9" width="18.7109375" bestFit="1" customWidth="1"/>
    <col min="10" max="10" width="15.42578125" bestFit="1" customWidth="1"/>
    <col min="11" max="11" width="11.7109375" bestFit="1" customWidth="1"/>
  </cols>
  <sheetData>
    <row r="1" spans="1:11">
      <c r="A1" s="34"/>
      <c r="B1" s="35"/>
      <c r="C1" s="35" t="s">
        <v>93</v>
      </c>
      <c r="D1" s="36"/>
      <c r="E1" s="36"/>
      <c r="F1" s="36"/>
      <c r="G1" s="36"/>
      <c r="H1" s="35"/>
      <c r="I1" s="35"/>
      <c r="J1" s="34"/>
    </row>
    <row r="2" spans="1:11">
      <c r="A2" s="34"/>
      <c r="B2" s="35"/>
      <c r="C2" s="35" t="s">
        <v>94</v>
      </c>
      <c r="D2" s="36"/>
      <c r="E2" s="36"/>
      <c r="F2" s="36"/>
      <c r="G2" s="36"/>
      <c r="H2" s="35"/>
      <c r="I2" s="35"/>
      <c r="J2" s="34"/>
    </row>
    <row r="3" spans="1:11">
      <c r="A3" s="34"/>
      <c r="B3" s="35"/>
      <c r="C3" s="35" t="s">
        <v>95</v>
      </c>
      <c r="D3" s="36"/>
      <c r="E3" s="36"/>
      <c r="F3" s="36"/>
      <c r="G3" s="36"/>
      <c r="H3" s="35"/>
      <c r="I3" s="35"/>
      <c r="J3" s="34"/>
    </row>
    <row r="4" spans="1:11">
      <c r="A4" s="34"/>
      <c r="B4" s="35"/>
      <c r="C4" s="35" t="s">
        <v>96</v>
      </c>
      <c r="D4" s="36"/>
      <c r="E4" s="36"/>
      <c r="F4" s="36"/>
      <c r="G4" s="36"/>
      <c r="H4" s="35"/>
      <c r="I4" s="35"/>
      <c r="J4" s="34"/>
    </row>
    <row r="5" spans="1:11">
      <c r="A5" s="34"/>
      <c r="B5" s="35"/>
      <c r="C5" s="35" t="s">
        <v>270</v>
      </c>
      <c r="D5" s="36"/>
      <c r="E5" s="36"/>
      <c r="F5" s="36"/>
      <c r="G5" s="36"/>
      <c r="H5" s="35"/>
      <c r="I5" s="35"/>
      <c r="J5" s="34"/>
    </row>
    <row r="6" spans="1:11" ht="13.5" thickBot="1">
      <c r="A6" s="34"/>
      <c r="B6" s="35"/>
      <c r="C6" s="35"/>
      <c r="D6" s="36"/>
      <c r="E6" s="36"/>
      <c r="F6" s="36"/>
      <c r="G6" s="36"/>
      <c r="H6" s="35"/>
      <c r="I6" s="35"/>
      <c r="J6" s="34"/>
    </row>
    <row r="7" spans="1:11">
      <c r="A7" s="34"/>
      <c r="B7" s="37"/>
      <c r="C7" s="38"/>
      <c r="D7" s="39"/>
      <c r="E7" s="40"/>
      <c r="F7" s="41"/>
      <c r="G7" s="41"/>
      <c r="H7" s="59"/>
      <c r="I7" s="42"/>
      <c r="J7" s="34"/>
    </row>
    <row r="8" spans="1:11">
      <c r="A8" s="34"/>
      <c r="B8" s="43"/>
      <c r="C8" s="44"/>
      <c r="D8" s="45"/>
      <c r="E8" s="46"/>
      <c r="F8" s="41"/>
      <c r="G8" s="41"/>
      <c r="H8" s="84"/>
      <c r="I8" s="59"/>
      <c r="J8" s="34"/>
    </row>
    <row r="9" spans="1:11">
      <c r="A9" s="34"/>
      <c r="B9" s="43"/>
      <c r="C9" s="44"/>
      <c r="D9" s="45" t="s">
        <v>215</v>
      </c>
      <c r="E9" s="46" t="s">
        <v>259</v>
      </c>
      <c r="F9" s="41"/>
      <c r="G9" s="41"/>
      <c r="H9" s="42"/>
      <c r="I9" s="42"/>
      <c r="J9" s="34"/>
    </row>
    <row r="10" spans="1:11" ht="13.5" thickBot="1">
      <c r="A10" s="34"/>
      <c r="B10" s="47"/>
      <c r="C10" s="48"/>
      <c r="D10" s="49"/>
      <c r="E10" s="50"/>
      <c r="F10" s="41"/>
      <c r="G10" s="41"/>
      <c r="H10" s="42"/>
      <c r="I10" s="42"/>
      <c r="J10" s="34"/>
    </row>
    <row r="11" spans="1:11">
      <c r="A11" s="34"/>
      <c r="B11" s="43"/>
      <c r="C11" s="44"/>
      <c r="D11" s="45"/>
      <c r="E11" s="46"/>
      <c r="F11" s="198"/>
      <c r="G11" s="41"/>
      <c r="H11" s="42"/>
      <c r="I11" s="42"/>
      <c r="J11" s="34"/>
    </row>
    <row r="12" spans="1:11">
      <c r="A12" s="34"/>
      <c r="B12" s="43"/>
      <c r="C12" s="44"/>
      <c r="D12" s="51"/>
      <c r="E12" s="52"/>
      <c r="F12" s="198"/>
      <c r="G12" s="41"/>
      <c r="H12" s="42"/>
      <c r="I12" s="84"/>
      <c r="J12" s="34"/>
    </row>
    <row r="13" spans="1:11">
      <c r="A13" s="34"/>
      <c r="B13" s="53" t="s">
        <v>97</v>
      </c>
      <c r="C13" s="54"/>
      <c r="D13" s="55">
        <v>494437042.38999999</v>
      </c>
      <c r="E13" s="56">
        <v>230645729.41</v>
      </c>
      <c r="F13" s="198"/>
      <c r="G13" s="80"/>
      <c r="H13" s="84"/>
      <c r="I13" s="84"/>
      <c r="J13" s="34"/>
      <c r="K13" s="79"/>
    </row>
    <row r="14" spans="1:11">
      <c r="A14" s="34"/>
      <c r="B14" s="53"/>
      <c r="C14" s="54"/>
      <c r="D14" s="57"/>
      <c r="E14" s="58"/>
      <c r="F14" s="198"/>
      <c r="G14" s="41"/>
      <c r="H14" s="199"/>
      <c r="I14" s="59"/>
      <c r="J14" s="34"/>
    </row>
    <row r="15" spans="1:11">
      <c r="A15" s="34"/>
      <c r="B15" s="53"/>
      <c r="C15" s="54"/>
      <c r="D15" s="57"/>
      <c r="E15" s="58"/>
      <c r="F15" s="41"/>
      <c r="G15" s="251"/>
      <c r="H15" s="84"/>
      <c r="I15" s="41"/>
      <c r="J15" s="34"/>
    </row>
    <row r="16" spans="1:11" ht="13.5" thickBot="1">
      <c r="A16" s="34"/>
      <c r="B16" s="53"/>
      <c r="C16" s="54"/>
      <c r="D16" s="57"/>
      <c r="E16" s="58"/>
      <c r="F16" s="41"/>
      <c r="G16" s="251"/>
      <c r="I16" s="59"/>
      <c r="J16" s="34"/>
    </row>
    <row r="17" spans="1:11">
      <c r="A17" s="34"/>
      <c r="B17" s="60"/>
      <c r="C17" s="61"/>
      <c r="D17" s="62"/>
      <c r="E17" s="63"/>
      <c r="F17" s="34"/>
      <c r="G17" s="252"/>
      <c r="H17" s="84"/>
      <c r="I17" s="34"/>
      <c r="J17" s="34"/>
    </row>
    <row r="18" spans="1:11">
      <c r="A18" s="34"/>
      <c r="B18" s="53" t="s">
        <v>98</v>
      </c>
      <c r="C18" s="54"/>
      <c r="D18" s="82">
        <f>SUM('Fundusz Gwarantowany:UniObligacje Aktywny'!D35)</f>
        <v>30356052.34999999</v>
      </c>
      <c r="E18" s="82">
        <f>SUM('Fundusz Gwarantowany:UniObligacje Aktywny'!E35)</f>
        <v>27935886.320000004</v>
      </c>
      <c r="F18" s="34"/>
      <c r="G18" s="252"/>
      <c r="H18" s="76"/>
      <c r="I18" s="77"/>
      <c r="J18" s="76"/>
      <c r="K18" s="71"/>
    </row>
    <row r="19" spans="1:11">
      <c r="A19" s="34"/>
      <c r="B19" s="53"/>
      <c r="C19" s="54"/>
      <c r="D19" s="57"/>
      <c r="E19" s="58"/>
      <c r="F19" s="34"/>
      <c r="G19" s="252"/>
      <c r="H19" s="84"/>
      <c r="I19" s="77"/>
      <c r="J19" s="34"/>
    </row>
    <row r="20" spans="1:11" ht="13.5" thickBot="1">
      <c r="A20" s="34"/>
      <c r="B20" s="64"/>
      <c r="C20" s="65"/>
      <c r="D20" s="66"/>
      <c r="E20" s="67"/>
      <c r="F20" s="34"/>
      <c r="G20" s="34"/>
      <c r="H20" s="34"/>
      <c r="I20" s="34"/>
      <c r="J20" s="34"/>
    </row>
    <row r="21" spans="1:11">
      <c r="A21" s="34"/>
      <c r="B21" s="53"/>
      <c r="C21" s="54"/>
      <c r="D21" s="57"/>
      <c r="E21" s="58"/>
      <c r="F21" s="34"/>
      <c r="G21" s="34"/>
      <c r="H21" s="34"/>
      <c r="I21" s="77"/>
      <c r="J21" s="34"/>
    </row>
    <row r="22" spans="1:11">
      <c r="A22" s="34"/>
      <c r="B22" s="53"/>
      <c r="C22" s="54"/>
      <c r="D22" s="57"/>
      <c r="E22" s="58"/>
      <c r="F22" s="34"/>
      <c r="G22" s="34"/>
      <c r="H22" s="34"/>
      <c r="I22" s="78"/>
      <c r="J22" s="34"/>
    </row>
    <row r="23" spans="1:11">
      <c r="A23" s="34"/>
      <c r="B23" s="53" t="s">
        <v>99</v>
      </c>
      <c r="C23" s="54"/>
      <c r="D23" s="57">
        <f>D13-D18</f>
        <v>464080990.04000002</v>
      </c>
      <c r="E23" s="58">
        <f>E13-E18</f>
        <v>202709843.09</v>
      </c>
      <c r="F23" s="34"/>
      <c r="G23" s="80"/>
      <c r="H23" s="34"/>
      <c r="I23" s="77"/>
      <c r="J23" s="77"/>
      <c r="K23" s="79"/>
    </row>
    <row r="24" spans="1:11">
      <c r="A24" s="34"/>
      <c r="B24" s="43"/>
      <c r="C24" s="44"/>
      <c r="D24" s="51"/>
      <c r="E24" s="52"/>
      <c r="F24" s="34"/>
      <c r="G24" s="34"/>
      <c r="H24" s="34"/>
      <c r="I24" s="77"/>
      <c r="J24" s="77"/>
      <c r="K24" s="79"/>
    </row>
    <row r="25" spans="1:11">
      <c r="A25" s="34"/>
      <c r="B25" s="43"/>
      <c r="C25" s="44"/>
      <c r="D25" s="51"/>
      <c r="E25" s="52"/>
      <c r="F25" s="34"/>
      <c r="G25" s="34"/>
      <c r="H25" s="34"/>
      <c r="I25" s="34"/>
      <c r="J25" s="34"/>
    </row>
    <row r="26" spans="1:11" ht="13.5" thickBot="1">
      <c r="A26" s="34"/>
      <c r="B26" s="47"/>
      <c r="C26" s="48"/>
      <c r="D26" s="68"/>
      <c r="E26" s="69"/>
      <c r="F26" s="34"/>
      <c r="G26" s="80"/>
      <c r="H26" s="34"/>
      <c r="I26" s="34"/>
      <c r="J26" s="34"/>
    </row>
    <row r="27" spans="1:11">
      <c r="G27" s="34"/>
    </row>
    <row r="28" spans="1:11">
      <c r="E28" s="71"/>
      <c r="G28" s="34"/>
    </row>
    <row r="30" spans="1:11">
      <c r="G30" s="79"/>
      <c r="H30" s="79"/>
      <c r="I30" s="79"/>
      <c r="J30" s="71"/>
    </row>
    <row r="31" spans="1:11">
      <c r="G31" s="79"/>
      <c r="H31" s="79"/>
      <c r="I31" s="79"/>
    </row>
    <row r="32" spans="1:11">
      <c r="G32" s="79"/>
      <c r="H32" s="79"/>
      <c r="I32" s="79"/>
    </row>
    <row r="33" spans="4:8">
      <c r="G33" s="79"/>
      <c r="H33" s="71"/>
    </row>
    <row r="34" spans="4:8">
      <c r="G34" s="79"/>
    </row>
    <row r="35" spans="4:8">
      <c r="G35" s="79"/>
    </row>
    <row r="36" spans="4:8">
      <c r="G36" s="79"/>
    </row>
    <row r="37" spans="4:8">
      <c r="G37" s="79"/>
    </row>
    <row r="38" spans="4:8">
      <c r="E38" s="79"/>
      <c r="G38" s="79"/>
    </row>
    <row r="39" spans="4:8">
      <c r="E39" s="79"/>
      <c r="G39" s="79"/>
    </row>
    <row r="40" spans="4:8">
      <c r="E40" s="79"/>
      <c r="G40" s="79"/>
    </row>
    <row r="41" spans="4:8">
      <c r="E41" s="79"/>
      <c r="G41" s="79"/>
    </row>
    <row r="42" spans="4:8">
      <c r="E42" s="79"/>
      <c r="G42" s="79"/>
    </row>
    <row r="43" spans="4:8">
      <c r="E43" s="79"/>
      <c r="G43" s="79"/>
    </row>
    <row r="44" spans="4:8">
      <c r="E44" s="79"/>
    </row>
    <row r="45" spans="4:8">
      <c r="D45" s="79"/>
      <c r="E45" s="79"/>
    </row>
    <row r="46" spans="4:8">
      <c r="E46" s="79"/>
    </row>
    <row r="48" spans="4:8">
      <c r="E48" s="79"/>
    </row>
    <row r="49" spans="5:5">
      <c r="E49" s="79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81"/>
  <sheetViews>
    <sheetView topLeftCell="A46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11"/>
      <c r="C4" s="111"/>
      <c r="D4" s="111"/>
      <c r="E4" s="111"/>
    </row>
    <row r="5" spans="2:5" ht="21" customHeight="1">
      <c r="B5" s="337" t="s">
        <v>1</v>
      </c>
      <c r="C5" s="337"/>
      <c r="D5" s="337"/>
      <c r="E5" s="337"/>
    </row>
    <row r="6" spans="2:5" ht="14.25">
      <c r="B6" s="338" t="s">
        <v>103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2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4842874.79</v>
      </c>
      <c r="E11" s="9">
        <f>E12+E13+E14</f>
        <v>5373172.7800000003</v>
      </c>
    </row>
    <row r="12" spans="2:5">
      <c r="B12" s="137" t="s">
        <v>4</v>
      </c>
      <c r="C12" s="6" t="s">
        <v>5</v>
      </c>
      <c r="D12" s="90">
        <v>4842874.79</v>
      </c>
      <c r="E12" s="101">
        <f>4841276.48+516898.13+1.42</f>
        <v>5358176.03</v>
      </c>
    </row>
    <row r="13" spans="2:5">
      <c r="B13" s="137" t="s">
        <v>6</v>
      </c>
      <c r="C13" s="72" t="s">
        <v>7</v>
      </c>
      <c r="D13" s="90"/>
      <c r="E13" s="101">
        <v>41.4</v>
      </c>
    </row>
    <row r="14" spans="2:5">
      <c r="B14" s="137" t="s">
        <v>8</v>
      </c>
      <c r="C14" s="72" t="s">
        <v>10</v>
      </c>
      <c r="D14" s="90"/>
      <c r="E14" s="101">
        <f>E15</f>
        <v>14955.35</v>
      </c>
    </row>
    <row r="15" spans="2:5">
      <c r="B15" s="137" t="s">
        <v>223</v>
      </c>
      <c r="C15" s="72" t="s">
        <v>11</v>
      </c>
      <c r="D15" s="90"/>
      <c r="E15" s="101">
        <v>14955.35</v>
      </c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E18</f>
        <v>16450.84</v>
      </c>
    </row>
    <row r="18" spans="2:10">
      <c r="B18" s="137" t="s">
        <v>4</v>
      </c>
      <c r="C18" s="6" t="s">
        <v>11</v>
      </c>
      <c r="D18" s="90"/>
      <c r="E18" s="102">
        <v>16450.84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4842874.79</v>
      </c>
      <c r="E21" s="104">
        <f>E11-E17</f>
        <v>5356721.9400000004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89">
        <v>2779465.76</v>
      </c>
      <c r="E26" s="123">
        <v>4842874.79</v>
      </c>
      <c r="G26" s="84"/>
    </row>
    <row r="27" spans="2:10">
      <c r="B27" s="10" t="s">
        <v>17</v>
      </c>
      <c r="C27" s="11" t="s">
        <v>228</v>
      </c>
      <c r="D27" s="290">
        <v>2585399.41</v>
      </c>
      <c r="E27" s="180">
        <v>190146.24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90">
        <v>3733311.32</v>
      </c>
      <c r="E28" s="81">
        <v>1776991.42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91">
        <v>3032574.29</v>
      </c>
      <c r="E29" s="105">
        <v>93678.2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91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91">
        <v>700737.03</v>
      </c>
      <c r="E31" s="105">
        <v>1683313.22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90">
        <v>1147911.9100000001</v>
      </c>
      <c r="E32" s="81">
        <v>1586845.18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91">
        <v>324787.38</v>
      </c>
      <c r="E33" s="105">
        <v>1057879.46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91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91">
        <v>6160</v>
      </c>
      <c r="E35" s="105">
        <v>15620.01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91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91">
        <v>76966.28</v>
      </c>
      <c r="E37" s="105">
        <v>98133.11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91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92">
        <v>739998.25</v>
      </c>
      <c r="E39" s="184">
        <v>415212.6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93">
        <v>-521990.38</v>
      </c>
      <c r="E40" s="128">
        <f>323551.81+149.1</f>
        <v>323700.90999999997</v>
      </c>
      <c r="G40" s="84"/>
    </row>
    <row r="41" spans="2:10" ht="13.5" thickBot="1">
      <c r="B41" s="129" t="s">
        <v>37</v>
      </c>
      <c r="C41" s="130" t="s">
        <v>38</v>
      </c>
      <c r="D41" s="93">
        <v>4842874.79</v>
      </c>
      <c r="E41" s="181">
        <f>E26+E27+E40</f>
        <v>5356721.9400000004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94">
        <v>25223.6767</v>
      </c>
      <c r="E47" s="83">
        <v>47889.539799999999</v>
      </c>
      <c r="G47" s="79"/>
    </row>
    <row r="48" spans="2:10">
      <c r="B48" s="154" t="s">
        <v>6</v>
      </c>
      <c r="C48" s="23" t="s">
        <v>41</v>
      </c>
      <c r="D48" s="295">
        <v>47889.539799999999</v>
      </c>
      <c r="E48" s="83">
        <v>49443.5749</v>
      </c>
      <c r="G48" s="79"/>
    </row>
    <row r="49" spans="2:5">
      <c r="B49" s="151" t="s">
        <v>23</v>
      </c>
      <c r="C49" s="155" t="s">
        <v>230</v>
      </c>
      <c r="D49" s="296"/>
      <c r="E49" s="156"/>
    </row>
    <row r="50" spans="2:5">
      <c r="B50" s="133" t="s">
        <v>4</v>
      </c>
      <c r="C50" s="16" t="s">
        <v>40</v>
      </c>
      <c r="D50" s="297">
        <v>110.19272856442799</v>
      </c>
      <c r="E50" s="83">
        <v>101.125941285407</v>
      </c>
    </row>
    <row r="51" spans="2:5">
      <c r="B51" s="133" t="s">
        <v>6</v>
      </c>
      <c r="C51" s="16" t="s">
        <v>231</v>
      </c>
      <c r="D51" s="298">
        <v>96.473600000000005</v>
      </c>
      <c r="E51" s="265">
        <v>91.505499999999998</v>
      </c>
    </row>
    <row r="52" spans="2:5">
      <c r="B52" s="133" t="s">
        <v>8</v>
      </c>
      <c r="C52" s="16" t="s">
        <v>232</v>
      </c>
      <c r="D52" s="298">
        <v>119.289</v>
      </c>
      <c r="E52" s="265">
        <v>111.9999</v>
      </c>
    </row>
    <row r="53" spans="2:5" ht="12.75" customHeight="1" thickBot="1">
      <c r="B53" s="134" t="s">
        <v>9</v>
      </c>
      <c r="C53" s="18" t="s">
        <v>41</v>
      </c>
      <c r="D53" s="268">
        <v>101.125941285407</v>
      </c>
      <c r="E53" s="187">
        <v>108.340101840006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5358176.03</v>
      </c>
      <c r="E58" s="33">
        <f>D58/E21</f>
        <v>1.0002714514616005</v>
      </c>
    </row>
    <row r="59" spans="2:5" ht="25.5">
      <c r="B59" s="22" t="s">
        <v>4</v>
      </c>
      <c r="C59" s="23" t="s">
        <v>44</v>
      </c>
      <c r="D59" s="96">
        <v>0</v>
      </c>
      <c r="E59" s="97">
        <v>0</v>
      </c>
    </row>
    <row r="60" spans="2:5" ht="25.5">
      <c r="B60" s="15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5" t="s">
        <v>8</v>
      </c>
      <c r="C61" s="16" t="s">
        <v>46</v>
      </c>
      <c r="D61" s="94">
        <v>0</v>
      </c>
      <c r="E61" s="95">
        <v>0</v>
      </c>
    </row>
    <row r="62" spans="2:5">
      <c r="B62" s="15" t="s">
        <v>9</v>
      </c>
      <c r="C62" s="16" t="s">
        <v>47</v>
      </c>
      <c r="D62" s="94">
        <v>0</v>
      </c>
      <c r="E62" s="95">
        <v>0</v>
      </c>
    </row>
    <row r="63" spans="2:5">
      <c r="B63" s="15" t="s">
        <v>29</v>
      </c>
      <c r="C63" s="16" t="s">
        <v>48</v>
      </c>
      <c r="D63" s="94">
        <v>0</v>
      </c>
      <c r="E63" s="95">
        <v>0</v>
      </c>
    </row>
    <row r="64" spans="2:5">
      <c r="B64" s="22" t="s">
        <v>31</v>
      </c>
      <c r="C64" s="23" t="s">
        <v>49</v>
      </c>
      <c r="D64" s="96">
        <v>4841276.4800000004</v>
      </c>
      <c r="E64" s="97">
        <f>D64/E21</f>
        <v>0.90377595369454622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516898.13+1.42</f>
        <v>516899.55</v>
      </c>
      <c r="E69" s="95">
        <f>D69/E21</f>
        <v>9.6495497767054142E-2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41.4</v>
      </c>
      <c r="E71" s="70">
        <f>D71/E21</f>
        <v>7.7286072459456419E-6</v>
      </c>
    </row>
    <row r="72" spans="2:5">
      <c r="B72" s="147" t="s">
        <v>60</v>
      </c>
      <c r="C72" s="148" t="s">
        <v>63</v>
      </c>
      <c r="D72" s="149">
        <f>E14</f>
        <v>14955.35</v>
      </c>
      <c r="E72" s="150">
        <f>D72/E21</f>
        <v>2.7918846950640858E-3</v>
      </c>
    </row>
    <row r="73" spans="2:5">
      <c r="B73" s="24" t="s">
        <v>62</v>
      </c>
      <c r="C73" s="25" t="s">
        <v>65</v>
      </c>
      <c r="D73" s="26">
        <f>E17</f>
        <v>16450.84</v>
      </c>
      <c r="E73" s="27">
        <f>D73/E21</f>
        <v>3.0710647639104445E-3</v>
      </c>
    </row>
    <row r="74" spans="2:5">
      <c r="B74" s="151" t="s">
        <v>64</v>
      </c>
      <c r="C74" s="152" t="s">
        <v>66</v>
      </c>
      <c r="D74" s="153">
        <f>D58-D73+D71+D72</f>
        <v>5356721.9400000004</v>
      </c>
      <c r="E74" s="70">
        <f>E58+E72-E73</f>
        <v>0.99999227139275415</v>
      </c>
    </row>
    <row r="75" spans="2:5">
      <c r="B75" s="15" t="s">
        <v>4</v>
      </c>
      <c r="C75" s="16" t="s">
        <v>67</v>
      </c>
      <c r="D75" s="94">
        <f>D74</f>
        <v>5356721.9400000004</v>
      </c>
      <c r="E75" s="95">
        <f>E74</f>
        <v>0.99999227139275415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81"/>
  <sheetViews>
    <sheetView topLeftCell="A46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11"/>
      <c r="C4" s="111"/>
      <c r="D4" s="111"/>
      <c r="E4" s="111"/>
    </row>
    <row r="5" spans="2:5" ht="21" customHeight="1">
      <c r="B5" s="337" t="s">
        <v>1</v>
      </c>
      <c r="C5" s="337"/>
      <c r="D5" s="337"/>
      <c r="E5" s="337"/>
    </row>
    <row r="6" spans="2:5" ht="14.25" customHeight="1">
      <c r="B6" s="338" t="s">
        <v>104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2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27005240.68</v>
      </c>
      <c r="E11" s="9">
        <f>E12+E13</f>
        <v>23252092.039999999</v>
      </c>
    </row>
    <row r="12" spans="2:5">
      <c r="B12" s="137" t="s">
        <v>4</v>
      </c>
      <c r="C12" s="6" t="s">
        <v>5</v>
      </c>
      <c r="D12" s="90">
        <v>27005240.68</v>
      </c>
      <c r="E12" s="101">
        <f>23093049.88+158573.8+0.43</f>
        <v>23251624.109999999</v>
      </c>
    </row>
    <row r="13" spans="2:5">
      <c r="B13" s="137" t="s">
        <v>6</v>
      </c>
      <c r="C13" s="72" t="s">
        <v>7</v>
      </c>
      <c r="D13" s="90"/>
      <c r="E13" s="101">
        <v>467.93</v>
      </c>
    </row>
    <row r="14" spans="2:5">
      <c r="B14" s="137" t="s">
        <v>8</v>
      </c>
      <c r="C14" s="72" t="s">
        <v>10</v>
      </c>
      <c r="D14" s="90"/>
      <c r="E14" s="101"/>
    </row>
    <row r="15" spans="2:5">
      <c r="B15" s="137" t="s">
        <v>223</v>
      </c>
      <c r="C15" s="72" t="s">
        <v>11</v>
      </c>
      <c r="D15" s="90"/>
      <c r="E15" s="101"/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E18</f>
        <v>1162.07</v>
      </c>
    </row>
    <row r="18" spans="2:10">
      <c r="B18" s="137" t="s">
        <v>4</v>
      </c>
      <c r="C18" s="6" t="s">
        <v>11</v>
      </c>
      <c r="D18" s="90"/>
      <c r="E18" s="102">
        <v>1162.07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27005240.68</v>
      </c>
      <c r="E21" s="104">
        <f>E11-E17</f>
        <v>23250929.969999999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25184194.470000003</v>
      </c>
      <c r="E26" s="123">
        <v>27005240.68</v>
      </c>
      <c r="G26" s="84"/>
    </row>
    <row r="27" spans="2:10">
      <c r="B27" s="10" t="s">
        <v>17</v>
      </c>
      <c r="C27" s="11" t="s">
        <v>228</v>
      </c>
      <c r="D27" s="182">
        <v>2449711.09</v>
      </c>
      <c r="E27" s="180">
        <v>-5215390.78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13464380.800000001</v>
      </c>
      <c r="E28" s="81">
        <v>1803805.58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10709386.17</v>
      </c>
      <c r="E29" s="105">
        <v>89607.24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2754994.63</v>
      </c>
      <c r="E31" s="105">
        <v>1714198.34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11014669.710000001</v>
      </c>
      <c r="E32" s="81">
        <v>7019196.3600000003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2641227.54</v>
      </c>
      <c r="E33" s="105">
        <v>5005960.74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28377.79</v>
      </c>
      <c r="E35" s="105">
        <v>53642.77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469200.51</v>
      </c>
      <c r="E37" s="105">
        <v>475923.69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7875863.8700000001</v>
      </c>
      <c r="E39" s="184">
        <v>1483669.16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-628664.88</v>
      </c>
      <c r="E40" s="128">
        <f>1460571.4+508.67</f>
        <v>1461080.0699999998</v>
      </c>
      <c r="G40" s="84"/>
    </row>
    <row r="41" spans="2:10" ht="13.5" thickBot="1">
      <c r="B41" s="129" t="s">
        <v>37</v>
      </c>
      <c r="C41" s="130" t="s">
        <v>38</v>
      </c>
      <c r="D41" s="131">
        <v>27005240.680000003</v>
      </c>
      <c r="E41" s="181">
        <f>E26+E27+E40</f>
        <v>23250929.969999999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244615.86189999999</v>
      </c>
      <c r="E47" s="83">
        <v>268132.79440000001</v>
      </c>
      <c r="G47" s="79"/>
    </row>
    <row r="48" spans="2:10">
      <c r="B48" s="154" t="s">
        <v>6</v>
      </c>
      <c r="C48" s="23" t="s">
        <v>41</v>
      </c>
      <c r="D48" s="264">
        <v>268132.79440000001</v>
      </c>
      <c r="E48" s="83">
        <v>217378.77299999999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102.954053242448</v>
      </c>
      <c r="E50" s="83">
        <v>100.715918544874</v>
      </c>
    </row>
    <row r="51" spans="2:5">
      <c r="B51" s="133" t="s">
        <v>6</v>
      </c>
      <c r="C51" s="16" t="s">
        <v>231</v>
      </c>
      <c r="D51" s="314">
        <v>99.872699999999995</v>
      </c>
      <c r="E51" s="265">
        <v>96.793500000000009</v>
      </c>
    </row>
    <row r="52" spans="2:5">
      <c r="B52" s="133" t="s">
        <v>8</v>
      </c>
      <c r="C52" s="16" t="s">
        <v>232</v>
      </c>
      <c r="D52" s="314">
        <v>107.0307</v>
      </c>
      <c r="E52" s="265">
        <v>107.58029999999999</v>
      </c>
    </row>
    <row r="53" spans="2:5" ht="13.5" customHeight="1" thickBot="1">
      <c r="B53" s="134" t="s">
        <v>9</v>
      </c>
      <c r="C53" s="18" t="s">
        <v>41</v>
      </c>
      <c r="D53" s="268">
        <v>100.715918544874</v>
      </c>
      <c r="E53" s="187">
        <v>106.960443511197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23251624.109999999</v>
      </c>
      <c r="E58" s="33">
        <f>D58/E21</f>
        <v>1.0000298542897379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23093049.879999999</v>
      </c>
      <c r="E64" s="97">
        <f>D64/E21</f>
        <v>0.99320973009665814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f>158573.8+0.43</f>
        <v>158574.22999999998</v>
      </c>
      <c r="E69" s="95">
        <f>D69/E21</f>
        <v>6.8201241930797487E-3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f>E13</f>
        <v>467.93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1162.07</v>
      </c>
      <c r="E73" s="27">
        <f>D73/E21</f>
        <v>4.9979506260583345E-5</v>
      </c>
    </row>
    <row r="74" spans="2:5">
      <c r="B74" s="162" t="s">
        <v>64</v>
      </c>
      <c r="C74" s="152" t="s">
        <v>66</v>
      </c>
      <c r="D74" s="153">
        <f>D58-D73+D71</f>
        <v>23250929.969999999</v>
      </c>
      <c r="E74" s="70">
        <f>E58+E72-E73</f>
        <v>0.99997987478347727</v>
      </c>
    </row>
    <row r="75" spans="2:5">
      <c r="B75" s="133" t="s">
        <v>4</v>
      </c>
      <c r="C75" s="16" t="s">
        <v>67</v>
      </c>
      <c r="D75" s="94">
        <f>D74</f>
        <v>23250929.969999999</v>
      </c>
      <c r="E75" s="95">
        <f>E74</f>
        <v>0.99997987478347727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84" sqref="E84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6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85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181915887.59</v>
      </c>
      <c r="E11" s="9">
        <f>E12+E13+E14</f>
        <v>182879202.25</v>
      </c>
    </row>
    <row r="12" spans="2:7">
      <c r="B12" s="137" t="s">
        <v>4</v>
      </c>
      <c r="C12" s="6" t="s">
        <v>5</v>
      </c>
      <c r="D12" s="90">
        <v>181446082.28999999</v>
      </c>
      <c r="E12" s="101">
        <v>182333238.87</v>
      </c>
    </row>
    <row r="13" spans="2:7">
      <c r="B13" s="137" t="s">
        <v>6</v>
      </c>
      <c r="C13" s="72" t="s">
        <v>7</v>
      </c>
      <c r="D13" s="90">
        <v>14.75</v>
      </c>
      <c r="E13" s="101">
        <v>6.13</v>
      </c>
    </row>
    <row r="14" spans="2:7">
      <c r="B14" s="137" t="s">
        <v>8</v>
      </c>
      <c r="C14" s="72" t="s">
        <v>10</v>
      </c>
      <c r="D14" s="90">
        <v>469790.55</v>
      </c>
      <c r="E14" s="101">
        <f>E15</f>
        <v>545957.25</v>
      </c>
    </row>
    <row r="15" spans="2:7">
      <c r="B15" s="137" t="s">
        <v>223</v>
      </c>
      <c r="C15" s="72" t="s">
        <v>11</v>
      </c>
      <c r="D15" s="90">
        <v>469790.55</v>
      </c>
      <c r="E15" s="101">
        <v>545957.25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347772.53</v>
      </c>
      <c r="E17" s="117">
        <f>SUM(E18:E19)</f>
        <v>4404945.08</v>
      </c>
    </row>
    <row r="18" spans="2:10">
      <c r="B18" s="137" t="s">
        <v>4</v>
      </c>
      <c r="C18" s="6" t="s">
        <v>11</v>
      </c>
      <c r="D18" s="90">
        <v>347772.53</v>
      </c>
      <c r="E18" s="102">
        <v>288575.99</v>
      </c>
    </row>
    <row r="19" spans="2:10">
      <c r="B19" s="137" t="s">
        <v>6</v>
      </c>
      <c r="C19" s="72" t="s">
        <v>225</v>
      </c>
      <c r="D19" s="90"/>
      <c r="E19" s="101">
        <v>4116369.09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181568115.06</v>
      </c>
      <c r="E21" s="191">
        <f>E11-E17</f>
        <v>178474257.16999999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  <c r="G25" s="107"/>
    </row>
    <row r="26" spans="2:10">
      <c r="B26" s="120" t="s">
        <v>15</v>
      </c>
      <c r="C26" s="121" t="s">
        <v>16</v>
      </c>
      <c r="D26" s="122">
        <v>187459120.20000002</v>
      </c>
      <c r="E26" s="123">
        <v>181568115.06</v>
      </c>
      <c r="G26" s="84"/>
    </row>
    <row r="27" spans="2:10">
      <c r="B27" s="10" t="s">
        <v>17</v>
      </c>
      <c r="C27" s="11" t="s">
        <v>228</v>
      </c>
      <c r="D27" s="182">
        <v>-328378.36000000313</v>
      </c>
      <c r="E27" s="180">
        <f>E28-E32</f>
        <v>-8149461.3800000399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30381410.84</v>
      </c>
      <c r="E28" s="81">
        <f>SUM(E29:E31)</f>
        <v>26525533.829999998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29058441.559999999</v>
      </c>
      <c r="E29" s="105">
        <v>25738777.43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1322969.28</v>
      </c>
      <c r="E31" s="105">
        <v>786756.4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30709789.200000003</v>
      </c>
      <c r="E32" s="81">
        <f>SUM(E33:E39)</f>
        <v>34674995.210000038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23526301.289999999</v>
      </c>
      <c r="E33" s="105">
        <v>28309217.990000002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4935405.92</v>
      </c>
      <c r="E35" s="105">
        <v>4471289.5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2248081.9900000002</v>
      </c>
      <c r="E39" s="184">
        <v>1894487.7200000335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-5562626.7800000003</v>
      </c>
      <c r="E40" s="128">
        <f>5055549.03+54.46</f>
        <v>5055603.49</v>
      </c>
      <c r="G40" s="84"/>
    </row>
    <row r="41" spans="2:10" ht="13.5" thickBot="1">
      <c r="B41" s="129" t="s">
        <v>37</v>
      </c>
      <c r="C41" s="130" t="s">
        <v>38</v>
      </c>
      <c r="D41" s="131">
        <v>181568115.06</v>
      </c>
      <c r="E41" s="181">
        <f>E26+E27+E40</f>
        <v>178474257.16999996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5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200"/>
    </row>
    <row r="47" spans="2:10">
      <c r="B47" s="133" t="s">
        <v>4</v>
      </c>
      <c r="C47" s="16" t="s">
        <v>40</v>
      </c>
      <c r="D47" s="263">
        <v>9962316.2189000007</v>
      </c>
      <c r="E47" s="83">
        <v>9943050.125</v>
      </c>
      <c r="G47" s="311"/>
    </row>
    <row r="48" spans="2:10">
      <c r="B48" s="154" t="s">
        <v>6</v>
      </c>
      <c r="C48" s="23" t="s">
        <v>41</v>
      </c>
      <c r="D48" s="264">
        <v>9943050.125</v>
      </c>
      <c r="E48" s="83">
        <v>9503363.3462617602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18.816820916039699</v>
      </c>
      <c r="E50" s="83">
        <v>18.2608065711626</v>
      </c>
      <c r="G50" s="315"/>
    </row>
    <row r="51" spans="2:7">
      <c r="B51" s="133" t="s">
        <v>6</v>
      </c>
      <c r="C51" s="16" t="s">
        <v>231</v>
      </c>
      <c r="D51" s="314">
        <v>17.806899999999999</v>
      </c>
      <c r="E51" s="185">
        <v>17.639199999999999</v>
      </c>
    </row>
    <row r="52" spans="2:7">
      <c r="B52" s="133" t="s">
        <v>8</v>
      </c>
      <c r="C52" s="16" t="s">
        <v>232</v>
      </c>
      <c r="D52" s="314">
        <v>19.678699999999999</v>
      </c>
      <c r="E52" s="185">
        <v>18.808499999999999</v>
      </c>
    </row>
    <row r="53" spans="2:7" ht="13.5" thickBot="1">
      <c r="B53" s="134" t="s">
        <v>9</v>
      </c>
      <c r="C53" s="18" t="s">
        <v>41</v>
      </c>
      <c r="D53" s="268">
        <v>18.2608065711626</v>
      </c>
      <c r="E53" s="187">
        <v>18.780115067388699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7.2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D64+D69</f>
        <v>182333238.87</v>
      </c>
      <c r="E58" s="33">
        <f>D58/E21</f>
        <v>1.0216220633787216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5.5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182020689.69</v>
      </c>
      <c r="E64" s="97">
        <f>D64/E21</f>
        <v>1.0198708350225656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v>312549.18</v>
      </c>
      <c r="E69" s="95">
        <f>D69/E21</f>
        <v>1.7512283561560993E-3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6.13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545957.25</v>
      </c>
      <c r="E72" s="150">
        <f>D72/E21</f>
        <v>3.0590251986871461E-3</v>
      </c>
    </row>
    <row r="73" spans="2:5">
      <c r="B73" s="24" t="s">
        <v>62</v>
      </c>
      <c r="C73" s="25" t="s">
        <v>65</v>
      </c>
      <c r="D73" s="26">
        <f>E17</f>
        <v>4404945.08</v>
      </c>
      <c r="E73" s="27">
        <f>D73/E21</f>
        <v>2.4681122924098849E-2</v>
      </c>
    </row>
    <row r="74" spans="2:5">
      <c r="B74" s="151" t="s">
        <v>64</v>
      </c>
      <c r="C74" s="152" t="s">
        <v>66</v>
      </c>
      <c r="D74" s="153">
        <f>D58+D71+D72-D73</f>
        <v>178474257.16999999</v>
      </c>
      <c r="E74" s="70">
        <f>E58+E72-E73</f>
        <v>0.99999996565330984</v>
      </c>
    </row>
    <row r="75" spans="2:5">
      <c r="B75" s="15" t="s">
        <v>4</v>
      </c>
      <c r="C75" s="16" t="s">
        <v>67</v>
      </c>
      <c r="D75" s="94">
        <f>D74</f>
        <v>178474257.16999999</v>
      </c>
      <c r="E75" s="95">
        <f>E74</f>
        <v>0.99999996565330984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81"/>
  <sheetViews>
    <sheetView topLeftCell="A10" workbookViewId="0">
      <selection activeCell="D22" sqref="D2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79"/>
      <c r="C4" s="179"/>
      <c r="D4" s="179"/>
      <c r="E4" s="179"/>
    </row>
    <row r="5" spans="2:5" ht="14.25">
      <c r="B5" s="337" t="s">
        <v>1</v>
      </c>
      <c r="C5" s="337"/>
      <c r="D5" s="337"/>
      <c r="E5" s="337"/>
    </row>
    <row r="6" spans="2:5" ht="14.25">
      <c r="B6" s="338" t="s">
        <v>272</v>
      </c>
      <c r="C6" s="338"/>
      <c r="D6" s="338"/>
      <c r="E6" s="338"/>
    </row>
    <row r="7" spans="2:5" ht="14.25">
      <c r="B7" s="188"/>
      <c r="C7" s="188"/>
      <c r="D7" s="188"/>
      <c r="E7" s="188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89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 t="s">
        <v>260</v>
      </c>
      <c r="E11" s="9">
        <f>E12</f>
        <v>117389.89</v>
      </c>
    </row>
    <row r="12" spans="2:5">
      <c r="B12" s="137" t="s">
        <v>4</v>
      </c>
      <c r="C12" s="6" t="s">
        <v>5</v>
      </c>
      <c r="D12" s="90" t="s">
        <v>260</v>
      </c>
      <c r="E12" s="101">
        <f>114080.16+3309.72+0.01</f>
        <v>117389.89</v>
      </c>
    </row>
    <row r="13" spans="2:5">
      <c r="B13" s="137" t="s">
        <v>6</v>
      </c>
      <c r="C13" s="72" t="s">
        <v>7</v>
      </c>
      <c r="D13" s="90"/>
      <c r="E13" s="101"/>
    </row>
    <row r="14" spans="2:5">
      <c r="B14" s="137" t="s">
        <v>8</v>
      </c>
      <c r="C14" s="72" t="s">
        <v>10</v>
      </c>
      <c r="D14" s="90"/>
      <c r="E14" s="101"/>
    </row>
    <row r="15" spans="2:5">
      <c r="B15" s="137" t="s">
        <v>223</v>
      </c>
      <c r="C15" s="72" t="s">
        <v>11</v>
      </c>
      <c r="D15" s="90"/>
      <c r="E15" s="101"/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E11-E17</f>
        <v>117389.89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8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0</v>
      </c>
      <c r="G26" s="84"/>
    </row>
    <row r="27" spans="2:10">
      <c r="B27" s="10" t="s">
        <v>17</v>
      </c>
      <c r="C27" s="11" t="s">
        <v>228</v>
      </c>
      <c r="D27" s="182"/>
      <c r="E27" s="180">
        <v>113717.42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v>116015.23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116015.23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v>2297.81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852.02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1445.79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3672.47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E26+E27+E40</f>
        <v>117389.89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8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83">
        <v>1138.769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3"/>
    </row>
    <row r="51" spans="2:5">
      <c r="B51" s="133" t="s">
        <v>6</v>
      </c>
      <c r="C51" s="16" t="s">
        <v>231</v>
      </c>
      <c r="D51" s="226"/>
      <c r="E51" s="265">
        <v>100.21010000000001</v>
      </c>
    </row>
    <row r="52" spans="2:5">
      <c r="B52" s="133" t="s">
        <v>8</v>
      </c>
      <c r="C52" s="16" t="s">
        <v>232</v>
      </c>
      <c r="D52" s="226"/>
      <c r="E52" s="265">
        <v>103.0955</v>
      </c>
    </row>
    <row r="53" spans="2:5" ht="13.5" thickBot="1">
      <c r="B53" s="134" t="s">
        <v>9</v>
      </c>
      <c r="C53" s="18" t="s">
        <v>41</v>
      </c>
      <c r="D53" s="225"/>
      <c r="E53" s="187">
        <v>103.08492533114701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117389.89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114080.16</v>
      </c>
      <c r="E64" s="97">
        <f>D64/E21</f>
        <v>0.97180566401416679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3309.73</v>
      </c>
      <c r="E69" s="95">
        <f>D69/E21</f>
        <v>2.8194335985833194E-2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f>E13</f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62" t="s">
        <v>64</v>
      </c>
      <c r="C74" s="152" t="s">
        <v>66</v>
      </c>
      <c r="D74" s="153">
        <f>D58-D73</f>
        <v>117389.89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117389.89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13" sqref="D1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79"/>
      <c r="C4" s="179"/>
      <c r="D4" s="179"/>
      <c r="E4" s="179"/>
    </row>
    <row r="5" spans="2:5" ht="14.25">
      <c r="B5" s="337" t="s">
        <v>1</v>
      </c>
      <c r="C5" s="337"/>
      <c r="D5" s="337"/>
      <c r="E5" s="337"/>
    </row>
    <row r="6" spans="2:5" ht="14.25">
      <c r="B6" s="338" t="s">
        <v>269</v>
      </c>
      <c r="C6" s="338"/>
      <c r="D6" s="338"/>
      <c r="E6" s="338"/>
    </row>
    <row r="7" spans="2:5" ht="14.25">
      <c r="B7" s="246"/>
      <c r="C7" s="246"/>
      <c r="D7" s="246"/>
      <c r="E7" s="246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247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 t="s">
        <v>260</v>
      </c>
      <c r="E11" s="9">
        <f>E12</f>
        <v>15929.85</v>
      </c>
    </row>
    <row r="12" spans="2:5">
      <c r="B12" s="137" t="s">
        <v>4</v>
      </c>
      <c r="C12" s="6" t="s">
        <v>5</v>
      </c>
      <c r="D12" s="90" t="s">
        <v>260</v>
      </c>
      <c r="E12" s="101">
        <v>15929.85</v>
      </c>
    </row>
    <row r="13" spans="2:5">
      <c r="B13" s="137" t="s">
        <v>6</v>
      </c>
      <c r="C13" s="72" t="s">
        <v>7</v>
      </c>
      <c r="D13" s="90"/>
      <c r="E13" s="101"/>
    </row>
    <row r="14" spans="2:5">
      <c r="B14" s="137" t="s">
        <v>8</v>
      </c>
      <c r="C14" s="72" t="s">
        <v>10</v>
      </c>
      <c r="D14" s="90"/>
      <c r="E14" s="101"/>
    </row>
    <row r="15" spans="2:5">
      <c r="B15" s="137" t="s">
        <v>223</v>
      </c>
      <c r="C15" s="72" t="s">
        <v>11</v>
      </c>
      <c r="D15" s="90"/>
      <c r="E15" s="101"/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E11-E17</f>
        <v>15929.85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0</v>
      </c>
      <c r="G26" s="84"/>
    </row>
    <row r="27" spans="2:10">
      <c r="B27" s="10" t="s">
        <v>17</v>
      </c>
      <c r="C27" s="11" t="s">
        <v>228</v>
      </c>
      <c r="D27" s="182"/>
      <c r="E27" s="180">
        <v>15929.85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v>16064.83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16064.83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v>134.97999999999999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32.659999999999997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102.32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/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E26+E27+E40</f>
        <v>15929.85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285" t="s">
        <v>6</v>
      </c>
      <c r="C48" s="286" t="s">
        <v>41</v>
      </c>
      <c r="D48" s="264"/>
      <c r="E48" s="83">
        <v>150.87440000000001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283" t="s">
        <v>4</v>
      </c>
      <c r="C50" s="284" t="s">
        <v>40</v>
      </c>
      <c r="D50" s="263"/>
      <c r="E50" s="83"/>
    </row>
    <row r="51" spans="2:5">
      <c r="B51" s="283" t="s">
        <v>6</v>
      </c>
      <c r="C51" s="284" t="s">
        <v>231</v>
      </c>
      <c r="D51" s="314"/>
      <c r="E51" s="265">
        <v>99.234499999999997</v>
      </c>
    </row>
    <row r="52" spans="2:5">
      <c r="B52" s="283" t="s">
        <v>8</v>
      </c>
      <c r="C52" s="284" t="s">
        <v>232</v>
      </c>
      <c r="D52" s="314"/>
      <c r="E52" s="265">
        <v>105.8436</v>
      </c>
    </row>
    <row r="53" spans="2:5" ht="13.5" thickBot="1">
      <c r="B53" s="287" t="s">
        <v>9</v>
      </c>
      <c r="C53" s="288" t="s">
        <v>41</v>
      </c>
      <c r="D53" s="268"/>
      <c r="E53" s="187">
        <v>105.583488918906</v>
      </c>
    </row>
    <row r="54" spans="2:5">
      <c r="B54" s="309"/>
      <c r="C54" s="310"/>
      <c r="D54" s="142"/>
      <c r="E54" s="142"/>
    </row>
    <row r="55" spans="2:5" ht="13.5">
      <c r="B55" s="341" t="s">
        <v>62</v>
      </c>
      <c r="C55" s="351"/>
      <c r="D55" s="351"/>
      <c r="E55" s="351"/>
    </row>
    <row r="56" spans="2:5" ht="14.25" thickBot="1">
      <c r="B56" s="339" t="s">
        <v>233</v>
      </c>
      <c r="C56" s="350"/>
      <c r="D56" s="350"/>
      <c r="E56" s="350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SUM(D59:D70)</f>
        <v>15929.85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0</v>
      </c>
      <c r="E64" s="97">
        <f>D64/E21</f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15929.85</v>
      </c>
      <c r="E69" s="95">
        <f>D69/E21</f>
        <v>1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f>E13</f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62" t="s">
        <v>64</v>
      </c>
      <c r="C74" s="152" t="s">
        <v>66</v>
      </c>
      <c r="D74" s="153">
        <f>D58-D73</f>
        <v>15929.85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15929.85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81"/>
  <sheetViews>
    <sheetView topLeftCell="A1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5.425781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68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25268547.350000001</v>
      </c>
      <c r="E11" s="9">
        <f>E12+E13</f>
        <v>22736615.48</v>
      </c>
    </row>
    <row r="12" spans="2:7">
      <c r="B12" s="137" t="s">
        <v>4</v>
      </c>
      <c r="C12" s="6" t="s">
        <v>5</v>
      </c>
      <c r="D12" s="90">
        <v>25268459.43</v>
      </c>
      <c r="E12" s="101">
        <v>22736615.48</v>
      </c>
    </row>
    <row r="13" spans="2:7">
      <c r="B13" s="137" t="s">
        <v>6</v>
      </c>
      <c r="C13" s="72" t="s">
        <v>7</v>
      </c>
      <c r="D13" s="90">
        <v>87.92</v>
      </c>
      <c r="E13" s="101"/>
    </row>
    <row r="14" spans="2:7">
      <c r="B14" s="137" t="s">
        <v>8</v>
      </c>
      <c r="C14" s="72" t="s">
        <v>10</v>
      </c>
      <c r="D14" s="90"/>
      <c r="E14" s="10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65206.49</v>
      </c>
      <c r="E17" s="117">
        <f>SUM(E18:E20)</f>
        <v>962499.47</v>
      </c>
      <c r="H17" s="71"/>
    </row>
    <row r="18" spans="2:10">
      <c r="B18" s="137" t="s">
        <v>4</v>
      </c>
      <c r="C18" s="6" t="s">
        <v>11</v>
      </c>
      <c r="D18" s="90">
        <v>65206.49</v>
      </c>
      <c r="E18" s="102">
        <v>211581.83</v>
      </c>
      <c r="H18" s="107"/>
    </row>
    <row r="19" spans="2:10" ht="13.5" customHeight="1">
      <c r="B19" s="137" t="s">
        <v>6</v>
      </c>
      <c r="C19" s="72" t="s">
        <v>225</v>
      </c>
      <c r="D19" s="90"/>
      <c r="E19" s="101">
        <v>750917.64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25203340.860000003</v>
      </c>
      <c r="E21" s="104">
        <f>E11-E17</f>
        <v>21774116.010000002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  <c r="G25" s="79"/>
    </row>
    <row r="26" spans="2:10">
      <c r="B26" s="120" t="s">
        <v>15</v>
      </c>
      <c r="C26" s="121" t="s">
        <v>16</v>
      </c>
      <c r="D26" s="122">
        <v>29685830.260000002</v>
      </c>
      <c r="E26" s="123">
        <v>25203340.860000003</v>
      </c>
      <c r="G26" s="84"/>
    </row>
    <row r="27" spans="2:10">
      <c r="B27" s="10" t="s">
        <v>17</v>
      </c>
      <c r="C27" s="11" t="s">
        <v>228</v>
      </c>
      <c r="D27" s="182">
        <v>-3913278.5</v>
      </c>
      <c r="E27" s="180">
        <v>-3216509.66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325958.96000000002</v>
      </c>
      <c r="E28" s="81">
        <v>896000.04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17536.849999999999</v>
      </c>
      <c r="E29" s="105">
        <v>14563.44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308422.11</v>
      </c>
      <c r="E31" s="105">
        <v>881436.6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4239237.46</v>
      </c>
      <c r="E32" s="81">
        <v>4112509.7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3947737.7</v>
      </c>
      <c r="E33" s="105">
        <v>3839030.41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42341.120000000003</v>
      </c>
      <c r="E35" s="105">
        <v>36963.43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249158.64</v>
      </c>
      <c r="E39" s="184">
        <v>236515.86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-569210.9</v>
      </c>
      <c r="E40" s="128">
        <v>-212715.19</v>
      </c>
      <c r="G40" s="84"/>
    </row>
    <row r="41" spans="2:10" ht="13.5" thickBot="1">
      <c r="B41" s="129" t="s">
        <v>37</v>
      </c>
      <c r="C41" s="130" t="s">
        <v>38</v>
      </c>
      <c r="D41" s="131">
        <v>25203340.860000003</v>
      </c>
      <c r="E41" s="181">
        <f>E26+E27+E40</f>
        <v>21774116.010000002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2273696.1368</v>
      </c>
      <c r="E47" s="83">
        <v>1971506.5183999999</v>
      </c>
      <c r="G47" s="79"/>
    </row>
    <row r="48" spans="2:10">
      <c r="B48" s="154" t="s">
        <v>6</v>
      </c>
      <c r="C48" s="23" t="s">
        <v>41</v>
      </c>
      <c r="D48" s="264">
        <v>1971506.5183999999</v>
      </c>
      <c r="E48" s="83">
        <v>1719564.831</v>
      </c>
      <c r="G48" s="200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13.0562</v>
      </c>
      <c r="E50" s="83">
        <v>12.783799999999999</v>
      </c>
    </row>
    <row r="51" spans="2:5">
      <c r="B51" s="133" t="s">
        <v>6</v>
      </c>
      <c r="C51" s="16" t="s">
        <v>231</v>
      </c>
      <c r="D51" s="314">
        <v>12.680899999999999</v>
      </c>
      <c r="E51" s="85">
        <v>12.547700000000001</v>
      </c>
    </row>
    <row r="52" spans="2:5">
      <c r="B52" s="133" t="s">
        <v>8</v>
      </c>
      <c r="C52" s="16" t="s">
        <v>232</v>
      </c>
      <c r="D52" s="314">
        <v>13.193899999999999</v>
      </c>
      <c r="E52" s="85">
        <v>12.895300000000001</v>
      </c>
    </row>
    <row r="53" spans="2:5" ht="13.5" customHeight="1" thickBot="1">
      <c r="B53" s="134" t="s">
        <v>9</v>
      </c>
      <c r="C53" s="18" t="s">
        <v>41</v>
      </c>
      <c r="D53" s="268">
        <v>12.783799999999999</v>
      </c>
      <c r="E53" s="187">
        <v>12.662599999999999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22736615.48</v>
      </c>
      <c r="E58" s="33">
        <f>D58/E21</f>
        <v>1.044203836773808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22736615.48</v>
      </c>
      <c r="E64" s="97">
        <f>D64/E21</f>
        <v>1.044203836773808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f>E13</f>
        <v>0</v>
      </c>
      <c r="E71" s="70">
        <f>D71/E21</f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962499.47</v>
      </c>
      <c r="E73" s="27">
        <f>D73/E21</f>
        <v>4.4203836773808014E-2</v>
      </c>
    </row>
    <row r="74" spans="2:5">
      <c r="B74" s="162" t="s">
        <v>64</v>
      </c>
      <c r="C74" s="152" t="s">
        <v>66</v>
      </c>
      <c r="D74" s="153">
        <f>D58+D71-D73</f>
        <v>21774116.010000002</v>
      </c>
      <c r="E74" s="70">
        <f>E58+E71+E72-E73</f>
        <v>1</v>
      </c>
    </row>
    <row r="75" spans="2:5">
      <c r="B75" s="133" t="s">
        <v>4</v>
      </c>
      <c r="C75" s="16" t="s">
        <v>67</v>
      </c>
      <c r="D75" s="94">
        <f>D74</f>
        <v>21774116.010000002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81"/>
  <sheetViews>
    <sheetView topLeftCell="A40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8.425781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69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159351159.09</v>
      </c>
      <c r="E11" s="9">
        <f>E12</f>
        <v>140004633.90000001</v>
      </c>
    </row>
    <row r="12" spans="2:7">
      <c r="B12" s="137" t="s">
        <v>4</v>
      </c>
      <c r="C12" s="6" t="s">
        <v>5</v>
      </c>
      <c r="D12" s="90">
        <v>159351159.09</v>
      </c>
      <c r="E12" s="101">
        <v>140004633.90000001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1047157.23</v>
      </c>
      <c r="E17" s="117">
        <f>SUM(E18:E19)</f>
        <v>801883.41999999993</v>
      </c>
    </row>
    <row r="18" spans="2:10">
      <c r="B18" s="137" t="s">
        <v>4</v>
      </c>
      <c r="C18" s="6" t="s">
        <v>11</v>
      </c>
      <c r="D18" s="90">
        <v>1047157.23</v>
      </c>
      <c r="E18" s="102">
        <v>374920.06</v>
      </c>
    </row>
    <row r="19" spans="2:10" ht="13.5" customHeight="1">
      <c r="B19" s="137" t="s">
        <v>6</v>
      </c>
      <c r="C19" s="72" t="s">
        <v>225</v>
      </c>
      <c r="D19" s="90"/>
      <c r="E19" s="101">
        <v>426963.36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158304001.86000001</v>
      </c>
      <c r="E21" s="104">
        <f>E11-E17</f>
        <v>139202750.48000002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198895423.04000002</v>
      </c>
      <c r="E26" s="123">
        <v>158304001.86000001</v>
      </c>
      <c r="G26" s="193"/>
    </row>
    <row r="27" spans="2:10">
      <c r="B27" s="10" t="s">
        <v>17</v>
      </c>
      <c r="C27" s="11" t="s">
        <v>228</v>
      </c>
      <c r="D27" s="182">
        <v>-25097678.239999998</v>
      </c>
      <c r="E27" s="180">
        <v>-21420921.899999999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129203.34</v>
      </c>
      <c r="E28" s="81">
        <v>93753.7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114918.05</v>
      </c>
      <c r="E29" s="105">
        <v>93753.7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14285.29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25226881.579999998</v>
      </c>
      <c r="E32" s="81">
        <v>21514675.600000001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22429802.289999999</v>
      </c>
      <c r="E33" s="105">
        <v>20099259.329999998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253643.81</v>
      </c>
      <c r="E35" s="105">
        <v>206849.39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2543435.48</v>
      </c>
      <c r="E39" s="184">
        <v>1208566.8799999999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-15493742.939999999</v>
      </c>
      <c r="E40" s="128">
        <v>2319670.52</v>
      </c>
      <c r="G40" s="84"/>
    </row>
    <row r="41" spans="2:10" ht="13.5" thickBot="1">
      <c r="B41" s="129" t="s">
        <v>37</v>
      </c>
      <c r="C41" s="130" t="s">
        <v>38</v>
      </c>
      <c r="D41" s="131">
        <v>158304001.86000001</v>
      </c>
      <c r="E41" s="181">
        <f>E26+E27+E40</f>
        <v>139202750.48000002</v>
      </c>
      <c r="F41" s="89"/>
      <c r="G41" s="84"/>
      <c r="H41" s="71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19066356.057100002</v>
      </c>
      <c r="E47" s="83">
        <v>16641496.1174</v>
      </c>
      <c r="G47" s="79"/>
    </row>
    <row r="48" spans="2:10">
      <c r="B48" s="154" t="s">
        <v>6</v>
      </c>
      <c r="C48" s="23" t="s">
        <v>41</v>
      </c>
      <c r="D48" s="264">
        <v>16641496.1174</v>
      </c>
      <c r="E48" s="83">
        <v>14349569.0702</v>
      </c>
      <c r="G48" s="311"/>
    </row>
    <row r="49" spans="2:7">
      <c r="B49" s="151" t="s">
        <v>23</v>
      </c>
      <c r="C49" s="155" t="s">
        <v>230</v>
      </c>
      <c r="D49" s="266"/>
      <c r="E49" s="83"/>
      <c r="G49" s="192"/>
    </row>
    <row r="50" spans="2:7">
      <c r="B50" s="133" t="s">
        <v>4</v>
      </c>
      <c r="C50" s="16" t="s">
        <v>40</v>
      </c>
      <c r="D50" s="263">
        <v>10.431699999999999</v>
      </c>
      <c r="E50" s="83">
        <v>9.5126000000000008</v>
      </c>
    </row>
    <row r="51" spans="2:7">
      <c r="B51" s="133" t="s">
        <v>6</v>
      </c>
      <c r="C51" s="16" t="s">
        <v>231</v>
      </c>
      <c r="D51" s="314">
        <v>9.2199000000000009</v>
      </c>
      <c r="E51" s="85">
        <v>8.9122000000000003</v>
      </c>
    </row>
    <row r="52" spans="2:7" ht="12.75" customHeight="1">
      <c r="B52" s="133" t="s">
        <v>8</v>
      </c>
      <c r="C52" s="16" t="s">
        <v>232</v>
      </c>
      <c r="D52" s="314">
        <v>10.8742</v>
      </c>
      <c r="E52" s="85">
        <v>9.7007999999999992</v>
      </c>
    </row>
    <row r="53" spans="2:7" ht="13.5" thickBot="1">
      <c r="B53" s="134" t="s">
        <v>9</v>
      </c>
      <c r="C53" s="18" t="s">
        <v>41</v>
      </c>
      <c r="D53" s="268">
        <v>9.5126000000000008</v>
      </c>
      <c r="E53" s="187">
        <v>9.7007999999999992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8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D64</f>
        <v>140004633.90000001</v>
      </c>
      <c r="E58" s="33">
        <f>D58/E21</f>
        <v>1.00576054292918</v>
      </c>
    </row>
    <row r="59" spans="2:7" ht="25.5">
      <c r="B59" s="154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7">
      <c r="B61" s="133" t="s">
        <v>8</v>
      </c>
      <c r="C61" s="16" t="s">
        <v>46</v>
      </c>
      <c r="D61" s="94">
        <v>0</v>
      </c>
      <c r="E61" s="95">
        <v>0</v>
      </c>
    </row>
    <row r="62" spans="2:7">
      <c r="B62" s="133" t="s">
        <v>9</v>
      </c>
      <c r="C62" s="16" t="s">
        <v>47</v>
      </c>
      <c r="D62" s="94">
        <v>0</v>
      </c>
      <c r="E62" s="95">
        <v>0</v>
      </c>
    </row>
    <row r="63" spans="2:7">
      <c r="B63" s="133" t="s">
        <v>29</v>
      </c>
      <c r="C63" s="16" t="s">
        <v>48</v>
      </c>
      <c r="D63" s="94">
        <v>0</v>
      </c>
      <c r="E63" s="95">
        <v>0</v>
      </c>
    </row>
    <row r="64" spans="2:7">
      <c r="B64" s="154" t="s">
        <v>31</v>
      </c>
      <c r="C64" s="23" t="s">
        <v>49</v>
      </c>
      <c r="D64" s="96">
        <f>E12</f>
        <v>140004633.90000001</v>
      </c>
      <c r="E64" s="97">
        <f>D64/E21</f>
        <v>1.00576054292918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801883.41999999993</v>
      </c>
      <c r="E73" s="27">
        <f>D73/E21</f>
        <v>5.7605429291802011E-3</v>
      </c>
    </row>
    <row r="74" spans="2:5">
      <c r="B74" s="162" t="s">
        <v>64</v>
      </c>
      <c r="C74" s="152" t="s">
        <v>66</v>
      </c>
      <c r="D74" s="153">
        <f>D58-D73</f>
        <v>139202750.48000002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D74</f>
        <v>139202750.48000002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81"/>
  <sheetViews>
    <sheetView topLeftCell="A40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70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143485552.97999999</v>
      </c>
      <c r="E11" s="9">
        <f>E12</f>
        <v>132855880.40000001</v>
      </c>
    </row>
    <row r="12" spans="2:7">
      <c r="B12" s="137" t="s">
        <v>4</v>
      </c>
      <c r="C12" s="6" t="s">
        <v>5</v>
      </c>
      <c r="D12" s="90">
        <v>143485552.97999999</v>
      </c>
      <c r="E12" s="101">
        <v>132855880.40000001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480162.17</v>
      </c>
      <c r="E17" s="117">
        <f>SUM(E18:E20)</f>
        <v>671814.34</v>
      </c>
    </row>
    <row r="18" spans="2:10">
      <c r="B18" s="137" t="s">
        <v>4</v>
      </c>
      <c r="C18" s="6" t="s">
        <v>11</v>
      </c>
      <c r="D18" s="90">
        <v>480162.17</v>
      </c>
      <c r="E18" s="102">
        <v>657960.74</v>
      </c>
    </row>
    <row r="19" spans="2:10" ht="13.5" customHeight="1">
      <c r="B19" s="137" t="s">
        <v>6</v>
      </c>
      <c r="C19" s="72" t="s">
        <v>225</v>
      </c>
      <c r="D19" s="90"/>
      <c r="E19" s="101">
        <v>13853.6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143005390.81</v>
      </c>
      <c r="E21" s="104">
        <f>E11-E17</f>
        <v>132184066.06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176317545.89000002</v>
      </c>
      <c r="E26" s="123">
        <v>143005390.81</v>
      </c>
      <c r="G26" s="193"/>
      <c r="I26" s="71"/>
    </row>
    <row r="27" spans="2:10">
      <c r="B27" s="10" t="s">
        <v>17</v>
      </c>
      <c r="C27" s="11" t="s">
        <v>228</v>
      </c>
      <c r="D27" s="182">
        <v>-20533281.77</v>
      </c>
      <c r="E27" s="180">
        <v>-18141848.43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189386.29</v>
      </c>
      <c r="E28" s="81">
        <v>209680.2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78988.47</v>
      </c>
      <c r="E29" s="105">
        <v>68743.38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110397.82</v>
      </c>
      <c r="E31" s="105">
        <v>140936.82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20722668.060000002</v>
      </c>
      <c r="E32" s="81">
        <v>18351528.629999999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19168273.91</v>
      </c>
      <c r="E33" s="105">
        <v>17596527.780000001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214197.76000000001</v>
      </c>
      <c r="E35" s="105">
        <v>173986.95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1340196.3899999999</v>
      </c>
      <c r="E39" s="184">
        <v>581013.9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-12778873.310000001</v>
      </c>
      <c r="E40" s="128">
        <v>7320523.6799999997</v>
      </c>
      <c r="G40" s="84"/>
    </row>
    <row r="41" spans="2:10" ht="13.5" thickBot="1">
      <c r="B41" s="129" t="s">
        <v>37</v>
      </c>
      <c r="C41" s="130" t="s">
        <v>38</v>
      </c>
      <c r="D41" s="131">
        <v>143005390.81</v>
      </c>
      <c r="E41" s="181">
        <f>E26+E27+E40</f>
        <v>132184066.06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12813497.0579</v>
      </c>
      <c r="E47" s="83">
        <v>11335306.115900001</v>
      </c>
      <c r="G47" s="200"/>
    </row>
    <row r="48" spans="2:10">
      <c r="B48" s="154" t="s">
        <v>6</v>
      </c>
      <c r="C48" s="23" t="s">
        <v>41</v>
      </c>
      <c r="D48" s="264">
        <v>11335306.115900001</v>
      </c>
      <c r="E48" s="83">
        <v>9864593.4831000008</v>
      </c>
      <c r="G48" s="312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13.760300000000001</v>
      </c>
      <c r="E50" s="83">
        <v>12.6159</v>
      </c>
    </row>
    <row r="51" spans="2:5">
      <c r="B51" s="133" t="s">
        <v>6</v>
      </c>
      <c r="C51" s="16" t="s">
        <v>231</v>
      </c>
      <c r="D51" s="314">
        <v>12.2895</v>
      </c>
      <c r="E51" s="85">
        <v>11.299100000000001</v>
      </c>
    </row>
    <row r="52" spans="2:5" ht="12.75" customHeight="1">
      <c r="B52" s="133" t="s">
        <v>8</v>
      </c>
      <c r="C52" s="16" t="s">
        <v>232</v>
      </c>
      <c r="D52" s="314">
        <v>14.782500000000001</v>
      </c>
      <c r="E52" s="85">
        <v>13.433299999999999</v>
      </c>
    </row>
    <row r="53" spans="2:5" ht="13.5" thickBot="1">
      <c r="B53" s="134" t="s">
        <v>9</v>
      </c>
      <c r="C53" s="18" t="s">
        <v>41</v>
      </c>
      <c r="D53" s="268">
        <v>12.6159</v>
      </c>
      <c r="E53" s="187">
        <v>13.399800000000001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132855880.40000001</v>
      </c>
      <c r="E58" s="33">
        <f>D58/E21</f>
        <v>1.0050824154531233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E11</f>
        <v>132855880.40000001</v>
      </c>
      <c r="E64" s="97">
        <f>D64/E21</f>
        <v>1.0050824154531233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671814.34</v>
      </c>
      <c r="E73" s="27">
        <f>D73/E21</f>
        <v>5.0824154531231855E-3</v>
      </c>
    </row>
    <row r="74" spans="2:5">
      <c r="B74" s="162" t="s">
        <v>64</v>
      </c>
      <c r="C74" s="152" t="s">
        <v>66</v>
      </c>
      <c r="D74" s="153">
        <f>D58-D73</f>
        <v>132184066.06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132184066.06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81"/>
  <sheetViews>
    <sheetView topLeftCell="A43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11"/>
      <c r="C4" s="111"/>
      <c r="D4" s="111"/>
      <c r="E4" s="111"/>
    </row>
    <row r="5" spans="2:5" ht="21" customHeight="1">
      <c r="B5" s="337" t="s">
        <v>1</v>
      </c>
      <c r="C5" s="337"/>
      <c r="D5" s="337"/>
      <c r="E5" s="337"/>
    </row>
    <row r="6" spans="2:5" ht="14.25">
      <c r="B6" s="338" t="s">
        <v>71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2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18295675.84</v>
      </c>
      <c r="E11" s="9">
        <f>E12+E13+E14</f>
        <v>18252905.800000001</v>
      </c>
    </row>
    <row r="12" spans="2:5">
      <c r="B12" s="137" t="s">
        <v>4</v>
      </c>
      <c r="C12" s="6" t="s">
        <v>5</v>
      </c>
      <c r="D12" s="90">
        <v>18188226.449999999</v>
      </c>
      <c r="E12" s="101">
        <v>18252438.170000002</v>
      </c>
    </row>
    <row r="13" spans="2:5">
      <c r="B13" s="137" t="s">
        <v>6</v>
      </c>
      <c r="C13" s="72" t="s">
        <v>7</v>
      </c>
      <c r="D13" s="90">
        <v>30755.46</v>
      </c>
      <c r="E13" s="101"/>
    </row>
    <row r="14" spans="2:5">
      <c r="B14" s="137" t="s">
        <v>8</v>
      </c>
      <c r="C14" s="72" t="s">
        <v>10</v>
      </c>
      <c r="D14" s="90">
        <v>76693.929999999993</v>
      </c>
      <c r="E14" s="101">
        <f>E15</f>
        <v>467.63</v>
      </c>
    </row>
    <row r="15" spans="2:5">
      <c r="B15" s="137" t="s">
        <v>223</v>
      </c>
      <c r="C15" s="72" t="s">
        <v>11</v>
      </c>
      <c r="D15" s="90">
        <v>76693.929999999993</v>
      </c>
      <c r="E15" s="101">
        <v>467.63</v>
      </c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29868.799999999999</v>
      </c>
      <c r="E17" s="117">
        <f>E18</f>
        <v>177637.76000000001</v>
      </c>
    </row>
    <row r="18" spans="2:10">
      <c r="B18" s="137" t="s">
        <v>4</v>
      </c>
      <c r="C18" s="6" t="s">
        <v>11</v>
      </c>
      <c r="D18" s="90">
        <v>29868.799999999999</v>
      </c>
      <c r="E18" s="102">
        <v>177637.76000000001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18265807.039999999</v>
      </c>
      <c r="E21" s="104">
        <f>E11-E17</f>
        <v>18075268.039999999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16139349.689999999</v>
      </c>
      <c r="E26" s="123">
        <v>18265807.039999999</v>
      </c>
      <c r="G26" s="84"/>
    </row>
    <row r="27" spans="2:10">
      <c r="B27" s="10" t="s">
        <v>17</v>
      </c>
      <c r="C27" s="11" t="s">
        <v>228</v>
      </c>
      <c r="D27" s="182">
        <v>1563073.84</v>
      </c>
      <c r="E27" s="180">
        <v>-1641417.08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3520924.61</v>
      </c>
      <c r="E28" s="81">
        <v>1361503.31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11482.19</v>
      </c>
      <c r="E29" s="105">
        <v>11620.35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3509442.42</v>
      </c>
      <c r="E31" s="105">
        <v>1349882.96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1957850.77</v>
      </c>
      <c r="E32" s="81">
        <v>3002920.39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1880162.74</v>
      </c>
      <c r="E33" s="105">
        <v>2715078.37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20913.240000000002</v>
      </c>
      <c r="E35" s="105">
        <v>21863.39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56774.79</v>
      </c>
      <c r="E39" s="184">
        <v>265978.63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563383.51</v>
      </c>
      <c r="E40" s="128">
        <v>1450878.08</v>
      </c>
      <c r="G40" s="84"/>
    </row>
    <row r="41" spans="2:10" ht="13.5" thickBot="1">
      <c r="B41" s="129" t="s">
        <v>37</v>
      </c>
      <c r="C41" s="130" t="s">
        <v>38</v>
      </c>
      <c r="D41" s="131">
        <v>18265807.040000003</v>
      </c>
      <c r="E41" s="181">
        <f>E26+E27+E40</f>
        <v>18075268.039999999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1103771.4835999999</v>
      </c>
      <c r="E47" s="83">
        <v>1203283.9421000001</v>
      </c>
      <c r="G47" s="79"/>
    </row>
    <row r="48" spans="2:10">
      <c r="B48" s="154" t="s">
        <v>6</v>
      </c>
      <c r="C48" s="23" t="s">
        <v>41</v>
      </c>
      <c r="D48" s="264">
        <v>1203283.9421000001</v>
      </c>
      <c r="E48" s="83">
        <v>1094211.2933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14.622</v>
      </c>
      <c r="E50" s="83">
        <v>15.18</v>
      </c>
    </row>
    <row r="51" spans="2:5">
      <c r="B51" s="133" t="s">
        <v>6</v>
      </c>
      <c r="C51" s="16" t="s">
        <v>231</v>
      </c>
      <c r="D51" s="314">
        <v>14.4268</v>
      </c>
      <c r="E51" s="85">
        <v>13.9825</v>
      </c>
    </row>
    <row r="52" spans="2:5" ht="12.75" customHeight="1">
      <c r="B52" s="133" t="s">
        <v>8</v>
      </c>
      <c r="C52" s="16" t="s">
        <v>232</v>
      </c>
      <c r="D52" s="314">
        <v>16.184100000000001</v>
      </c>
      <c r="E52" s="85">
        <v>16.6402</v>
      </c>
    </row>
    <row r="53" spans="2:5" ht="13.5" thickBot="1">
      <c r="B53" s="134" t="s">
        <v>9</v>
      </c>
      <c r="C53" s="18" t="s">
        <v>41</v>
      </c>
      <c r="D53" s="268">
        <v>15.18</v>
      </c>
      <c r="E53" s="187">
        <v>16.518999999999998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17242327.649999999</v>
      </c>
      <c r="E58" s="33">
        <f>D58/E21</f>
        <v>0.95391822748317034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17242327.649999999</v>
      </c>
      <c r="E64" s="97">
        <f>D64/E21</f>
        <v>0.95391822748317034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23280.11</v>
      </c>
      <c r="E71" s="70">
        <f>D71/E21</f>
        <v>1.2879537912512196E-3</v>
      </c>
    </row>
    <row r="72" spans="2:5">
      <c r="B72" s="163" t="s">
        <v>60</v>
      </c>
      <c r="C72" s="148" t="s">
        <v>63</v>
      </c>
      <c r="D72" s="149">
        <f>E14</f>
        <v>467.63</v>
      </c>
      <c r="E72" s="150">
        <v>0</v>
      </c>
    </row>
    <row r="73" spans="2:5">
      <c r="B73" s="164" t="s">
        <v>62</v>
      </c>
      <c r="C73" s="25" t="s">
        <v>65</v>
      </c>
      <c r="D73" s="26">
        <v>39207.279999999999</v>
      </c>
      <c r="E73" s="27">
        <f>D73/E21</f>
        <v>2.1691119552548557E-3</v>
      </c>
    </row>
    <row r="74" spans="2:5">
      <c r="B74" s="162" t="s">
        <v>64</v>
      </c>
      <c r="C74" s="152" t="s">
        <v>66</v>
      </c>
      <c r="D74" s="153">
        <f>D58+D71-D73</f>
        <v>17226400.479999997</v>
      </c>
      <c r="E74" s="70">
        <f>E58+E71+E72-E73</f>
        <v>0.95303706931916676</v>
      </c>
    </row>
    <row r="75" spans="2:5">
      <c r="B75" s="133" t="s">
        <v>4</v>
      </c>
      <c r="C75" s="16" t="s">
        <v>67</v>
      </c>
      <c r="D75" s="94">
        <f>D74</f>
        <v>17226400.479999997</v>
      </c>
      <c r="E75" s="95">
        <f>E74</f>
        <v>0.95303706931916676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81"/>
  <sheetViews>
    <sheetView topLeftCell="A22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11"/>
      <c r="C4" s="111"/>
      <c r="D4" s="111"/>
      <c r="E4" s="111"/>
    </row>
    <row r="5" spans="2:5" ht="21" customHeight="1">
      <c r="B5" s="337" t="s">
        <v>1</v>
      </c>
      <c r="C5" s="337"/>
      <c r="D5" s="337"/>
      <c r="E5" s="337"/>
    </row>
    <row r="6" spans="2:5" ht="14.25">
      <c r="B6" s="338" t="s">
        <v>72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2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16963203.539999999</v>
      </c>
      <c r="E11" s="9">
        <f>E12</f>
        <v>14848598.800000001</v>
      </c>
    </row>
    <row r="12" spans="2:5">
      <c r="B12" s="137" t="s">
        <v>4</v>
      </c>
      <c r="C12" s="6" t="s">
        <v>5</v>
      </c>
      <c r="D12" s="90">
        <v>16963203.539999999</v>
      </c>
      <c r="E12" s="101">
        <v>14848598.800000001</v>
      </c>
    </row>
    <row r="13" spans="2:5">
      <c r="B13" s="137" t="s">
        <v>6</v>
      </c>
      <c r="C13" s="72" t="s">
        <v>7</v>
      </c>
      <c r="D13" s="90"/>
      <c r="E13" s="101"/>
    </row>
    <row r="14" spans="2:5">
      <c r="B14" s="137" t="s">
        <v>8</v>
      </c>
      <c r="C14" s="72" t="s">
        <v>10</v>
      </c>
      <c r="D14" s="90"/>
      <c r="E14" s="101"/>
    </row>
    <row r="15" spans="2:5">
      <c r="B15" s="137" t="s">
        <v>223</v>
      </c>
      <c r="C15" s="72" t="s">
        <v>11</v>
      </c>
      <c r="D15" s="90"/>
      <c r="E15" s="101"/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53007.99</v>
      </c>
      <c r="E17" s="117">
        <f>E18</f>
        <v>34854.769999999997</v>
      </c>
    </row>
    <row r="18" spans="2:10">
      <c r="B18" s="137" t="s">
        <v>4</v>
      </c>
      <c r="C18" s="6" t="s">
        <v>11</v>
      </c>
      <c r="D18" s="90">
        <v>53007.99</v>
      </c>
      <c r="E18" s="102">
        <v>34854.769999999997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16910195.550000001</v>
      </c>
      <c r="E21" s="104">
        <f>E11-E17</f>
        <v>14813744.030000001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19374374.520000003</v>
      </c>
      <c r="E26" s="123">
        <f>D21</f>
        <v>16910195.550000001</v>
      </c>
      <c r="G26" s="84"/>
    </row>
    <row r="27" spans="2:10">
      <c r="B27" s="10" t="s">
        <v>17</v>
      </c>
      <c r="C27" s="11" t="s">
        <v>228</v>
      </c>
      <c r="D27" s="182">
        <v>-1942879.94</v>
      </c>
      <c r="E27" s="180">
        <v>-1933903.32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500839.33</v>
      </c>
      <c r="E28" s="81">
        <v>97516.79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1395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499444.33</v>
      </c>
      <c r="E31" s="105">
        <v>97516.79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2443719.2700000005</v>
      </c>
      <c r="E32" s="81">
        <v>2031420.11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2168185.6</v>
      </c>
      <c r="E33" s="105">
        <v>1850085.57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23945.49</v>
      </c>
      <c r="E35" s="105">
        <v>20998.27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251588.18</v>
      </c>
      <c r="E39" s="184">
        <v>160336.26999999999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-521299.03</v>
      </c>
      <c r="E40" s="128">
        <v>-162548.20000000001</v>
      </c>
      <c r="G40" s="84"/>
    </row>
    <row r="41" spans="2:10" ht="13.5" thickBot="1">
      <c r="B41" s="129" t="s">
        <v>37</v>
      </c>
      <c r="C41" s="130" t="s">
        <v>38</v>
      </c>
      <c r="D41" s="131">
        <v>16910195.550000001</v>
      </c>
      <c r="E41" s="181">
        <f>E26+E27+E40</f>
        <v>14813744.030000001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1700401.8181</v>
      </c>
      <c r="E47" s="83">
        <v>1532252.4598000001</v>
      </c>
      <c r="G47" s="79"/>
    </row>
    <row r="48" spans="2:10">
      <c r="B48" s="154" t="s">
        <v>6</v>
      </c>
      <c r="C48" s="23" t="s">
        <v>41</v>
      </c>
      <c r="D48" s="264">
        <v>1532252.4598000001</v>
      </c>
      <c r="E48" s="83">
        <v>1353664.848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11.394</v>
      </c>
      <c r="E50" s="83">
        <v>11.036199999999999</v>
      </c>
    </row>
    <row r="51" spans="2:5">
      <c r="B51" s="133" t="s">
        <v>6</v>
      </c>
      <c r="C51" s="16" t="s">
        <v>231</v>
      </c>
      <c r="D51" s="314">
        <v>10.731299999999999</v>
      </c>
      <c r="E51" s="85">
        <v>9.9476000000000013</v>
      </c>
    </row>
    <row r="52" spans="2:5" ht="12.75" customHeight="1">
      <c r="B52" s="133" t="s">
        <v>8</v>
      </c>
      <c r="C52" s="16" t="s">
        <v>232</v>
      </c>
      <c r="D52" s="314">
        <v>12.6495</v>
      </c>
      <c r="E52" s="85">
        <v>11.601100000000001</v>
      </c>
    </row>
    <row r="53" spans="2:5" ht="13.5" thickBot="1">
      <c r="B53" s="134" t="s">
        <v>9</v>
      </c>
      <c r="C53" s="18" t="s">
        <v>41</v>
      </c>
      <c r="D53" s="268">
        <v>11.036199999999999</v>
      </c>
      <c r="E53" s="187">
        <v>10.9434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14848598.800000001</v>
      </c>
      <c r="E58" s="33">
        <f>D58/E21</f>
        <v>1.0023528670354647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14848598.800000001</v>
      </c>
      <c r="E64" s="97">
        <f>D64/E21</f>
        <v>1.0023528670354647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34854.769999999997</v>
      </c>
      <c r="E73" s="27">
        <f>D73/E41</f>
        <v>2.3528670354647672E-3</v>
      </c>
    </row>
    <row r="74" spans="2:5">
      <c r="B74" s="162" t="s">
        <v>64</v>
      </c>
      <c r="C74" s="152" t="s">
        <v>66</v>
      </c>
      <c r="D74" s="153">
        <f>D58-D73</f>
        <v>14813744.030000001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D74</f>
        <v>14813744.030000001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11"/>
      <c r="C4" s="111"/>
      <c r="D4" s="111"/>
      <c r="E4" s="111"/>
    </row>
    <row r="5" spans="2:5" ht="21" customHeight="1">
      <c r="B5" s="337" t="s">
        <v>1</v>
      </c>
      <c r="C5" s="337"/>
      <c r="D5" s="337"/>
      <c r="E5" s="337"/>
    </row>
    <row r="6" spans="2:5" ht="14.25">
      <c r="B6" s="338" t="s">
        <v>73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2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3583651.71</v>
      </c>
      <c r="E11" s="9">
        <f>E12+E14</f>
        <v>3465640.2600000002</v>
      </c>
    </row>
    <row r="12" spans="2:5">
      <c r="B12" s="137" t="s">
        <v>4</v>
      </c>
      <c r="C12" s="6" t="s">
        <v>5</v>
      </c>
      <c r="D12" s="90">
        <v>3583543.9</v>
      </c>
      <c r="E12" s="101">
        <f>3453079.64+7673.04</f>
        <v>3460752.68</v>
      </c>
    </row>
    <row r="13" spans="2:5">
      <c r="B13" s="137" t="s">
        <v>6</v>
      </c>
      <c r="C13" s="72" t="s">
        <v>7</v>
      </c>
      <c r="D13" s="90"/>
      <c r="E13" s="101"/>
    </row>
    <row r="14" spans="2:5">
      <c r="B14" s="137" t="s">
        <v>8</v>
      </c>
      <c r="C14" s="72" t="s">
        <v>10</v>
      </c>
      <c r="D14" s="90">
        <v>107.81</v>
      </c>
      <c r="E14" s="101">
        <f>E15</f>
        <v>4887.58</v>
      </c>
    </row>
    <row r="15" spans="2:5">
      <c r="B15" s="137" t="s">
        <v>223</v>
      </c>
      <c r="C15" s="72" t="s">
        <v>11</v>
      </c>
      <c r="D15" s="90">
        <v>107.81</v>
      </c>
      <c r="E15" s="101">
        <v>4887.58</v>
      </c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5928.44</v>
      </c>
      <c r="E17" s="117">
        <f>E18</f>
        <v>5748.95</v>
      </c>
    </row>
    <row r="18" spans="2:10">
      <c r="B18" s="137" t="s">
        <v>4</v>
      </c>
      <c r="C18" s="6" t="s">
        <v>11</v>
      </c>
      <c r="D18" s="90">
        <v>5928.44</v>
      </c>
      <c r="E18" s="102">
        <v>5748.95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3577723.27</v>
      </c>
      <c r="E21" s="104">
        <f>E11-E17</f>
        <v>3459891.31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4801069.91</v>
      </c>
      <c r="E26" s="123">
        <v>3577723.27</v>
      </c>
      <c r="G26" s="84"/>
    </row>
    <row r="27" spans="2:10">
      <c r="B27" s="10" t="s">
        <v>17</v>
      </c>
      <c r="C27" s="11" t="s">
        <v>228</v>
      </c>
      <c r="D27" s="182">
        <v>-466377.36</v>
      </c>
      <c r="E27" s="180">
        <v>-415895.11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v>65215.61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65215.61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466377.36</v>
      </c>
      <c r="E32" s="81">
        <v>481110.72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413605.23</v>
      </c>
      <c r="E33" s="105">
        <v>439805.43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49654.74</v>
      </c>
      <c r="E35" s="105">
        <v>41305.29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3117.39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-756969.28</v>
      </c>
      <c r="E40" s="128">
        <v>298063.15000000002</v>
      </c>
      <c r="G40" s="84"/>
    </row>
    <row r="41" spans="2:10" ht="13.5" thickBot="1">
      <c r="B41" s="129" t="s">
        <v>37</v>
      </c>
      <c r="C41" s="130" t="s">
        <v>38</v>
      </c>
      <c r="D41" s="131">
        <v>3577723.2699999996</v>
      </c>
      <c r="E41" s="181">
        <f>E26+E27+E40</f>
        <v>3459891.31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613438.96778499999</v>
      </c>
      <c r="E47" s="83">
        <v>550562.75299800001</v>
      </c>
      <c r="G47" s="79"/>
    </row>
    <row r="48" spans="2:10">
      <c r="B48" s="154" t="s">
        <v>6</v>
      </c>
      <c r="C48" s="23" t="s">
        <v>41</v>
      </c>
      <c r="D48" s="264">
        <v>550562.75299800001</v>
      </c>
      <c r="E48" s="83">
        <v>489600.11291999999</v>
      </c>
      <c r="G48" s="79"/>
    </row>
    <row r="49" spans="2:5">
      <c r="B49" s="151" t="s">
        <v>23</v>
      </c>
      <c r="C49" s="155" t="s">
        <v>230</v>
      </c>
      <c r="D49" s="266"/>
      <c r="E49" s="83"/>
    </row>
    <row r="50" spans="2:5">
      <c r="B50" s="133" t="s">
        <v>4</v>
      </c>
      <c r="C50" s="16" t="s">
        <v>40</v>
      </c>
      <c r="D50" s="263">
        <v>7.8264829999999996</v>
      </c>
      <c r="E50" s="83">
        <v>6.4983019999999998</v>
      </c>
    </row>
    <row r="51" spans="2:5">
      <c r="B51" s="133" t="s">
        <v>6</v>
      </c>
      <c r="C51" s="16" t="s">
        <v>231</v>
      </c>
      <c r="D51" s="314">
        <v>6.376754</v>
      </c>
      <c r="E51" s="83">
        <v>5.8044599999999997</v>
      </c>
    </row>
    <row r="52" spans="2:5" ht="12.75" customHeight="1">
      <c r="B52" s="133" t="s">
        <v>8</v>
      </c>
      <c r="C52" s="16" t="s">
        <v>232</v>
      </c>
      <c r="D52" s="314">
        <v>8.4327679999999994</v>
      </c>
      <c r="E52" s="83">
        <v>7.1170970000000002</v>
      </c>
    </row>
    <row r="53" spans="2:5" ht="13.5" thickBot="1">
      <c r="B53" s="134" t="s">
        <v>9</v>
      </c>
      <c r="C53" s="18" t="s">
        <v>41</v>
      </c>
      <c r="D53" s="268">
        <v>6.4983019999999998</v>
      </c>
      <c r="E53" s="187">
        <v>7.06677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D64+D69</f>
        <v>3460752.68</v>
      </c>
      <c r="E58" s="33">
        <f>D58/E21</f>
        <v>1.0002489586876646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3453079.64</v>
      </c>
      <c r="E64" s="97">
        <f>D64/E21</f>
        <v>0.9980312474035492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7673.04</v>
      </c>
      <c r="E69" s="95">
        <f>D69/E21</f>
        <v>2.2177112841154541E-3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4887.58</v>
      </c>
      <c r="E72" s="150">
        <f>D72/E21</f>
        <v>1.4126397513914968E-3</v>
      </c>
    </row>
    <row r="73" spans="2:5">
      <c r="B73" s="164" t="s">
        <v>62</v>
      </c>
      <c r="C73" s="25" t="s">
        <v>65</v>
      </c>
      <c r="D73" s="26">
        <f>E17</f>
        <v>5748.95</v>
      </c>
      <c r="E73" s="27">
        <f>D73/E21</f>
        <v>1.6615984390561677E-3</v>
      </c>
    </row>
    <row r="74" spans="2:5">
      <c r="B74" s="162" t="s">
        <v>64</v>
      </c>
      <c r="C74" s="152" t="s">
        <v>66</v>
      </c>
      <c r="D74" s="153">
        <f>D58+D72-D73</f>
        <v>3459891.31</v>
      </c>
      <c r="E74" s="70">
        <f>E58+E72-E73</f>
        <v>0.99999999999999978</v>
      </c>
    </row>
    <row r="75" spans="2:5">
      <c r="B75" s="133" t="s">
        <v>4</v>
      </c>
      <c r="C75" s="16" t="s">
        <v>67</v>
      </c>
      <c r="D75" s="94">
        <f>D74</f>
        <v>3459891.31</v>
      </c>
      <c r="E75" s="95">
        <f>E74</f>
        <v>0.99999999999999978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81"/>
  <sheetViews>
    <sheetView topLeftCell="A40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336" t="s">
        <v>0</v>
      </c>
      <c r="C2" s="336"/>
      <c r="D2" s="336"/>
      <c r="E2" s="336"/>
    </row>
    <row r="3" spans="2:5" ht="15.75">
      <c r="B3" s="336" t="s">
        <v>258</v>
      </c>
      <c r="C3" s="336"/>
      <c r="D3" s="336"/>
      <c r="E3" s="336"/>
    </row>
    <row r="4" spans="2:5" ht="15">
      <c r="B4" s="111"/>
      <c r="C4" s="111"/>
      <c r="D4" s="111"/>
      <c r="E4" s="111"/>
    </row>
    <row r="5" spans="2:5" ht="21" customHeight="1">
      <c r="B5" s="337" t="s">
        <v>1</v>
      </c>
      <c r="C5" s="337"/>
      <c r="D5" s="337"/>
      <c r="E5" s="337"/>
    </row>
    <row r="6" spans="2:5" ht="14.25">
      <c r="B6" s="338" t="s">
        <v>76</v>
      </c>
      <c r="C6" s="338"/>
      <c r="D6" s="338"/>
      <c r="E6" s="338"/>
    </row>
    <row r="7" spans="2:5" ht="14.25">
      <c r="B7" s="113"/>
      <c r="C7" s="113"/>
      <c r="D7" s="113"/>
      <c r="E7" s="113"/>
    </row>
    <row r="8" spans="2:5" ht="13.5">
      <c r="B8" s="340" t="s">
        <v>18</v>
      </c>
      <c r="C8" s="342"/>
      <c r="D8" s="342"/>
      <c r="E8" s="342"/>
    </row>
    <row r="9" spans="2:5" ht="16.5" thickBot="1">
      <c r="B9" s="339" t="s">
        <v>220</v>
      </c>
      <c r="C9" s="339"/>
      <c r="D9" s="339"/>
      <c r="E9" s="339"/>
    </row>
    <row r="10" spans="2:5" ht="13.5" thickBot="1">
      <c r="B10" s="112"/>
      <c r="C10" s="88" t="s">
        <v>2</v>
      </c>
      <c r="D10" s="75" t="s">
        <v>215</v>
      </c>
      <c r="E10" s="30" t="s">
        <v>259</v>
      </c>
    </row>
    <row r="11" spans="2:5">
      <c r="B11" s="114" t="s">
        <v>3</v>
      </c>
      <c r="C11" s="159" t="s">
        <v>226</v>
      </c>
      <c r="D11" s="74">
        <v>5933684.7799999993</v>
      </c>
      <c r="E11" s="9">
        <f>E12+E14</f>
        <v>4928278.4399999995</v>
      </c>
    </row>
    <row r="12" spans="2:5">
      <c r="B12" s="137" t="s">
        <v>4</v>
      </c>
      <c r="C12" s="6" t="s">
        <v>5</v>
      </c>
      <c r="D12" s="90">
        <v>5933601.9299999997</v>
      </c>
      <c r="E12" s="101">
        <f>4910298.8+9484.39</f>
        <v>4919783.1899999995</v>
      </c>
    </row>
    <row r="13" spans="2:5">
      <c r="B13" s="137" t="s">
        <v>6</v>
      </c>
      <c r="C13" s="72" t="s">
        <v>7</v>
      </c>
      <c r="D13" s="90"/>
      <c r="E13" s="101"/>
    </row>
    <row r="14" spans="2:5">
      <c r="B14" s="137" t="s">
        <v>8</v>
      </c>
      <c r="C14" s="72" t="s">
        <v>10</v>
      </c>
      <c r="D14" s="90">
        <v>82.85</v>
      </c>
      <c r="E14" s="101">
        <f>E15</f>
        <v>8495.25</v>
      </c>
    </row>
    <row r="15" spans="2:5">
      <c r="B15" s="137" t="s">
        <v>223</v>
      </c>
      <c r="C15" s="72" t="s">
        <v>11</v>
      </c>
      <c r="D15" s="90">
        <v>82.85</v>
      </c>
      <c r="E15" s="101">
        <v>8495.25</v>
      </c>
    </row>
    <row r="16" spans="2:5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9678.27</v>
      </c>
      <c r="E17" s="117">
        <f>E18</f>
        <v>8177.08</v>
      </c>
    </row>
    <row r="18" spans="2:10">
      <c r="B18" s="137" t="s">
        <v>4</v>
      </c>
      <c r="C18" s="6" t="s">
        <v>11</v>
      </c>
      <c r="D18" s="90">
        <v>9678.27</v>
      </c>
      <c r="E18" s="102">
        <v>8177.08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5924006.5099999998</v>
      </c>
      <c r="E21" s="104">
        <f>E11-E17</f>
        <v>4920101.3599999994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7847674.4600000009</v>
      </c>
      <c r="E26" s="123">
        <v>5924006.5099999998</v>
      </c>
      <c r="G26" s="84"/>
    </row>
    <row r="27" spans="2:10">
      <c r="B27" s="10" t="s">
        <v>17</v>
      </c>
      <c r="C27" s="11" t="s">
        <v>228</v>
      </c>
      <c r="D27" s="182">
        <v>-1801174.35</v>
      </c>
      <c r="E27" s="180">
        <v>-917954.46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33882.07</v>
      </c>
      <c r="E28" s="81">
        <v>420.35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33882.07</v>
      </c>
      <c r="E31" s="105">
        <v>420.35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1835056.42</v>
      </c>
      <c r="E32" s="81">
        <v>918374.80999999994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1793727.28</v>
      </c>
      <c r="E33" s="105">
        <v>879236.2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38545.75</v>
      </c>
      <c r="E35" s="105">
        <v>38044.519999999997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2783.39</v>
      </c>
      <c r="E39" s="184">
        <v>1094.0899999999999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-122493.6</v>
      </c>
      <c r="E40" s="128">
        <v>-85950.69</v>
      </c>
      <c r="G40" s="84"/>
    </row>
    <row r="41" spans="2:10" ht="13.5" thickBot="1">
      <c r="B41" s="129" t="s">
        <v>37</v>
      </c>
      <c r="C41" s="130" t="s">
        <v>38</v>
      </c>
      <c r="D41" s="131">
        <v>5924006.5100000016</v>
      </c>
      <c r="E41" s="181">
        <f>E26+E27+E40</f>
        <v>4920101.3599999994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736931.55220100004</v>
      </c>
      <c r="E47" s="83">
        <v>569250.53702799999</v>
      </c>
      <c r="G47" s="79"/>
    </row>
    <row r="48" spans="2:10">
      <c r="B48" s="154" t="s">
        <v>6</v>
      </c>
      <c r="C48" s="23" t="s">
        <v>41</v>
      </c>
      <c r="D48" s="264">
        <v>569250.53702799999</v>
      </c>
      <c r="E48" s="83">
        <v>480327.90454700001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10.649122999999999</v>
      </c>
      <c r="E50" s="83">
        <v>10.406677</v>
      </c>
    </row>
    <row r="51" spans="2:5">
      <c r="B51" s="133" t="s">
        <v>6</v>
      </c>
      <c r="C51" s="16" t="s">
        <v>231</v>
      </c>
      <c r="D51" s="314">
        <v>10.35145</v>
      </c>
      <c r="E51" s="85">
        <v>10.185589999999999</v>
      </c>
    </row>
    <row r="52" spans="2:5" ht="12" customHeight="1">
      <c r="B52" s="133" t="s">
        <v>8</v>
      </c>
      <c r="C52" s="16" t="s">
        <v>232</v>
      </c>
      <c r="D52" s="314">
        <v>11.228133</v>
      </c>
      <c r="E52" s="85">
        <v>10.54285</v>
      </c>
    </row>
    <row r="53" spans="2:5" ht="13.5" thickBot="1">
      <c r="B53" s="134" t="s">
        <v>9</v>
      </c>
      <c r="C53" s="18" t="s">
        <v>41</v>
      </c>
      <c r="D53" s="268">
        <v>10.406677</v>
      </c>
      <c r="E53" s="187">
        <v>10.243213000000001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D64+D69</f>
        <v>4919783.1899999995</v>
      </c>
      <c r="E58" s="33">
        <f>D58/E21</f>
        <v>0.99993533263306589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4910298.8</v>
      </c>
      <c r="E64" s="97">
        <f>D64/E21</f>
        <v>0.99800765080173071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9484.39</v>
      </c>
      <c r="E69" s="95">
        <f>D69/E21</f>
        <v>1.9276818313352798E-3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8495.25</v>
      </c>
      <c r="E72" s="150">
        <f>D72/E21</f>
        <v>1.7266412576508385E-3</v>
      </c>
    </row>
    <row r="73" spans="2:5">
      <c r="B73" s="164" t="s">
        <v>62</v>
      </c>
      <c r="C73" s="25" t="s">
        <v>65</v>
      </c>
      <c r="D73" s="26">
        <f>E17</f>
        <v>8177.08</v>
      </c>
      <c r="E73" s="27">
        <f>D73/E21</f>
        <v>1.6619738907167557E-3</v>
      </c>
    </row>
    <row r="74" spans="2:5">
      <c r="B74" s="162" t="s">
        <v>64</v>
      </c>
      <c r="C74" s="152" t="s">
        <v>66</v>
      </c>
      <c r="D74" s="153">
        <f>D58+D72-D73</f>
        <v>4920101.3599999994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D74</f>
        <v>4920101.3599999994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81"/>
  <sheetViews>
    <sheetView topLeftCell="A43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75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6590775.21</v>
      </c>
      <c r="E11" s="9">
        <f>E12+E14</f>
        <v>5852579.8300000001</v>
      </c>
    </row>
    <row r="12" spans="2:7">
      <c r="B12" s="137" t="s">
        <v>4</v>
      </c>
      <c r="C12" s="6" t="s">
        <v>5</v>
      </c>
      <c r="D12" s="90">
        <v>6590647.1600000001</v>
      </c>
      <c r="E12" s="101">
        <f>5831354.17+7084.65</f>
        <v>5838438.8200000003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>
        <v>128.05000000000001</v>
      </c>
      <c r="E14" s="101">
        <f>E15</f>
        <v>14141.01</v>
      </c>
      <c r="G14" s="71"/>
    </row>
    <row r="15" spans="2:7">
      <c r="B15" s="137" t="s">
        <v>223</v>
      </c>
      <c r="C15" s="72" t="s">
        <v>11</v>
      </c>
      <c r="D15" s="90">
        <v>128.05000000000001</v>
      </c>
      <c r="E15" s="101">
        <v>14141.01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10978.45</v>
      </c>
      <c r="E17" s="117">
        <f>E18</f>
        <v>9617.39</v>
      </c>
    </row>
    <row r="18" spans="2:10">
      <c r="B18" s="137" t="s">
        <v>4</v>
      </c>
      <c r="C18" s="6" t="s">
        <v>11</v>
      </c>
      <c r="D18" s="90">
        <v>10978.45</v>
      </c>
      <c r="E18" s="102">
        <v>9617.39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6579796.7599999998</v>
      </c>
      <c r="E21" s="104">
        <f>E11-E17</f>
        <v>5842962.4400000004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7878759.7199999997</v>
      </c>
      <c r="E26" s="123">
        <v>6579796.7599999998</v>
      </c>
      <c r="G26" s="84"/>
    </row>
    <row r="27" spans="2:10">
      <c r="B27" s="10" t="s">
        <v>17</v>
      </c>
      <c r="C27" s="11" t="s">
        <v>228</v>
      </c>
      <c r="D27" s="182">
        <v>-1108567.54</v>
      </c>
      <c r="E27" s="180">
        <v>-1057830.71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v>309.72000000000003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49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260.72000000000003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1108567.54</v>
      </c>
      <c r="E32" s="81">
        <v>1058140.43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1016665</v>
      </c>
      <c r="E33" s="105">
        <v>986311.83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54196.93</v>
      </c>
      <c r="E35" s="105">
        <v>54231.09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37705.61</v>
      </c>
      <c r="E39" s="184">
        <v>17597.509999999998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-190395.42</v>
      </c>
      <c r="E40" s="128">
        <v>320996.39</v>
      </c>
      <c r="G40" s="84"/>
    </row>
    <row r="41" spans="2:10" ht="13.5" thickBot="1">
      <c r="B41" s="129" t="s">
        <v>37</v>
      </c>
      <c r="C41" s="130" t="s">
        <v>38</v>
      </c>
      <c r="D41" s="131">
        <v>6579796.7599999998</v>
      </c>
      <c r="E41" s="181">
        <f>E26+E27+E40</f>
        <v>5842962.4399999995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848602.75313600001</v>
      </c>
      <c r="E47" s="83">
        <v>729154.697637</v>
      </c>
      <c r="G47" s="79"/>
    </row>
    <row r="48" spans="2:10">
      <c r="B48" s="154" t="s">
        <v>6</v>
      </c>
      <c r="C48" s="23" t="s">
        <v>41</v>
      </c>
      <c r="D48" s="264">
        <v>729154.697637</v>
      </c>
      <c r="E48" s="83">
        <v>612924.46478000004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9.2843909999999994</v>
      </c>
      <c r="E50" s="83">
        <v>9.0238689999999995</v>
      </c>
    </row>
    <row r="51" spans="2:5">
      <c r="B51" s="133" t="s">
        <v>6</v>
      </c>
      <c r="C51" s="16" t="s">
        <v>231</v>
      </c>
      <c r="D51" s="314">
        <v>8.9681420000000003</v>
      </c>
      <c r="E51" s="85">
        <v>8.8582999999999998</v>
      </c>
    </row>
    <row r="52" spans="2:5" ht="12.75" customHeight="1">
      <c r="B52" s="133" t="s">
        <v>8</v>
      </c>
      <c r="C52" s="16" t="s">
        <v>232</v>
      </c>
      <c r="D52" s="314">
        <v>9.6596159999999998</v>
      </c>
      <c r="E52" s="85">
        <v>9.5353220000000007</v>
      </c>
    </row>
    <row r="53" spans="2:5" ht="13.5" thickBot="1">
      <c r="B53" s="134" t="s">
        <v>9</v>
      </c>
      <c r="C53" s="18" t="s">
        <v>41</v>
      </c>
      <c r="D53" s="268">
        <v>9.0238689999999995</v>
      </c>
      <c r="E53" s="187">
        <v>9.5329239999999995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D64+D69</f>
        <v>5838438.8200000003</v>
      </c>
      <c r="E58" s="33">
        <f>D58/E21</f>
        <v>0.99922580026032137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5831354.1699999999</v>
      </c>
      <c r="E64" s="97">
        <f>D64/E21</f>
        <v>0.99801329032674724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7084.65</v>
      </c>
      <c r="E69" s="95">
        <f>D69/E21</f>
        <v>1.212509933574038E-3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14141.01</v>
      </c>
      <c r="E72" s="150">
        <f>D72/E21</f>
        <v>2.4201781451122931E-3</v>
      </c>
    </row>
    <row r="73" spans="2:5">
      <c r="B73" s="164" t="s">
        <v>62</v>
      </c>
      <c r="C73" s="25" t="s">
        <v>65</v>
      </c>
      <c r="D73" s="26">
        <f>E17</f>
        <v>9617.39</v>
      </c>
      <c r="E73" s="27">
        <f>D73/E21</f>
        <v>1.6459784054336654E-3</v>
      </c>
    </row>
    <row r="74" spans="2:5">
      <c r="B74" s="162" t="s">
        <v>64</v>
      </c>
      <c r="C74" s="152" t="s">
        <v>66</v>
      </c>
      <c r="D74" s="153">
        <f>D58+D72-D73</f>
        <v>5842962.4400000004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5842962.4400000004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1"/>
  <sheetViews>
    <sheetView topLeftCell="A46" zoomScaleNormal="100" workbookViewId="0">
      <selection activeCell="G48" sqref="G4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6.425781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86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215236462.53999996</v>
      </c>
      <c r="E11" s="9">
        <f>E12+E13+E14</f>
        <v>227440661.02000001</v>
      </c>
    </row>
    <row r="12" spans="2:7">
      <c r="B12" s="137" t="s">
        <v>4</v>
      </c>
      <c r="C12" s="6" t="s">
        <v>5</v>
      </c>
      <c r="D12" s="90">
        <v>214606260.95999998</v>
      </c>
      <c r="E12" s="101">
        <v>226707110.84999999</v>
      </c>
    </row>
    <row r="13" spans="2:7">
      <c r="B13" s="137" t="s">
        <v>6</v>
      </c>
      <c r="C13" s="72" t="s">
        <v>7</v>
      </c>
      <c r="D13" s="90">
        <v>20.94</v>
      </c>
      <c r="E13" s="101">
        <v>1.61</v>
      </c>
    </row>
    <row r="14" spans="2:7">
      <c r="B14" s="137" t="s">
        <v>8</v>
      </c>
      <c r="C14" s="72" t="s">
        <v>10</v>
      </c>
      <c r="D14" s="90">
        <v>630180.64</v>
      </c>
      <c r="E14" s="101">
        <f>E15</f>
        <v>733548.56</v>
      </c>
    </row>
    <row r="15" spans="2:7">
      <c r="B15" s="137" t="s">
        <v>223</v>
      </c>
      <c r="C15" s="72" t="s">
        <v>11</v>
      </c>
      <c r="D15" s="90">
        <v>630180.64</v>
      </c>
      <c r="E15" s="101">
        <v>733548.56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365248.27</v>
      </c>
      <c r="E17" s="117">
        <f>SUM(E18:E19)</f>
        <v>4484557.67</v>
      </c>
    </row>
    <row r="18" spans="2:10">
      <c r="B18" s="137" t="s">
        <v>4</v>
      </c>
      <c r="C18" s="6" t="s">
        <v>11</v>
      </c>
      <c r="D18" s="90">
        <v>365248.27</v>
      </c>
      <c r="E18" s="102">
        <v>377423.34</v>
      </c>
    </row>
    <row r="19" spans="2:10">
      <c r="B19" s="137" t="s">
        <v>6</v>
      </c>
      <c r="C19" s="72" t="s">
        <v>225</v>
      </c>
      <c r="D19" s="90"/>
      <c r="E19" s="101">
        <v>4107134.33</v>
      </c>
    </row>
    <row r="20" spans="2:10" ht="13.5" customHeight="1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214871214.26999995</v>
      </c>
      <c r="E21" s="104">
        <f>E11-E17</f>
        <v>222956103.35000002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6.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  <c r="G25" s="256"/>
    </row>
    <row r="26" spans="2:10">
      <c r="B26" s="120" t="s">
        <v>15</v>
      </c>
      <c r="C26" s="121" t="s">
        <v>16</v>
      </c>
      <c r="D26" s="122">
        <v>244494022.05000001</v>
      </c>
      <c r="E26" s="123">
        <v>214871214.26999995</v>
      </c>
      <c r="G26" s="84"/>
    </row>
    <row r="27" spans="2:10">
      <c r="B27" s="10" t="s">
        <v>17</v>
      </c>
      <c r="C27" s="11" t="s">
        <v>228</v>
      </c>
      <c r="D27" s="182">
        <v>-4084907.08</v>
      </c>
      <c r="E27" s="180">
        <f>E28-E32</f>
        <v>-8527812.8999999464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44159742.210000001</v>
      </c>
      <c r="E28" s="81">
        <f>SUM(E29:E31)</f>
        <v>36301882.170000002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41851613.880000003</v>
      </c>
      <c r="E29" s="105">
        <v>35679050.969999999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2308128.33</v>
      </c>
      <c r="E31" s="105">
        <v>622831.19999999995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48244649.289999992</v>
      </c>
      <c r="E32" s="81">
        <f>SUM(E33:E39)</f>
        <v>44829695.069999948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34849660.359999999</v>
      </c>
      <c r="E33" s="105">
        <v>33281137.799999997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7967869.6800000006</v>
      </c>
      <c r="E35" s="105">
        <v>6940803.4399999995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5427119.25</v>
      </c>
      <c r="E39" s="184">
        <v>4607753.8299999554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-25537900.699999999</v>
      </c>
      <c r="E40" s="128">
        <f>16612673.97+28.01</f>
        <v>16612701.98</v>
      </c>
      <c r="G40" s="84"/>
    </row>
    <row r="41" spans="2:10" ht="13.5" thickBot="1">
      <c r="B41" s="129" t="s">
        <v>37</v>
      </c>
      <c r="C41" s="130" t="s">
        <v>38</v>
      </c>
      <c r="D41" s="131">
        <v>214871214.27000001</v>
      </c>
      <c r="E41" s="181">
        <f>E26+E27+E40</f>
        <v>222956103.34999999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5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13277441.303099999</v>
      </c>
      <c r="E47" s="83">
        <v>13063637.1686</v>
      </c>
      <c r="G47" s="311"/>
    </row>
    <row r="48" spans="2:10">
      <c r="B48" s="154" t="s">
        <v>6</v>
      </c>
      <c r="C48" s="23" t="s">
        <v>41</v>
      </c>
      <c r="D48" s="264">
        <v>13063637.1686</v>
      </c>
      <c r="E48" s="83">
        <v>12561147.05692446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18.414242358044898</v>
      </c>
      <c r="E50" s="83">
        <v>16.4480390489157</v>
      </c>
      <c r="G50" s="315"/>
    </row>
    <row r="51" spans="2:7">
      <c r="B51" s="133" t="s">
        <v>6</v>
      </c>
      <c r="C51" s="16" t="s">
        <v>231</v>
      </c>
      <c r="D51" s="314">
        <v>15.5731</v>
      </c>
      <c r="E51" s="85">
        <v>15.0059</v>
      </c>
    </row>
    <row r="52" spans="2:7">
      <c r="B52" s="133" t="s">
        <v>8</v>
      </c>
      <c r="C52" s="16" t="s">
        <v>232</v>
      </c>
      <c r="D52" s="314">
        <v>20.775600000000001</v>
      </c>
      <c r="E52" s="85">
        <v>17.749700000000001</v>
      </c>
    </row>
    <row r="53" spans="2:7" ht="12.75" customHeight="1" thickBot="1">
      <c r="B53" s="134" t="s">
        <v>9</v>
      </c>
      <c r="C53" s="18" t="s">
        <v>41</v>
      </c>
      <c r="D53" s="268">
        <v>16.4480390489157</v>
      </c>
      <c r="E53" s="187">
        <v>17.749661104962001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6.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D64+D69</f>
        <v>226707110.84999999</v>
      </c>
      <c r="E58" s="33">
        <f>D58/E21</f>
        <v>1.0168239731661957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5.5">
      <c r="B60" s="15" t="s">
        <v>6</v>
      </c>
      <c r="C60" s="16" t="s">
        <v>45</v>
      </c>
      <c r="D60" s="94">
        <v>0</v>
      </c>
      <c r="E60" s="95">
        <v>0</v>
      </c>
    </row>
    <row r="61" spans="2:7" ht="13.5" customHeight="1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226684090.91</v>
      </c>
      <c r="E64" s="97">
        <f>D64/E21</f>
        <v>1.0167207244116019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v>23019.94</v>
      </c>
      <c r="E69" s="95">
        <f>D69/E21</f>
        <v>1.0324875459391634E-4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1.61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733548.56</v>
      </c>
      <c r="E72" s="150">
        <f>D72/E21</f>
        <v>3.2901030695197606E-3</v>
      </c>
    </row>
    <row r="73" spans="2:5">
      <c r="B73" s="24" t="s">
        <v>62</v>
      </c>
      <c r="C73" s="25" t="s">
        <v>65</v>
      </c>
      <c r="D73" s="26">
        <f>E17</f>
        <v>4484557.67</v>
      </c>
      <c r="E73" s="27">
        <f>D73/E21</f>
        <v>2.0114083456868055E-2</v>
      </c>
    </row>
    <row r="74" spans="2:5">
      <c r="B74" s="151" t="s">
        <v>64</v>
      </c>
      <c r="C74" s="152" t="s">
        <v>66</v>
      </c>
      <c r="D74" s="153">
        <f>D58+D71+D72-D73</f>
        <v>222956103.35000002</v>
      </c>
      <c r="E74" s="70">
        <f>E58+E72-E73</f>
        <v>0.99999999277884744</v>
      </c>
    </row>
    <row r="75" spans="2:5">
      <c r="B75" s="15" t="s">
        <v>4</v>
      </c>
      <c r="C75" s="16" t="s">
        <v>67</v>
      </c>
      <c r="D75" s="94">
        <f>D74</f>
        <v>222956103.35000002</v>
      </c>
      <c r="E75" s="95">
        <f>E74</f>
        <v>0.99999999277884744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J81"/>
  <sheetViews>
    <sheetView topLeftCell="A49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101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15284233.879999999</v>
      </c>
      <c r="E11" s="9">
        <f>E12+E14</f>
        <v>12914954.289999999</v>
      </c>
    </row>
    <row r="12" spans="2:7">
      <c r="B12" s="137" t="s">
        <v>4</v>
      </c>
      <c r="C12" s="6" t="s">
        <v>5</v>
      </c>
      <c r="D12" s="90">
        <v>15284124.799999999</v>
      </c>
      <c r="E12" s="101">
        <f>12867900.78+27088.66</f>
        <v>12894989.439999999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>
        <v>109.08</v>
      </c>
      <c r="E14" s="101">
        <f>E15</f>
        <v>19964.849999999999</v>
      </c>
      <c r="G14" s="71"/>
    </row>
    <row r="15" spans="2:7">
      <c r="B15" s="137" t="s">
        <v>223</v>
      </c>
      <c r="C15" s="72" t="s">
        <v>11</v>
      </c>
      <c r="D15" s="90">
        <v>109.08</v>
      </c>
      <c r="E15" s="101">
        <v>19964.849999999999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24859.61</v>
      </c>
      <c r="E17" s="117">
        <f>E18</f>
        <v>21224.67</v>
      </c>
    </row>
    <row r="18" spans="2:10">
      <c r="B18" s="137" t="s">
        <v>4</v>
      </c>
      <c r="C18" s="6" t="s">
        <v>11</v>
      </c>
      <c r="D18" s="90">
        <v>24859.61</v>
      </c>
      <c r="E18" s="102">
        <v>21224.67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15259374.27</v>
      </c>
      <c r="E21" s="104">
        <f>E11-E17</f>
        <v>12893729.619999999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16871467.52</v>
      </c>
      <c r="E26" s="123">
        <v>15259374.27</v>
      </c>
      <c r="G26" s="84"/>
    </row>
    <row r="27" spans="2:10">
      <c r="B27" s="10" t="s">
        <v>17</v>
      </c>
      <c r="C27" s="11" t="s">
        <v>228</v>
      </c>
      <c r="D27" s="182">
        <v>-1397398.3</v>
      </c>
      <c r="E27" s="180">
        <v>-2339081.7999999998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15368.08</v>
      </c>
      <c r="E28" s="81">
        <v>13370.39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980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15368.08</v>
      </c>
      <c r="E31" s="105">
        <v>12390.39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1412766.38</v>
      </c>
      <c r="E32" s="81">
        <v>2352452.19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1379371.99</v>
      </c>
      <c r="E33" s="105">
        <v>2318199.21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33394.39</v>
      </c>
      <c r="E35" s="105">
        <v>29344.22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4908.76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-214694.95</v>
      </c>
      <c r="E40" s="128">
        <v>-26562.85</v>
      </c>
      <c r="G40" s="84"/>
    </row>
    <row r="41" spans="2:10" ht="13.5" thickBot="1">
      <c r="B41" s="129" t="s">
        <v>37</v>
      </c>
      <c r="C41" s="130" t="s">
        <v>38</v>
      </c>
      <c r="D41" s="131">
        <v>15259374.27</v>
      </c>
      <c r="E41" s="181">
        <f>E26+E27+E40</f>
        <v>12893729.619999999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1588235.8824489999</v>
      </c>
      <c r="E47" s="83">
        <v>1456356.8501579999</v>
      </c>
      <c r="G47" s="79"/>
    </row>
    <row r="48" spans="2:10">
      <c r="B48" s="154" t="s">
        <v>6</v>
      </c>
      <c r="C48" s="23" t="s">
        <v>41</v>
      </c>
      <c r="D48" s="264">
        <v>1456356.8501579999</v>
      </c>
      <c r="E48" s="83">
        <v>1233669.0815399999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10.622771999999999</v>
      </c>
      <c r="E50" s="83">
        <v>10.477771000000001</v>
      </c>
    </row>
    <row r="51" spans="2:5">
      <c r="B51" s="133" t="s">
        <v>6</v>
      </c>
      <c r="C51" s="16" t="s">
        <v>231</v>
      </c>
      <c r="D51" s="314">
        <v>10.432453000000001</v>
      </c>
      <c r="E51" s="85">
        <v>10.40508</v>
      </c>
    </row>
    <row r="52" spans="2:5" ht="12.75" customHeight="1">
      <c r="B52" s="133" t="s">
        <v>8</v>
      </c>
      <c r="C52" s="16" t="s">
        <v>232</v>
      </c>
      <c r="D52" s="314">
        <v>10.735756</v>
      </c>
      <c r="E52" s="85">
        <v>10.673690000000001</v>
      </c>
    </row>
    <row r="53" spans="2:5" ht="13.5" thickBot="1">
      <c r="B53" s="134" t="s">
        <v>9</v>
      </c>
      <c r="C53" s="18" t="s">
        <v>41</v>
      </c>
      <c r="D53" s="268">
        <v>10.477771000000001</v>
      </c>
      <c r="E53" s="186">
        <v>10.45153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D64+D69</f>
        <v>12894989.439999999</v>
      </c>
      <c r="E58" s="33">
        <f>D58/E21</f>
        <v>1.0000977079586069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12867900.779999999</v>
      </c>
      <c r="E64" s="97">
        <f>D64/E21</f>
        <v>0.99799679062914926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27088.66</v>
      </c>
      <c r="E69" s="95">
        <f>D69/E21</f>
        <v>2.1009173294576967E-3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19964.849999999999</v>
      </c>
      <c r="E72" s="150">
        <f>D72/E21</f>
        <v>1.5484154382322157E-3</v>
      </c>
    </row>
    <row r="73" spans="2:5">
      <c r="B73" s="164" t="s">
        <v>62</v>
      </c>
      <c r="C73" s="25" t="s">
        <v>65</v>
      </c>
      <c r="D73" s="26">
        <f>E17</f>
        <v>21224.67</v>
      </c>
      <c r="E73" s="27">
        <f>D73/E21</f>
        <v>1.6461233968391529E-3</v>
      </c>
    </row>
    <row r="74" spans="2:5">
      <c r="B74" s="162" t="s">
        <v>64</v>
      </c>
      <c r="C74" s="152" t="s">
        <v>66</v>
      </c>
      <c r="D74" s="153">
        <f>D58+D72-D73</f>
        <v>12893729.619999999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D74</f>
        <v>12893729.619999999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81"/>
  <sheetViews>
    <sheetView topLeftCell="A37"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4.8554687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74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15554377.110000001</v>
      </c>
      <c r="E11" s="9">
        <f>E12+E14</f>
        <v>12121338.550000001</v>
      </c>
    </row>
    <row r="12" spans="2:7">
      <c r="B12" s="137" t="s">
        <v>4</v>
      </c>
      <c r="C12" s="6" t="s">
        <v>5</v>
      </c>
      <c r="D12" s="90">
        <v>15550011.640000001</v>
      </c>
      <c r="E12" s="101">
        <f>12076956.9+9070.46</f>
        <v>12086027.360000001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>
        <v>4365.47</v>
      </c>
      <c r="E14" s="101">
        <f>E15</f>
        <v>35311.19</v>
      </c>
      <c r="G14" s="71"/>
    </row>
    <row r="15" spans="2:7">
      <c r="B15" s="137" t="s">
        <v>223</v>
      </c>
      <c r="C15" s="72" t="s">
        <v>11</v>
      </c>
      <c r="D15" s="90">
        <v>4365.47</v>
      </c>
      <c r="E15" s="101">
        <v>35311.19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29744.63</v>
      </c>
      <c r="E17" s="117">
        <f>E18</f>
        <v>20208.32</v>
      </c>
    </row>
    <row r="18" spans="2:10">
      <c r="B18" s="137" t="s">
        <v>4</v>
      </c>
      <c r="C18" s="6" t="s">
        <v>11</v>
      </c>
      <c r="D18" s="90">
        <v>29744.63</v>
      </c>
      <c r="E18" s="102">
        <v>20208.32</v>
      </c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15524632.48</v>
      </c>
      <c r="E21" s="104">
        <f>E11-E17</f>
        <v>12101130.23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20150135.27</v>
      </c>
      <c r="E26" s="123">
        <v>15524632.48</v>
      </c>
      <c r="G26" s="84"/>
    </row>
    <row r="27" spans="2:10">
      <c r="B27" s="10" t="s">
        <v>17</v>
      </c>
      <c r="C27" s="11" t="s">
        <v>228</v>
      </c>
      <c r="D27" s="182">
        <v>-3714281.03</v>
      </c>
      <c r="E27" s="180">
        <v>-3547022.39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19148.36</v>
      </c>
      <c r="E28" s="81">
        <v>141.91999999999999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141.91999999999999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19148.36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3733429.39</v>
      </c>
      <c r="E32" s="81">
        <v>3547164.31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3575072.09</v>
      </c>
      <c r="E33" s="105">
        <v>3427175.05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120509.19</v>
      </c>
      <c r="E35" s="105">
        <v>119442.11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37848.11</v>
      </c>
      <c r="E39" s="184">
        <v>547.15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-911221.76000000001</v>
      </c>
      <c r="E40" s="128">
        <v>123520.14</v>
      </c>
      <c r="G40" s="84"/>
    </row>
    <row r="41" spans="2:10" ht="13.5" thickBot="1">
      <c r="B41" s="129" t="s">
        <v>37</v>
      </c>
      <c r="C41" s="130" t="s">
        <v>38</v>
      </c>
      <c r="D41" s="131">
        <v>15524632.48</v>
      </c>
      <c r="E41" s="181">
        <f>E26+E27+E40</f>
        <v>12101130.23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2079305.972353</v>
      </c>
      <c r="E47" s="83">
        <v>1690287.5121830001</v>
      </c>
      <c r="G47" s="79"/>
    </row>
    <row r="48" spans="2:10">
      <c r="B48" s="154" t="s">
        <v>6</v>
      </c>
      <c r="C48" s="23" t="s">
        <v>41</v>
      </c>
      <c r="D48" s="264">
        <v>1690287.5121830001</v>
      </c>
      <c r="E48" s="83">
        <v>1301651.2243349999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9.6907990000000002</v>
      </c>
      <c r="E50" s="83">
        <v>9.1846099999999993</v>
      </c>
    </row>
    <row r="51" spans="2:5">
      <c r="B51" s="133" t="s">
        <v>6</v>
      </c>
      <c r="C51" s="16" t="s">
        <v>231</v>
      </c>
      <c r="D51" s="314">
        <v>9.1386389999999995</v>
      </c>
      <c r="E51" s="85">
        <v>9.0545899999999993</v>
      </c>
    </row>
    <row r="52" spans="2:5" ht="12.75" customHeight="1">
      <c r="B52" s="133" t="s">
        <v>8</v>
      </c>
      <c r="C52" s="16" t="s">
        <v>232</v>
      </c>
      <c r="D52" s="314">
        <v>9.7986120000000003</v>
      </c>
      <c r="E52" s="85">
        <v>9.2977220000000003</v>
      </c>
    </row>
    <row r="53" spans="2:5" ht="13.5" thickBot="1">
      <c r="B53" s="134" t="s">
        <v>9</v>
      </c>
      <c r="C53" s="18" t="s">
        <v>41</v>
      </c>
      <c r="D53" s="268">
        <v>9.1846099999999993</v>
      </c>
      <c r="E53" s="187">
        <v>9.2967530000000007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D64+D69</f>
        <v>12086027.360000001</v>
      </c>
      <c r="E58" s="33">
        <f>D58/E21</f>
        <v>0.99875194550319291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12076956.9</v>
      </c>
      <c r="E64" s="97">
        <f>D64/E21</f>
        <v>0.99800239072379604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9070.4599999999991</v>
      </c>
      <c r="E69" s="95">
        <f>D69/E21</f>
        <v>7.4955477939683314E-4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35311.19</v>
      </c>
      <c r="E72" s="150">
        <f>D72/E21</f>
        <v>2.9180076016750711E-3</v>
      </c>
    </row>
    <row r="73" spans="2:5">
      <c r="B73" s="164" t="s">
        <v>62</v>
      </c>
      <c r="C73" s="25" t="s">
        <v>65</v>
      </c>
      <c r="D73" s="26">
        <f>E17</f>
        <v>20208.32</v>
      </c>
      <c r="E73" s="27">
        <f>D73/E21</f>
        <v>1.6699531048679573E-3</v>
      </c>
    </row>
    <row r="74" spans="2:5">
      <c r="B74" s="162" t="s">
        <v>64</v>
      </c>
      <c r="C74" s="152" t="s">
        <v>66</v>
      </c>
      <c r="D74" s="153">
        <f>D58+D72-D73</f>
        <v>12101130.23</v>
      </c>
      <c r="E74" s="70">
        <f>E58+E71+E72-E73</f>
        <v>1</v>
      </c>
    </row>
    <row r="75" spans="2:5">
      <c r="B75" s="133" t="s">
        <v>4</v>
      </c>
      <c r="C75" s="16" t="s">
        <v>67</v>
      </c>
      <c r="D75" s="94">
        <f>D74</f>
        <v>12101130.23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4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21" sqref="E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180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10345735.68</v>
      </c>
      <c r="E11" s="9" t="s">
        <v>260</v>
      </c>
    </row>
    <row r="12" spans="2:7">
      <c r="B12" s="137" t="s">
        <v>4</v>
      </c>
      <c r="C12" s="6" t="s">
        <v>5</v>
      </c>
      <c r="D12" s="90">
        <v>10345735.68</v>
      </c>
      <c r="E12" s="101">
        <v>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 ht="21" customHeight="1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10345735.68</v>
      </c>
      <c r="E21" s="104" t="str">
        <f>E11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10593490.5</v>
      </c>
      <c r="E26" s="123">
        <v>10345735.68</v>
      </c>
      <c r="G26" s="84"/>
    </row>
    <row r="27" spans="2:10">
      <c r="B27" s="10" t="s">
        <v>17</v>
      </c>
      <c r="C27" s="11" t="s">
        <v>228</v>
      </c>
      <c r="D27" s="182">
        <v>-282448.65000000002</v>
      </c>
      <c r="E27" s="180">
        <v>-10743667.58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/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282448.65000000002</v>
      </c>
      <c r="E32" s="81">
        <v>10743667.58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282448.65000000002</v>
      </c>
      <c r="E33" s="105">
        <v>10743667.58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34693.83</v>
      </c>
      <c r="E40" s="128">
        <v>397931.9</v>
      </c>
      <c r="G40" s="84"/>
    </row>
    <row r="41" spans="2:10" ht="13.5" thickBot="1">
      <c r="B41" s="129" t="s">
        <v>37</v>
      </c>
      <c r="C41" s="130" t="s">
        <v>38</v>
      </c>
      <c r="D41" s="131">
        <v>10345735.68</v>
      </c>
      <c r="E41" s="181">
        <f>E26+E27+E40</f>
        <v>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83"/>
      <c r="G47" s="79"/>
    </row>
    <row r="48" spans="2:10">
      <c r="B48" s="154" t="s">
        <v>6</v>
      </c>
      <c r="C48" s="23" t="s">
        <v>41</v>
      </c>
      <c r="D48" s="234"/>
      <c r="E48" s="87"/>
      <c r="G48" s="79"/>
    </row>
    <row r="49" spans="2:5">
      <c r="B49" s="151" t="s">
        <v>23</v>
      </c>
      <c r="C49" s="155" t="s">
        <v>230</v>
      </c>
      <c r="D49" s="235"/>
      <c r="E49" s="156"/>
    </row>
    <row r="50" spans="2:5">
      <c r="B50" s="133" t="s">
        <v>4</v>
      </c>
      <c r="C50" s="16" t="s">
        <v>40</v>
      </c>
      <c r="D50" s="233"/>
      <c r="E50" s="85"/>
    </row>
    <row r="51" spans="2:5">
      <c r="B51" s="133" t="s">
        <v>6</v>
      </c>
      <c r="C51" s="16" t="s">
        <v>231</v>
      </c>
      <c r="D51" s="238"/>
      <c r="E51" s="242"/>
    </row>
    <row r="52" spans="2:5" ht="12.75" customHeight="1">
      <c r="B52" s="133" t="s">
        <v>8</v>
      </c>
      <c r="C52" s="16" t="s">
        <v>232</v>
      </c>
      <c r="D52" s="238"/>
      <c r="E52" s="242"/>
    </row>
    <row r="53" spans="2:5" ht="13.5" customHeight="1" thickBot="1">
      <c r="B53" s="134" t="s">
        <v>9</v>
      </c>
      <c r="C53" s="18" t="s">
        <v>41</v>
      </c>
      <c r="D53" s="237"/>
      <c r="E53" s="186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0</v>
      </c>
      <c r="E58" s="33">
        <f>E64</f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4" customHeight="1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0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D64</f>
        <v>0</v>
      </c>
      <c r="E74" s="70">
        <v>0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179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6612171.4900000002</v>
      </c>
      <c r="E11" s="9">
        <f>E12</f>
        <v>6831000.0899999999</v>
      </c>
    </row>
    <row r="12" spans="2:7">
      <c r="B12" s="137" t="s">
        <v>4</v>
      </c>
      <c r="C12" s="6" t="s">
        <v>5</v>
      </c>
      <c r="D12" s="90">
        <v>6612171.4900000002</v>
      </c>
      <c r="E12" s="101">
        <v>6831000.0899999999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6612171.4900000002</v>
      </c>
      <c r="E21" s="181">
        <f>E11</f>
        <v>6831000.0899999999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6672900.4199999999</v>
      </c>
      <c r="E26" s="123">
        <v>6612171.4900000002</v>
      </c>
      <c r="G26" s="84"/>
    </row>
    <row r="27" spans="2:10">
      <c r="B27" s="10" t="s">
        <v>17</v>
      </c>
      <c r="C27" s="11" t="s">
        <v>228</v>
      </c>
      <c r="D27" s="182">
        <v>-94402.68</v>
      </c>
      <c r="E27" s="180">
        <v>-52545.4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/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94402.68</v>
      </c>
      <c r="E32" s="81">
        <v>52545.4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94402.68</v>
      </c>
      <c r="E33" s="105">
        <v>52545.4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33673.75</v>
      </c>
      <c r="E40" s="128">
        <v>271374</v>
      </c>
      <c r="G40" s="84"/>
    </row>
    <row r="41" spans="2:10" ht="13.5" thickBot="1">
      <c r="B41" s="129" t="s">
        <v>37</v>
      </c>
      <c r="C41" s="130" t="s">
        <v>38</v>
      </c>
      <c r="D41" s="131">
        <v>6612171.4900000002</v>
      </c>
      <c r="E41" s="181">
        <f>E26+E27+E40</f>
        <v>6831000.0899999999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83"/>
      <c r="G47" s="79"/>
    </row>
    <row r="48" spans="2:10">
      <c r="B48" s="154" t="s">
        <v>6</v>
      </c>
      <c r="C48" s="23" t="s">
        <v>41</v>
      </c>
      <c r="D48" s="234"/>
      <c r="E48" s="87"/>
      <c r="G48" s="79"/>
    </row>
    <row r="49" spans="2:5">
      <c r="B49" s="151" t="s">
        <v>23</v>
      </c>
      <c r="C49" s="155" t="s">
        <v>230</v>
      </c>
      <c r="D49" s="240"/>
      <c r="E49" s="156"/>
    </row>
    <row r="50" spans="2:5">
      <c r="B50" s="133" t="s">
        <v>4</v>
      </c>
      <c r="C50" s="16" t="s">
        <v>40</v>
      </c>
      <c r="D50" s="263"/>
      <c r="E50" s="85"/>
    </row>
    <row r="51" spans="2:5">
      <c r="B51" s="133" t="s">
        <v>6</v>
      </c>
      <c r="C51" s="16" t="s">
        <v>231</v>
      </c>
      <c r="D51" s="263"/>
      <c r="E51" s="85"/>
    </row>
    <row r="52" spans="2:5">
      <c r="B52" s="133" t="s">
        <v>8</v>
      </c>
      <c r="C52" s="16" t="s">
        <v>232</v>
      </c>
      <c r="D52" s="263"/>
      <c r="E52" s="85"/>
    </row>
    <row r="53" spans="2:5" ht="14.25" customHeight="1" thickBot="1">
      <c r="B53" s="134" t="s">
        <v>9</v>
      </c>
      <c r="C53" s="18" t="s">
        <v>41</v>
      </c>
      <c r="D53" s="241"/>
      <c r="E53" s="86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6831000.0899999999</v>
      </c>
      <c r="E58" s="33">
        <f>E64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6831000.0899999999</v>
      </c>
      <c r="E64" s="97">
        <f>D64/E21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6831000.0899999999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6831000.0899999999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1" sqref="G21:H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107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4825.6400000000003</v>
      </c>
      <c r="E11" s="261">
        <f>E12</f>
        <v>15531.71</v>
      </c>
    </row>
    <row r="12" spans="2:7">
      <c r="B12" s="137" t="s">
        <v>4</v>
      </c>
      <c r="C12" s="6" t="s">
        <v>5</v>
      </c>
      <c r="D12" s="90">
        <v>4825.6400000000003</v>
      </c>
      <c r="E12" s="190">
        <v>15531.71</v>
      </c>
    </row>
    <row r="13" spans="2:7">
      <c r="B13" s="137" t="s">
        <v>6</v>
      </c>
      <c r="C13" s="72" t="s">
        <v>7</v>
      </c>
      <c r="D13" s="90"/>
      <c r="E13" s="190"/>
    </row>
    <row r="14" spans="2:7">
      <c r="B14" s="137" t="s">
        <v>8</v>
      </c>
      <c r="C14" s="72" t="s">
        <v>10</v>
      </c>
      <c r="D14" s="90"/>
      <c r="E14" s="190"/>
      <c r="G14" s="71"/>
    </row>
    <row r="15" spans="2:7">
      <c r="B15" s="137" t="s">
        <v>223</v>
      </c>
      <c r="C15" s="72" t="s">
        <v>11</v>
      </c>
      <c r="D15" s="90"/>
      <c r="E15" s="190"/>
    </row>
    <row r="16" spans="2:7">
      <c r="B16" s="138" t="s">
        <v>224</v>
      </c>
      <c r="C16" s="115" t="s">
        <v>12</v>
      </c>
      <c r="D16" s="91"/>
      <c r="E16" s="184"/>
    </row>
    <row r="17" spans="2:10">
      <c r="B17" s="10" t="s">
        <v>13</v>
      </c>
      <c r="C17" s="12" t="s">
        <v>65</v>
      </c>
      <c r="D17" s="160"/>
      <c r="E17" s="180"/>
    </row>
    <row r="18" spans="2:10">
      <c r="B18" s="137" t="s">
        <v>4</v>
      </c>
      <c r="C18" s="6" t="s">
        <v>11</v>
      </c>
      <c r="D18" s="90"/>
      <c r="E18" s="184"/>
    </row>
    <row r="19" spans="2:10" ht="13.5" customHeight="1">
      <c r="B19" s="137" t="s">
        <v>6</v>
      </c>
      <c r="C19" s="72" t="s">
        <v>225</v>
      </c>
      <c r="D19" s="90"/>
      <c r="E19" s="190"/>
    </row>
    <row r="20" spans="2:10" ht="13.5" thickBot="1">
      <c r="B20" s="139" t="s">
        <v>8</v>
      </c>
      <c r="C20" s="73" t="s">
        <v>14</v>
      </c>
      <c r="D20" s="92"/>
      <c r="E20" s="262"/>
    </row>
    <row r="21" spans="2:10" ht="13.5" thickBot="1">
      <c r="B21" s="346" t="s">
        <v>227</v>
      </c>
      <c r="C21" s="347"/>
      <c r="D21" s="93">
        <f>D11-D17</f>
        <v>4825.6400000000003</v>
      </c>
      <c r="E21" s="191">
        <f>E11</f>
        <v>15531.71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6562.99</v>
      </c>
      <c r="E26" s="123">
        <v>4825.6400000000003</v>
      </c>
      <c r="G26" s="84"/>
      <c r="H26" s="107"/>
    </row>
    <row r="27" spans="2:10">
      <c r="B27" s="10" t="s">
        <v>17</v>
      </c>
      <c r="C27" s="11" t="s">
        <v>228</v>
      </c>
      <c r="D27" s="182">
        <v>-945.96</v>
      </c>
      <c r="E27" s="108">
        <f>E28-E32</f>
        <v>12056.670000000006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15396.48</v>
      </c>
      <c r="E28" s="81">
        <f>SUM(E29:E31)</f>
        <v>64355.200000000004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246.84</v>
      </c>
      <c r="E29" s="105">
        <v>240.01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15149.64</v>
      </c>
      <c r="E31" s="105">
        <v>64115.19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16342.44</v>
      </c>
      <c r="E32" s="81">
        <f>SUM(E33:E39)</f>
        <v>52298.53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1307.21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10.98</v>
      </c>
      <c r="E35" s="105">
        <v>34.119999999999997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170.44</v>
      </c>
      <c r="E37" s="105">
        <v>298.74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14853.81</v>
      </c>
      <c r="E39" s="106">
        <v>51965.67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-791.39</v>
      </c>
      <c r="E40" s="128">
        <v>-1350.6</v>
      </c>
      <c r="G40" s="84"/>
    </row>
    <row r="41" spans="2:10" ht="13.5" thickBot="1">
      <c r="B41" s="129" t="s">
        <v>37</v>
      </c>
      <c r="C41" s="130" t="s">
        <v>38</v>
      </c>
      <c r="D41" s="131">
        <v>4825.6399999999994</v>
      </c>
      <c r="E41" s="104">
        <f>E26+E27+E40</f>
        <v>15531.710000000005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43.881999999999998</v>
      </c>
      <c r="E47" s="85">
        <v>36.862299999999998</v>
      </c>
      <c r="G47" s="79"/>
    </row>
    <row r="48" spans="2:10">
      <c r="B48" s="154" t="s">
        <v>6</v>
      </c>
      <c r="C48" s="23" t="s">
        <v>41</v>
      </c>
      <c r="D48" s="264">
        <v>36.862299999999998</v>
      </c>
      <c r="E48" s="265">
        <v>112.1585</v>
      </c>
      <c r="G48" s="79"/>
    </row>
    <row r="49" spans="2:5">
      <c r="B49" s="151" t="s">
        <v>23</v>
      </c>
      <c r="C49" s="155" t="s">
        <v>230</v>
      </c>
      <c r="D49" s="266"/>
      <c r="E49" s="85"/>
    </row>
    <row r="50" spans="2:5">
      <c r="B50" s="133" t="s">
        <v>4</v>
      </c>
      <c r="C50" s="16" t="s">
        <v>40</v>
      </c>
      <c r="D50" s="263">
        <v>149.56</v>
      </c>
      <c r="E50" s="85">
        <v>130.91</v>
      </c>
    </row>
    <row r="51" spans="2:5">
      <c r="B51" s="133" t="s">
        <v>6</v>
      </c>
      <c r="C51" s="16" t="s">
        <v>231</v>
      </c>
      <c r="D51" s="267">
        <v>124.05</v>
      </c>
      <c r="E51" s="85">
        <v>119.24</v>
      </c>
    </row>
    <row r="52" spans="2:5">
      <c r="B52" s="133" t="s">
        <v>8</v>
      </c>
      <c r="C52" s="16" t="s">
        <v>232</v>
      </c>
      <c r="D52" s="267">
        <v>167.61</v>
      </c>
      <c r="E52" s="85">
        <v>138.47999999999999</v>
      </c>
    </row>
    <row r="53" spans="2:5" ht="12.75" customHeight="1" thickBot="1">
      <c r="B53" s="134" t="s">
        <v>9</v>
      </c>
      <c r="C53" s="18" t="s">
        <v>41</v>
      </c>
      <c r="D53" s="268">
        <v>130.91</v>
      </c>
      <c r="E53" s="269">
        <v>138.47999999999999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15531.71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15531.71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15531.71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15531.71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41" sqref="E4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112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501347.69</v>
      </c>
      <c r="E11" s="9">
        <f>E12</f>
        <v>453568.3</v>
      </c>
    </row>
    <row r="12" spans="2:7">
      <c r="B12" s="137" t="s">
        <v>4</v>
      </c>
      <c r="C12" s="6" t="s">
        <v>5</v>
      </c>
      <c r="D12" s="90">
        <v>501347.69</v>
      </c>
      <c r="E12" s="101">
        <v>453568.3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501347.69</v>
      </c>
      <c r="E21" s="181">
        <f>E11</f>
        <v>453568.3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344997.92</v>
      </c>
      <c r="E26" s="123">
        <v>501347.69</v>
      </c>
      <c r="G26" s="84"/>
    </row>
    <row r="27" spans="2:10">
      <c r="B27" s="10" t="s">
        <v>17</v>
      </c>
      <c r="C27" s="11" t="s">
        <v>228</v>
      </c>
      <c r="D27" s="182">
        <v>177532.09</v>
      </c>
      <c r="E27" s="180">
        <f>E28-E32</f>
        <v>-53364.19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240111.35</v>
      </c>
      <c r="E28" s="81">
        <f>SUM(E29:E31)</f>
        <v>7658.53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226785.03</v>
      </c>
      <c r="E29" s="105">
        <v>7658.53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13326.32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62579.26</v>
      </c>
      <c r="E32" s="81">
        <f>SUM(E33:E39)</f>
        <v>61022.720000000001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31061.439999999999</v>
      </c>
      <c r="E33" s="105">
        <v>28128.83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326.83</v>
      </c>
      <c r="E35" s="105">
        <v>569.16999999999996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6988.45</v>
      </c>
      <c r="E37" s="105">
        <v>8832.15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24202.54</v>
      </c>
      <c r="E39" s="184">
        <v>23492.57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-21182.32</v>
      </c>
      <c r="E40" s="128">
        <v>5584.8</v>
      </c>
      <c r="G40" s="84"/>
    </row>
    <row r="41" spans="2:10" ht="13.5" thickBot="1">
      <c r="B41" s="129" t="s">
        <v>37</v>
      </c>
      <c r="C41" s="130" t="s">
        <v>38</v>
      </c>
      <c r="D41" s="131">
        <v>501347.69</v>
      </c>
      <c r="E41" s="181">
        <f>E26+E27+E40</f>
        <v>453568.3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2673.7806999999998</v>
      </c>
      <c r="E47" s="85">
        <v>4064.4319999999998</v>
      </c>
      <c r="G47" s="79"/>
    </row>
    <row r="48" spans="2:10">
      <c r="B48" s="154" t="s">
        <v>6</v>
      </c>
      <c r="C48" s="23" t="s">
        <v>41</v>
      </c>
      <c r="D48" s="264">
        <v>4064.4319999999998</v>
      </c>
      <c r="E48" s="85">
        <v>3629.4175</v>
      </c>
      <c r="G48" s="79"/>
    </row>
    <row r="49" spans="2:5">
      <c r="B49" s="151" t="s">
        <v>23</v>
      </c>
      <c r="C49" s="155" t="s">
        <v>230</v>
      </c>
      <c r="D49" s="266"/>
      <c r="E49" s="85"/>
    </row>
    <row r="50" spans="2:5">
      <c r="B50" s="133" t="s">
        <v>4</v>
      </c>
      <c r="C50" s="16" t="s">
        <v>40</v>
      </c>
      <c r="D50" s="263">
        <v>129.03</v>
      </c>
      <c r="E50" s="85">
        <v>123.35</v>
      </c>
    </row>
    <row r="51" spans="2:5">
      <c r="B51" s="133" t="s">
        <v>6</v>
      </c>
      <c r="C51" s="16" t="s">
        <v>231</v>
      </c>
      <c r="D51" s="267">
        <v>120.36</v>
      </c>
      <c r="E51" s="85">
        <v>119.04</v>
      </c>
    </row>
    <row r="52" spans="2:5">
      <c r="B52" s="133" t="s">
        <v>8</v>
      </c>
      <c r="C52" s="16" t="s">
        <v>232</v>
      </c>
      <c r="D52" s="267">
        <v>134.33000000000001</v>
      </c>
      <c r="E52" s="85">
        <v>125.46000000000001</v>
      </c>
    </row>
    <row r="53" spans="2:5" ht="13.5" customHeight="1" thickBot="1">
      <c r="B53" s="134" t="s">
        <v>9</v>
      </c>
      <c r="C53" s="18" t="s">
        <v>41</v>
      </c>
      <c r="D53" s="268">
        <v>123.35</v>
      </c>
      <c r="E53" s="269">
        <v>124.97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453568.3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453568.3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453568.3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453568.3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D91" sqref="D9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110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9871118.3200000003</v>
      </c>
      <c r="E11" s="9">
        <f>E12</f>
        <v>6583875.2999999998</v>
      </c>
    </row>
    <row r="12" spans="2:7">
      <c r="B12" s="137" t="s">
        <v>4</v>
      </c>
      <c r="C12" s="6" t="s">
        <v>5</v>
      </c>
      <c r="D12" s="90">
        <v>9871118.3200000003</v>
      </c>
      <c r="E12" s="101">
        <v>6583875.2999999998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9871118.3200000003</v>
      </c>
      <c r="E21" s="181">
        <f>E11</f>
        <v>6583875.2999999998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1469834.89</v>
      </c>
      <c r="E26" s="123">
        <v>9871118.3200000003</v>
      </c>
      <c r="G26" s="84"/>
    </row>
    <row r="27" spans="2:10">
      <c r="B27" s="10" t="s">
        <v>17</v>
      </c>
      <c r="C27" s="11" t="s">
        <v>228</v>
      </c>
      <c r="D27" s="182">
        <v>8572082.5899999999</v>
      </c>
      <c r="E27" s="180">
        <f>E28-E32</f>
        <v>-3490726.14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9782639.1600000001</v>
      </c>
      <c r="E28" s="81">
        <f>SUM(E29:E31)</f>
        <v>1935159.69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2814958.51</v>
      </c>
      <c r="E29" s="105">
        <v>204982.21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6967680.6500000004</v>
      </c>
      <c r="E31" s="105">
        <v>1730177.48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1210556.57</v>
      </c>
      <c r="E32" s="81">
        <f>SUM(E33:E39)</f>
        <v>5425885.8300000001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268535.3</v>
      </c>
      <c r="E33" s="105">
        <v>625738.37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3292.19</v>
      </c>
      <c r="E35" s="105">
        <v>8039.35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88761.06</v>
      </c>
      <c r="E37" s="105">
        <v>115366.63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849968.02</v>
      </c>
      <c r="E39" s="184">
        <v>4676741.4800000004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-170799.16</v>
      </c>
      <c r="E40" s="128">
        <v>203483.12</v>
      </c>
      <c r="G40" s="84"/>
    </row>
    <row r="41" spans="2:10" ht="13.5" thickBot="1">
      <c r="B41" s="129" t="s">
        <v>37</v>
      </c>
      <c r="C41" s="130" t="s">
        <v>38</v>
      </c>
      <c r="D41" s="131">
        <v>9871118.3200000003</v>
      </c>
      <c r="E41" s="181">
        <f>E26+E27+E40</f>
        <v>6583875.2999999998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9212.3778999999995</v>
      </c>
      <c r="E47" s="185">
        <v>62203.783000000003</v>
      </c>
      <c r="G47" s="79"/>
    </row>
    <row r="48" spans="2:10">
      <c r="B48" s="154" t="s">
        <v>6</v>
      </c>
      <c r="C48" s="23" t="s">
        <v>41</v>
      </c>
      <c r="D48" s="264">
        <v>62203.783000000003</v>
      </c>
      <c r="E48" s="185">
        <v>39962.8243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159.55000000000001</v>
      </c>
      <c r="E50" s="185">
        <v>158.69</v>
      </c>
    </row>
    <row r="51" spans="2:5">
      <c r="B51" s="133" t="s">
        <v>6</v>
      </c>
      <c r="C51" s="16" t="s">
        <v>231</v>
      </c>
      <c r="D51" s="267">
        <v>158.02000000000001</v>
      </c>
      <c r="E51" s="85">
        <v>157.13</v>
      </c>
    </row>
    <row r="52" spans="2:5">
      <c r="B52" s="133" t="s">
        <v>8</v>
      </c>
      <c r="C52" s="16" t="s">
        <v>232</v>
      </c>
      <c r="D52" s="267">
        <v>162.41999999999999</v>
      </c>
      <c r="E52" s="85">
        <v>164.75</v>
      </c>
    </row>
    <row r="53" spans="2:5" ht="13.5" customHeight="1" thickBot="1">
      <c r="B53" s="134" t="s">
        <v>9</v>
      </c>
      <c r="C53" s="18" t="s">
        <v>41</v>
      </c>
      <c r="D53" s="268">
        <v>158.69</v>
      </c>
      <c r="E53" s="269">
        <v>164.75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6583875.2999999998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6583875.2999999998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6583875.2999999998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6583875.2999999998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 customHeight="1">
      <c r="B6" s="338" t="s">
        <v>108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 customHeight="1">
      <c r="B8" s="340" t="s">
        <v>18</v>
      </c>
      <c r="C8" s="340"/>
      <c r="D8" s="340"/>
      <c r="E8" s="340"/>
    </row>
    <row r="9" spans="2:7" ht="16.5" customHeight="1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563116.12</v>
      </c>
      <c r="E11" s="9">
        <f>E12</f>
        <v>365306.71</v>
      </c>
    </row>
    <row r="12" spans="2:7">
      <c r="B12" s="137" t="s">
        <v>4</v>
      </c>
      <c r="C12" s="6" t="s">
        <v>5</v>
      </c>
      <c r="D12" s="90">
        <v>563116.12</v>
      </c>
      <c r="E12" s="101">
        <v>365306.71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customHeight="1" thickBot="1">
      <c r="B21" s="344" t="s">
        <v>227</v>
      </c>
      <c r="C21" s="345"/>
      <c r="D21" s="93">
        <f>D11-D17</f>
        <v>563116.12</v>
      </c>
      <c r="E21" s="181">
        <f>E11</f>
        <v>365306.71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 customHeight="1">
      <c r="B23" s="340" t="s">
        <v>221</v>
      </c>
      <c r="C23" s="340"/>
      <c r="D23" s="340"/>
      <c r="E23" s="340"/>
      <c r="G23" s="79"/>
    </row>
    <row r="24" spans="2:10" ht="15.75" customHeight="1" thickBot="1">
      <c r="B24" s="339" t="s">
        <v>222</v>
      </c>
      <c r="C24" s="339"/>
      <c r="D24" s="339"/>
      <c r="E24" s="33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390178.54</v>
      </c>
      <c r="E26" s="123">
        <v>563116.12</v>
      </c>
      <c r="G26" s="84"/>
    </row>
    <row r="27" spans="2:10">
      <c r="B27" s="10" t="s">
        <v>17</v>
      </c>
      <c r="C27" s="11" t="s">
        <v>228</v>
      </c>
      <c r="D27" s="182">
        <v>203623.54</v>
      </c>
      <c r="E27" s="180">
        <f>E28-E32</f>
        <v>-194125.61000000004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241119.8</v>
      </c>
      <c r="E28" s="81">
        <f>SUM(E29:E31)</f>
        <v>2857.21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241119.8</v>
      </c>
      <c r="E29" s="105">
        <v>2857.21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37496.26</v>
      </c>
      <c r="E32" s="81">
        <f>SUM(E33:E39)</f>
        <v>196982.82000000004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19590.330000000002</v>
      </c>
      <c r="E33" s="105">
        <v>164982.51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469.98</v>
      </c>
      <c r="E35" s="105">
        <v>689.66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7893.09</v>
      </c>
      <c r="E37" s="105">
        <v>7599.17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9542.86</v>
      </c>
      <c r="E39" s="184">
        <v>23711.48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-30685.96</v>
      </c>
      <c r="E40" s="128">
        <v>-3683.8</v>
      </c>
      <c r="G40" s="84"/>
    </row>
    <row r="41" spans="2:10" ht="13.5" thickBot="1">
      <c r="B41" s="129" t="s">
        <v>37</v>
      </c>
      <c r="C41" s="130" t="s">
        <v>38</v>
      </c>
      <c r="D41" s="131">
        <v>563116.12</v>
      </c>
      <c r="E41" s="181">
        <f>E26+E27+E40</f>
        <v>365306.70999999996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 customHeight="1">
      <c r="B43" s="341" t="s">
        <v>60</v>
      </c>
      <c r="C43" s="341"/>
      <c r="D43" s="341"/>
      <c r="E43" s="341"/>
      <c r="G43" s="79"/>
    </row>
    <row r="44" spans="2:10" ht="18" customHeight="1" thickBot="1">
      <c r="B44" s="339" t="s">
        <v>256</v>
      </c>
      <c r="C44" s="339"/>
      <c r="D44" s="339"/>
      <c r="E44" s="339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3556.7779</v>
      </c>
      <c r="E47" s="85">
        <v>5409.3768</v>
      </c>
      <c r="G47" s="79"/>
    </row>
    <row r="48" spans="2:10">
      <c r="B48" s="154" t="s">
        <v>6</v>
      </c>
      <c r="C48" s="23" t="s">
        <v>41</v>
      </c>
      <c r="D48" s="264">
        <v>5409.3768</v>
      </c>
      <c r="E48" s="85">
        <v>3518.6545000000001</v>
      </c>
      <c r="G48" s="79"/>
    </row>
    <row r="49" spans="2:5">
      <c r="B49" s="151" t="s">
        <v>23</v>
      </c>
      <c r="C49" s="155" t="s">
        <v>230</v>
      </c>
      <c r="D49" s="266"/>
      <c r="E49" s="85"/>
    </row>
    <row r="50" spans="2:5">
      <c r="B50" s="133" t="s">
        <v>4</v>
      </c>
      <c r="C50" s="16" t="s">
        <v>40</v>
      </c>
      <c r="D50" s="263">
        <v>109.7</v>
      </c>
      <c r="E50" s="85">
        <v>104.1</v>
      </c>
    </row>
    <row r="51" spans="2:5">
      <c r="B51" s="133" t="s">
        <v>6</v>
      </c>
      <c r="C51" s="16" t="s">
        <v>231</v>
      </c>
      <c r="D51" s="267">
        <v>101.26</v>
      </c>
      <c r="E51" s="85">
        <v>98.84</v>
      </c>
    </row>
    <row r="52" spans="2:5">
      <c r="B52" s="133" t="s">
        <v>8</v>
      </c>
      <c r="C52" s="16" t="s">
        <v>232</v>
      </c>
      <c r="D52" s="267">
        <v>116.61</v>
      </c>
      <c r="E52" s="85">
        <v>104.63</v>
      </c>
    </row>
    <row r="53" spans="2:5" ht="12.75" customHeight="1" thickBot="1">
      <c r="B53" s="134" t="s">
        <v>9</v>
      </c>
      <c r="C53" s="18" t="s">
        <v>41</v>
      </c>
      <c r="D53" s="268">
        <v>104.1</v>
      </c>
      <c r="E53" s="269">
        <v>103.82</v>
      </c>
    </row>
    <row r="54" spans="2:5">
      <c r="B54" s="140"/>
      <c r="C54" s="141"/>
      <c r="D54" s="142"/>
      <c r="E54" s="142"/>
    </row>
    <row r="55" spans="2:5" ht="13.5" customHeight="1">
      <c r="B55" s="341" t="s">
        <v>62</v>
      </c>
      <c r="C55" s="341"/>
      <c r="D55" s="341"/>
      <c r="E55" s="341"/>
    </row>
    <row r="56" spans="2:5" ht="14.25" customHeight="1" thickBot="1">
      <c r="B56" s="339" t="s">
        <v>233</v>
      </c>
      <c r="C56" s="339"/>
      <c r="D56" s="339"/>
      <c r="E56" s="339"/>
    </row>
    <row r="57" spans="2:5" ht="23.25" customHeight="1" thickBot="1">
      <c r="B57" s="352" t="s">
        <v>42</v>
      </c>
      <c r="C57" s="353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365306.71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365306.71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365306.71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365306.71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109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2786389.56</v>
      </c>
      <c r="E11" s="9">
        <f>E12</f>
        <v>2177830.7000000002</v>
      </c>
    </row>
    <row r="12" spans="2:7">
      <c r="B12" s="137" t="s">
        <v>4</v>
      </c>
      <c r="C12" s="6" t="s">
        <v>5</v>
      </c>
      <c r="D12" s="90">
        <v>2786389.56</v>
      </c>
      <c r="E12" s="101">
        <v>2177830.7000000002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2786389.56</v>
      </c>
      <c r="E21" s="181">
        <f>E11</f>
        <v>2177830.7000000002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1402924.7</v>
      </c>
      <c r="E26" s="123">
        <v>2786389.56</v>
      </c>
      <c r="G26" s="84"/>
    </row>
    <row r="27" spans="2:10">
      <c r="B27" s="10" t="s">
        <v>17</v>
      </c>
      <c r="C27" s="11" t="s">
        <v>228</v>
      </c>
      <c r="D27" s="182">
        <v>1432401.3</v>
      </c>
      <c r="E27" s="180">
        <f>E28-E32</f>
        <v>-756951.69000000018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3798268.88</v>
      </c>
      <c r="E28" s="81">
        <f>SUM(E29:E31)</f>
        <v>317821.43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1650324.46</v>
      </c>
      <c r="E29" s="105">
        <v>10583.24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2147944.42</v>
      </c>
      <c r="E31" s="105">
        <v>307238.19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2365867.58</v>
      </c>
      <c r="E32" s="81">
        <f>SUM(E33:E39)</f>
        <v>1074773.1200000001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833660.57</v>
      </c>
      <c r="E33" s="105">
        <v>117789.51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1156.72</v>
      </c>
      <c r="E35" s="105">
        <v>1852.35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37897.06</v>
      </c>
      <c r="E37" s="105">
        <v>36869.96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1493153.23</v>
      </c>
      <c r="E39" s="184">
        <v>918261.3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-48936.44</v>
      </c>
      <c r="E40" s="128">
        <v>148392.82999999999</v>
      </c>
      <c r="G40" s="84"/>
    </row>
    <row r="41" spans="2:10" ht="13.5" thickBot="1">
      <c r="B41" s="129" t="s">
        <v>37</v>
      </c>
      <c r="C41" s="130" t="s">
        <v>38</v>
      </c>
      <c r="D41" s="131">
        <v>2786389.56</v>
      </c>
      <c r="E41" s="181">
        <f>E26+E27+E40</f>
        <v>2177830.6999999997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12190.864600000001</v>
      </c>
      <c r="E47" s="185">
        <v>23330.734</v>
      </c>
      <c r="G47" s="79"/>
    </row>
    <row r="48" spans="2:10">
      <c r="B48" s="154" t="s">
        <v>6</v>
      </c>
      <c r="C48" s="23" t="s">
        <v>41</v>
      </c>
      <c r="D48" s="264">
        <v>23330.734</v>
      </c>
      <c r="E48" s="185">
        <v>16681.9663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115.08</v>
      </c>
      <c r="E50" s="185">
        <v>119.43</v>
      </c>
    </row>
    <row r="51" spans="2:5">
      <c r="B51" s="133" t="s">
        <v>6</v>
      </c>
      <c r="C51" s="16" t="s">
        <v>231</v>
      </c>
      <c r="D51" s="267">
        <v>111.66</v>
      </c>
      <c r="E51" s="85">
        <v>107.83</v>
      </c>
    </row>
    <row r="52" spans="2:5">
      <c r="B52" s="133" t="s">
        <v>8</v>
      </c>
      <c r="C52" s="16" t="s">
        <v>232</v>
      </c>
      <c r="D52" s="267">
        <v>133.44</v>
      </c>
      <c r="E52" s="85">
        <v>130.62</v>
      </c>
    </row>
    <row r="53" spans="2:5" ht="13.5" customHeight="1" thickBot="1">
      <c r="B53" s="134" t="s">
        <v>9</v>
      </c>
      <c r="C53" s="18" t="s">
        <v>41</v>
      </c>
      <c r="D53" s="268">
        <v>119.43</v>
      </c>
      <c r="E53" s="187">
        <v>130.55000000000001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2177830.7000000002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2177830.7000000002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2177830.7000000002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2177830.7000000002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240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38997310.090000004</v>
      </c>
      <c r="E11" s="9">
        <f>E12</f>
        <v>31800525.960000001</v>
      </c>
    </row>
    <row r="12" spans="2:7">
      <c r="B12" s="137" t="s">
        <v>4</v>
      </c>
      <c r="C12" s="6" t="s">
        <v>5</v>
      </c>
      <c r="D12" s="90">
        <v>38997310.090000004</v>
      </c>
      <c r="E12" s="101">
        <v>31800525.960000001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38997310.090000004</v>
      </c>
      <c r="E21" s="181">
        <f>E12</f>
        <v>31800525.960000001</v>
      </c>
      <c r="F21" s="89"/>
      <c r="G21" s="89"/>
      <c r="H21" s="89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12191284.17</v>
      </c>
      <c r="E26" s="123">
        <v>38997310.090000004</v>
      </c>
      <c r="G26" s="84"/>
    </row>
    <row r="27" spans="2:10">
      <c r="B27" s="10" t="s">
        <v>17</v>
      </c>
      <c r="C27" s="11" t="s">
        <v>228</v>
      </c>
      <c r="D27" s="182">
        <v>26829427.609999999</v>
      </c>
      <c r="E27" s="180">
        <f>E28-E32</f>
        <v>-7776387.4000000022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43968452</v>
      </c>
      <c r="E28" s="81">
        <f>SUM(E29:E31)</f>
        <v>16280513.41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8056268.79</v>
      </c>
      <c r="E29" s="105">
        <v>3986727.82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35912183.210000001</v>
      </c>
      <c r="E31" s="105">
        <v>12293785.59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17139024.390000001</v>
      </c>
      <c r="E32" s="81">
        <f>SUM(E33:E39)</f>
        <v>24056900.810000002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7106231.2000000002</v>
      </c>
      <c r="E33" s="105">
        <v>10440969.130000001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21863.06</v>
      </c>
      <c r="E35" s="105">
        <v>46583.08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370623.51</v>
      </c>
      <c r="E37" s="105">
        <v>496624.12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9640306.6199999992</v>
      </c>
      <c r="E39" s="184">
        <v>13072724.48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-23401.69</v>
      </c>
      <c r="E40" s="128">
        <v>579603.27</v>
      </c>
      <c r="G40" s="84"/>
    </row>
    <row r="41" spans="2:10" ht="13.5" thickBot="1">
      <c r="B41" s="129" t="s">
        <v>37</v>
      </c>
      <c r="C41" s="130" t="s">
        <v>38</v>
      </c>
      <c r="D41" s="131">
        <v>38997310.090000004</v>
      </c>
      <c r="E41" s="181">
        <f>E26+E27+E40</f>
        <v>31800525.960000001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83052.5524</v>
      </c>
      <c r="E47" s="185">
        <v>263744.82679999998</v>
      </c>
      <c r="G47" s="79"/>
    </row>
    <row r="48" spans="2:10">
      <c r="B48" s="154" t="s">
        <v>6</v>
      </c>
      <c r="C48" s="23" t="s">
        <v>41</v>
      </c>
      <c r="D48" s="264">
        <v>263744.82679999998</v>
      </c>
      <c r="E48" s="185">
        <v>210962.7568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146.79</v>
      </c>
      <c r="E50" s="185">
        <v>147.86000000000001</v>
      </c>
    </row>
    <row r="51" spans="2:5">
      <c r="B51" s="133" t="s">
        <v>6</v>
      </c>
      <c r="C51" s="16" t="s">
        <v>231</v>
      </c>
      <c r="D51" s="267">
        <v>146.88999999999999</v>
      </c>
      <c r="E51" s="85">
        <v>147.81</v>
      </c>
    </row>
    <row r="52" spans="2:5">
      <c r="B52" s="133" t="s">
        <v>8</v>
      </c>
      <c r="C52" s="16" t="s">
        <v>232</v>
      </c>
      <c r="D52" s="267">
        <v>148.77000000000001</v>
      </c>
      <c r="E52" s="85">
        <v>150.94</v>
      </c>
    </row>
    <row r="53" spans="2:5" ht="12.75" customHeight="1" thickBot="1">
      <c r="B53" s="134" t="s">
        <v>9</v>
      </c>
      <c r="C53" s="18" t="s">
        <v>41</v>
      </c>
      <c r="D53" s="268">
        <v>147.86000000000001</v>
      </c>
      <c r="E53" s="270">
        <v>150.74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31800525.960000001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31800525.960000001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31800525.960000001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31800525.960000001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1"/>
  <sheetViews>
    <sheetView topLeftCell="A52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183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59553029.86999999</v>
      </c>
      <c r="E11" s="9">
        <f>E12+E13+E14</f>
        <v>65231847.539999999</v>
      </c>
    </row>
    <row r="12" spans="2:7">
      <c r="B12" s="137" t="s">
        <v>4</v>
      </c>
      <c r="C12" s="6" t="s">
        <v>5</v>
      </c>
      <c r="D12" s="90">
        <v>59428441.949999996</v>
      </c>
      <c r="E12" s="101">
        <v>65044597.450000003</v>
      </c>
    </row>
    <row r="13" spans="2:7">
      <c r="B13" s="137" t="s">
        <v>6</v>
      </c>
      <c r="C13" s="72" t="s">
        <v>7</v>
      </c>
      <c r="D13" s="90">
        <v>1.55</v>
      </c>
      <c r="E13" s="101">
        <v>53.79</v>
      </c>
    </row>
    <row r="14" spans="2:7">
      <c r="B14" s="137" t="s">
        <v>8</v>
      </c>
      <c r="C14" s="72" t="s">
        <v>10</v>
      </c>
      <c r="D14" s="90">
        <v>124586.37</v>
      </c>
      <c r="E14" s="101">
        <f>E15</f>
        <v>187196.3</v>
      </c>
    </row>
    <row r="15" spans="2:7">
      <c r="B15" s="137" t="s">
        <v>223</v>
      </c>
      <c r="C15" s="72" t="s">
        <v>11</v>
      </c>
      <c r="D15" s="90">
        <v>124586.37</v>
      </c>
      <c r="E15" s="101">
        <v>187196.3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75563.679999999993</v>
      </c>
      <c r="E17" s="117">
        <f>SUM(E18:E19)</f>
        <v>1271737.69</v>
      </c>
    </row>
    <row r="18" spans="2:10">
      <c r="B18" s="137" t="s">
        <v>4</v>
      </c>
      <c r="C18" s="6" t="s">
        <v>11</v>
      </c>
      <c r="D18" s="90">
        <v>75563.679999999993</v>
      </c>
      <c r="E18" s="102">
        <v>82418.929999999993</v>
      </c>
    </row>
    <row r="19" spans="2:10">
      <c r="B19" s="137" t="s">
        <v>6</v>
      </c>
      <c r="C19" s="72" t="s">
        <v>225</v>
      </c>
      <c r="D19" s="90"/>
      <c r="E19" s="101">
        <v>1189318.76</v>
      </c>
    </row>
    <row r="20" spans="2:10" ht="13.5" customHeight="1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59477466.18999999</v>
      </c>
      <c r="E21" s="104">
        <f>E11-E17</f>
        <v>63960109.850000001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55435866.090000004</v>
      </c>
      <c r="E26" s="123">
        <v>59477466.18999999</v>
      </c>
      <c r="G26" s="84"/>
    </row>
    <row r="27" spans="2:10">
      <c r="B27" s="10" t="s">
        <v>17</v>
      </c>
      <c r="C27" s="11" t="s">
        <v>228</v>
      </c>
      <c r="D27" s="182">
        <v>4683129.6399999997</v>
      </c>
      <c r="E27" s="180">
        <f>E28-E32</f>
        <v>2499632.4000000134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14184822.41</v>
      </c>
      <c r="E28" s="81">
        <f>SUM(E29:E31)</f>
        <v>14188651.49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11002028.580000002</v>
      </c>
      <c r="E29" s="105">
        <v>11071631.16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3182793.83</v>
      </c>
      <c r="E31" s="105">
        <v>3117020.33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9501692.7699999996</v>
      </c>
      <c r="E32" s="81">
        <f>SUM(E33:E39)</f>
        <v>11689019.089999987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6389539.4900000002</v>
      </c>
      <c r="E33" s="105">
        <v>9496624.4400000013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1458184.96</v>
      </c>
      <c r="E35" s="105">
        <v>1373929.71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1653968.3199999998</v>
      </c>
      <c r="E39" s="184">
        <v>818464.93999998539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-641529.54</v>
      </c>
      <c r="E40" s="128">
        <f>1982896.92+114.34</f>
        <v>1983011.26</v>
      </c>
      <c r="G40" s="84"/>
    </row>
    <row r="41" spans="2:10" ht="13.5" thickBot="1">
      <c r="B41" s="129" t="s">
        <v>37</v>
      </c>
      <c r="C41" s="130" t="s">
        <v>38</v>
      </c>
      <c r="D41" s="131">
        <v>59477466.190000005</v>
      </c>
      <c r="E41" s="181">
        <f>E26+E27+E40</f>
        <v>63960109.850000001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1259258.4489</v>
      </c>
      <c r="E47" s="83">
        <v>1365136.2043000001</v>
      </c>
      <c r="G47" s="312"/>
    </row>
    <row r="48" spans="2:10">
      <c r="B48" s="154" t="s">
        <v>6</v>
      </c>
      <c r="C48" s="23" t="s">
        <v>41</v>
      </c>
      <c r="D48" s="264">
        <v>1365136.2043000001</v>
      </c>
      <c r="E48" s="83">
        <v>1421442.5252239953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44.022627871526197</v>
      </c>
      <c r="E50" s="83">
        <v>43.568887853573699</v>
      </c>
      <c r="G50" s="315"/>
    </row>
    <row r="51" spans="2:7">
      <c r="B51" s="133" t="s">
        <v>6</v>
      </c>
      <c r="C51" s="16" t="s">
        <v>231</v>
      </c>
      <c r="D51" s="263">
        <v>43.396000000000001</v>
      </c>
      <c r="E51" s="83">
        <v>43.117800000000003</v>
      </c>
    </row>
    <row r="52" spans="2:7">
      <c r="B52" s="133" t="s">
        <v>8</v>
      </c>
      <c r="C52" s="16" t="s">
        <v>232</v>
      </c>
      <c r="D52" s="314">
        <v>44.625799999999998</v>
      </c>
      <c r="E52" s="85">
        <v>44.997199999999999</v>
      </c>
    </row>
    <row r="53" spans="2:7" ht="13.5" customHeight="1" thickBot="1">
      <c r="B53" s="134" t="s">
        <v>9</v>
      </c>
      <c r="C53" s="18" t="s">
        <v>41</v>
      </c>
      <c r="D53" s="268">
        <v>43.568887853573699</v>
      </c>
      <c r="E53" s="187">
        <v>44.996620485883497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5.7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65044597.450000003</v>
      </c>
      <c r="E58" s="33">
        <f>D58/E21</f>
        <v>1.0169556869514977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5.5">
      <c r="B60" s="15" t="s">
        <v>6</v>
      </c>
      <c r="C60" s="16" t="s">
        <v>45</v>
      </c>
      <c r="D60" s="94">
        <v>0</v>
      </c>
      <c r="E60" s="95">
        <v>0</v>
      </c>
    </row>
    <row r="61" spans="2:7" ht="12.75" customHeight="1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64723776.5</v>
      </c>
      <c r="E64" s="97">
        <f>D64/E21</f>
        <v>1.011939733246096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v>320820.95</v>
      </c>
      <c r="E69" s="95">
        <f>D69/E21</f>
        <v>5.0159537054015862E-3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53.79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187196.3</v>
      </c>
      <c r="E72" s="150">
        <f>D72/E21</f>
        <v>2.9267663929754802E-3</v>
      </c>
    </row>
    <row r="73" spans="2:5">
      <c r="B73" s="24" t="s">
        <v>62</v>
      </c>
      <c r="C73" s="25" t="s">
        <v>65</v>
      </c>
      <c r="D73" s="26">
        <f>E17</f>
        <v>1271737.69</v>
      </c>
      <c r="E73" s="27">
        <f>D73/E21</f>
        <v>1.9883294337400201E-2</v>
      </c>
    </row>
    <row r="74" spans="2:5">
      <c r="B74" s="151" t="s">
        <v>64</v>
      </c>
      <c r="C74" s="152" t="s">
        <v>66</v>
      </c>
      <c r="D74" s="153">
        <f>D58++D71+D72-D73</f>
        <v>63960109.850000001</v>
      </c>
      <c r="E74" s="70">
        <f>E58+E72-E73</f>
        <v>0.99999915900707304</v>
      </c>
    </row>
    <row r="75" spans="2:5">
      <c r="B75" s="15" t="s">
        <v>4</v>
      </c>
      <c r="C75" s="16" t="s">
        <v>67</v>
      </c>
      <c r="D75" s="94">
        <f>D74</f>
        <v>63960109.850000001</v>
      </c>
      <c r="E75" s="95">
        <f>E74</f>
        <v>0.99999915900707304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10" sqref="G1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113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60221766.57</v>
      </c>
      <c r="E11" s="9">
        <f>E12</f>
        <v>48916354.960000001</v>
      </c>
    </row>
    <row r="12" spans="2:7">
      <c r="B12" s="137" t="s">
        <v>4</v>
      </c>
      <c r="C12" s="6" t="s">
        <v>5</v>
      </c>
      <c r="D12" s="90">
        <v>60221766.57</v>
      </c>
      <c r="E12" s="101">
        <v>48916354.960000001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86948.74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86948.74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60221766.57</v>
      </c>
      <c r="E21" s="181">
        <f>E11-E17</f>
        <v>48829406.219999999</v>
      </c>
      <c r="F21" s="89"/>
      <c r="G21" s="89"/>
      <c r="H21" s="213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58493937.810000002</v>
      </c>
      <c r="E26" s="123">
        <v>60221766.57</v>
      </c>
      <c r="G26" s="84"/>
    </row>
    <row r="27" spans="2:10">
      <c r="B27" s="10" t="s">
        <v>17</v>
      </c>
      <c r="C27" s="11" t="s">
        <v>228</v>
      </c>
      <c r="D27" s="182">
        <v>2198543.84</v>
      </c>
      <c r="E27" s="108">
        <f>E28-E32</f>
        <v>-12086551.630000001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28119995.970000003</v>
      </c>
      <c r="E28" s="81">
        <f>SUM(E29:E31)</f>
        <v>4951096.4399999995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22832209.940000001</v>
      </c>
      <c r="E29" s="105">
        <v>89436.6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5287786.03</v>
      </c>
      <c r="E31" s="105">
        <v>4861659.84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25921452.129999999</v>
      </c>
      <c r="E32" s="81">
        <f>SUM(E33:E39)</f>
        <v>17037648.07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5564241.79</v>
      </c>
      <c r="E33" s="105">
        <v>13614825.43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34871.33</v>
      </c>
      <c r="E35" s="105">
        <v>73860.56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1004505.56</v>
      </c>
      <c r="E37" s="105">
        <v>1096155.57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19317833.449999999</v>
      </c>
      <c r="E39" s="106">
        <v>2252806.5099999998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-470715.08</v>
      </c>
      <c r="E40" s="128">
        <v>694191.28</v>
      </c>
      <c r="G40" s="84"/>
    </row>
    <row r="41" spans="2:10" ht="13.5" thickBot="1">
      <c r="B41" s="129" t="s">
        <v>37</v>
      </c>
      <c r="C41" s="130" t="s">
        <v>38</v>
      </c>
      <c r="D41" s="131">
        <v>60221766.570000008</v>
      </c>
      <c r="E41" s="104">
        <f>E26+E27+E40</f>
        <v>48829406.219999999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426030.13699999999</v>
      </c>
      <c r="E47" s="185">
        <v>442027.05940000003</v>
      </c>
      <c r="G47" s="79"/>
    </row>
    <row r="48" spans="2:10">
      <c r="B48" s="154" t="s">
        <v>6</v>
      </c>
      <c r="C48" s="23" t="s">
        <v>41</v>
      </c>
      <c r="D48" s="264">
        <v>442027.05940000003</v>
      </c>
      <c r="E48" s="185">
        <v>354632.91609999997</v>
      </c>
      <c r="G48" s="311"/>
    </row>
    <row r="49" spans="2:7">
      <c r="B49" s="151" t="s">
        <v>23</v>
      </c>
      <c r="C49" s="155" t="s">
        <v>230</v>
      </c>
      <c r="D49" s="266"/>
      <c r="E49" s="185"/>
    </row>
    <row r="50" spans="2:7">
      <c r="B50" s="133" t="s">
        <v>4</v>
      </c>
      <c r="C50" s="16" t="s">
        <v>40</v>
      </c>
      <c r="D50" s="263">
        <v>137.30000000000001</v>
      </c>
      <c r="E50" s="185">
        <v>136.24</v>
      </c>
    </row>
    <row r="51" spans="2:7">
      <c r="B51" s="133" t="s">
        <v>6</v>
      </c>
      <c r="C51" s="16" t="s">
        <v>231</v>
      </c>
      <c r="D51" s="267">
        <v>133.79</v>
      </c>
      <c r="E51" s="85">
        <v>135.21</v>
      </c>
    </row>
    <row r="52" spans="2:7">
      <c r="B52" s="133" t="s">
        <v>8</v>
      </c>
      <c r="C52" s="16" t="s">
        <v>232</v>
      </c>
      <c r="D52" s="267">
        <v>139.61000000000001</v>
      </c>
      <c r="E52" s="85">
        <v>139.61000000000001</v>
      </c>
    </row>
    <row r="53" spans="2:7" ht="12.75" customHeight="1" thickBot="1">
      <c r="B53" s="134" t="s">
        <v>9</v>
      </c>
      <c r="C53" s="18" t="s">
        <v>41</v>
      </c>
      <c r="D53" s="268">
        <v>136.24</v>
      </c>
      <c r="E53" s="187">
        <v>137.69</v>
      </c>
      <c r="G53" s="192"/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5.7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D64</f>
        <v>48916354.960000001</v>
      </c>
      <c r="E58" s="33">
        <f>D58/E21</f>
        <v>1.0017806634716846</v>
      </c>
    </row>
    <row r="59" spans="2:7" ht="25.5">
      <c r="B59" s="154" t="s">
        <v>4</v>
      </c>
      <c r="C59" s="23" t="s">
        <v>44</v>
      </c>
      <c r="D59" s="96">
        <v>0</v>
      </c>
      <c r="E59" s="97">
        <v>0</v>
      </c>
    </row>
    <row r="60" spans="2:7" ht="25.5">
      <c r="B60" s="133" t="s">
        <v>6</v>
      </c>
      <c r="C60" s="16" t="s">
        <v>45</v>
      </c>
      <c r="D60" s="94">
        <v>0</v>
      </c>
      <c r="E60" s="95">
        <v>0</v>
      </c>
    </row>
    <row r="61" spans="2:7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7">
      <c r="B62" s="133" t="s">
        <v>9</v>
      </c>
      <c r="C62" s="16" t="s">
        <v>47</v>
      </c>
      <c r="D62" s="94">
        <v>0</v>
      </c>
      <c r="E62" s="95">
        <v>0</v>
      </c>
    </row>
    <row r="63" spans="2:7">
      <c r="B63" s="133" t="s">
        <v>29</v>
      </c>
      <c r="C63" s="16" t="s">
        <v>48</v>
      </c>
      <c r="D63" s="94">
        <v>0</v>
      </c>
      <c r="E63" s="95">
        <v>0</v>
      </c>
    </row>
    <row r="64" spans="2:7">
      <c r="B64" s="154" t="s">
        <v>31</v>
      </c>
      <c r="C64" s="23" t="s">
        <v>49</v>
      </c>
      <c r="D64" s="96">
        <f>E12</f>
        <v>48916354.960000001</v>
      </c>
      <c r="E64" s="97">
        <f>E58</f>
        <v>1.0017806634716846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86948.74</v>
      </c>
      <c r="E73" s="27">
        <f>D73/E21</f>
        <v>1.7806634716845428E-3</v>
      </c>
    </row>
    <row r="74" spans="2:5">
      <c r="B74" s="162" t="s">
        <v>64</v>
      </c>
      <c r="C74" s="152" t="s">
        <v>66</v>
      </c>
      <c r="D74" s="153">
        <f>D58-D73</f>
        <v>48829406.219999999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48829406.219999999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dimension ref="A1:J81"/>
  <sheetViews>
    <sheetView topLeftCell="A4" zoomScaleNormal="100" workbookViewId="0">
      <selection activeCell="G54" sqref="G54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111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313357.03999999998</v>
      </c>
      <c r="E11" s="9">
        <f>E12</f>
        <v>282030.99</v>
      </c>
    </row>
    <row r="12" spans="2:7">
      <c r="B12" s="137" t="s">
        <v>4</v>
      </c>
      <c r="C12" s="6" t="s">
        <v>5</v>
      </c>
      <c r="D12" s="90">
        <v>313357.03999999998</v>
      </c>
      <c r="E12" s="101">
        <v>282030.99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313357.03999999998</v>
      </c>
      <c r="E21" s="181">
        <f>E12</f>
        <v>282030.99</v>
      </c>
      <c r="F21" s="89"/>
      <c r="G21" s="89"/>
      <c r="H21" s="213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220737.5</v>
      </c>
      <c r="E26" s="123">
        <v>313357.03999999998</v>
      </c>
      <c r="G26" s="84"/>
    </row>
    <row r="27" spans="2:10">
      <c r="B27" s="10" t="s">
        <v>17</v>
      </c>
      <c r="C27" s="11" t="s">
        <v>228</v>
      </c>
      <c r="D27" s="182">
        <v>116755.34</v>
      </c>
      <c r="E27" s="180">
        <f>E28-E32</f>
        <v>-48725.47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166882.63</v>
      </c>
      <c r="E28" s="81">
        <f>SUM(E29:E31)</f>
        <v>18286.64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17976.63</v>
      </c>
      <c r="E29" s="105">
        <v>18286.64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148906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50127.29</v>
      </c>
      <c r="E32" s="81">
        <f>SUM(E33:E39)</f>
        <v>67012.11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25456.95</v>
      </c>
      <c r="E33" s="105">
        <v>27843.15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439.34</v>
      </c>
      <c r="E35" s="105">
        <v>582.72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3876.57</v>
      </c>
      <c r="E37" s="105">
        <v>3954.54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20354.43</v>
      </c>
      <c r="E39" s="184">
        <v>34631.699999999997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-24135.8</v>
      </c>
      <c r="E40" s="128">
        <v>17399.419999999998</v>
      </c>
      <c r="G40" s="84"/>
    </row>
    <row r="41" spans="2:10" ht="13.5" thickBot="1">
      <c r="B41" s="129" t="s">
        <v>37</v>
      </c>
      <c r="C41" s="130" t="s">
        <v>38</v>
      </c>
      <c r="D41" s="131">
        <v>313357.03999999998</v>
      </c>
      <c r="E41" s="181">
        <f>E26+E27+E40</f>
        <v>282030.98999999993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2421.4294</v>
      </c>
      <c r="E47" s="185">
        <v>3642.4159</v>
      </c>
      <c r="G47" s="79"/>
    </row>
    <row r="48" spans="2:10">
      <c r="B48" s="154" t="s">
        <v>6</v>
      </c>
      <c r="C48" s="23" t="s">
        <v>41</v>
      </c>
      <c r="D48" s="264">
        <v>3642.4159</v>
      </c>
      <c r="E48" s="185">
        <v>3066.5542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91.16</v>
      </c>
      <c r="E50" s="185">
        <v>86.03</v>
      </c>
    </row>
    <row r="51" spans="2:5">
      <c r="B51" s="133" t="s">
        <v>6</v>
      </c>
      <c r="C51" s="16" t="s">
        <v>231</v>
      </c>
      <c r="D51" s="267">
        <v>81.69</v>
      </c>
      <c r="E51" s="185">
        <v>78.2</v>
      </c>
    </row>
    <row r="52" spans="2:5">
      <c r="B52" s="133" t="s">
        <v>8</v>
      </c>
      <c r="C52" s="16" t="s">
        <v>232</v>
      </c>
      <c r="D52" s="267">
        <v>103.28</v>
      </c>
      <c r="E52" s="85">
        <v>91.97</v>
      </c>
    </row>
    <row r="53" spans="2:5" ht="13.5" customHeight="1" thickBot="1">
      <c r="B53" s="134" t="s">
        <v>9</v>
      </c>
      <c r="C53" s="18" t="s">
        <v>41</v>
      </c>
      <c r="D53" s="268">
        <v>86.03</v>
      </c>
      <c r="E53" s="187">
        <v>91.97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282030.99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282030.99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282030.99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282030.99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42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33" sqref="E3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216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128384.98</v>
      </c>
      <c r="E11" s="9">
        <f>E12</f>
        <v>267246.53000000003</v>
      </c>
    </row>
    <row r="12" spans="2:7">
      <c r="B12" s="137" t="s">
        <v>4</v>
      </c>
      <c r="C12" s="6" t="s">
        <v>5</v>
      </c>
      <c r="D12" s="90">
        <v>128384.98</v>
      </c>
      <c r="E12" s="101">
        <v>267246.53000000003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01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128384.98</v>
      </c>
      <c r="E21" s="181">
        <f>E11</f>
        <v>267246.53000000003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f>D21</f>
        <v>128384.98</v>
      </c>
      <c r="G26" s="84"/>
    </row>
    <row r="27" spans="2:10">
      <c r="B27" s="10" t="s">
        <v>17</v>
      </c>
      <c r="C27" s="11" t="s">
        <v>228</v>
      </c>
      <c r="D27" s="182">
        <v>131198.04</v>
      </c>
      <c r="E27" s="180">
        <f>E28-E32</f>
        <v>133695.10999999999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131198.04</v>
      </c>
      <c r="E28" s="81">
        <f>SUM(E29:E31)</f>
        <v>169078.31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49784.01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131198.04</v>
      </c>
      <c r="E31" s="105">
        <v>119294.3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35383.200000000004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45.27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2885.94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32451.99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-2813.06</v>
      </c>
      <c r="E40" s="128">
        <v>5166.4399999999996</v>
      </c>
      <c r="G40" s="84"/>
    </row>
    <row r="41" spans="2:10" ht="13.5" thickBot="1">
      <c r="B41" s="129" t="s">
        <v>37</v>
      </c>
      <c r="C41" s="130" t="s">
        <v>38</v>
      </c>
      <c r="D41" s="131">
        <v>128384.98000000001</v>
      </c>
      <c r="E41" s="181">
        <f>E26+E27+E40</f>
        <v>267246.52999999997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1167.2422999999999</v>
      </c>
      <c r="G47" s="79"/>
    </row>
    <row r="48" spans="2:10">
      <c r="B48" s="154" t="s">
        <v>6</v>
      </c>
      <c r="C48" s="23" t="s">
        <v>41</v>
      </c>
      <c r="D48" s="264">
        <v>1167.2422999999999</v>
      </c>
      <c r="E48" s="185">
        <v>2383.7885000000001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109.99</v>
      </c>
    </row>
    <row r="51" spans="2:5">
      <c r="B51" s="133" t="s">
        <v>6</v>
      </c>
      <c r="C51" s="16" t="s">
        <v>231</v>
      </c>
      <c r="D51" s="267">
        <v>102.7</v>
      </c>
      <c r="E51" s="85">
        <v>95.61</v>
      </c>
    </row>
    <row r="52" spans="2:5">
      <c r="B52" s="133" t="s">
        <v>8</v>
      </c>
      <c r="C52" s="16" t="s">
        <v>232</v>
      </c>
      <c r="D52" s="267">
        <v>117.74</v>
      </c>
      <c r="E52" s="85">
        <v>113.21</v>
      </c>
    </row>
    <row r="53" spans="2:5" ht="12.75" customHeight="1" thickBot="1">
      <c r="B53" s="134" t="s">
        <v>9</v>
      </c>
      <c r="C53" s="18" t="s">
        <v>41</v>
      </c>
      <c r="D53" s="268">
        <v>109.99</v>
      </c>
      <c r="E53" s="187">
        <v>112.11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267246.53000000003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267246.53000000003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267246.53000000003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267246.53000000003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7" sqref="E27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242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480490.65</v>
      </c>
    </row>
    <row r="12" spans="2:7">
      <c r="B12" s="137" t="s">
        <v>4</v>
      </c>
      <c r="C12" s="6" t="s">
        <v>5</v>
      </c>
      <c r="D12" s="90" t="s">
        <v>260</v>
      </c>
      <c r="E12" s="101">
        <v>480490.65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480490.65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">
        <v>260</v>
      </c>
      <c r="G26" s="84"/>
    </row>
    <row r="27" spans="2:10">
      <c r="B27" s="10" t="s">
        <v>17</v>
      </c>
      <c r="C27" s="11" t="s">
        <v>228</v>
      </c>
      <c r="D27" s="182">
        <v>580.58000000000175</v>
      </c>
      <c r="E27" s="108">
        <f>E28-E32</f>
        <v>460829.74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39600</v>
      </c>
      <c r="E28" s="81">
        <f>SUM(E29:E31)</f>
        <v>596416.28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39600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596416.28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39019.42</v>
      </c>
      <c r="E32" s="81">
        <f>SUM(E33:E39)</f>
        <v>135586.54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5.47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0.5</v>
      </c>
      <c r="E35" s="105">
        <v>0.26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23.04</v>
      </c>
      <c r="E37" s="105">
        <v>2416.65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38995.879999999997</v>
      </c>
      <c r="E39" s="106">
        <v>133164.16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-580.58000000000004</v>
      </c>
      <c r="E40" s="128">
        <v>19660.91</v>
      </c>
      <c r="G40" s="84"/>
    </row>
    <row r="41" spans="2:10" ht="13.5" thickBot="1">
      <c r="B41" s="129" t="s">
        <v>37</v>
      </c>
      <c r="C41" s="130" t="s">
        <v>38</v>
      </c>
      <c r="D41" s="131" t="s">
        <v>260</v>
      </c>
      <c r="E41" s="104">
        <f>E27+E40</f>
        <v>480490.64999999997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83"/>
      <c r="G47" s="79"/>
    </row>
    <row r="48" spans="2:10">
      <c r="B48" s="154" t="s">
        <v>6</v>
      </c>
      <c r="C48" s="23" t="s">
        <v>41</v>
      </c>
      <c r="D48" s="264"/>
      <c r="E48" s="185">
        <v>4594.4793</v>
      </c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/>
      <c r="E50" s="85"/>
    </row>
    <row r="51" spans="2:5">
      <c r="B51" s="133" t="s">
        <v>6</v>
      </c>
      <c r="C51" s="16" t="s">
        <v>231</v>
      </c>
      <c r="D51" s="267">
        <v>86.4</v>
      </c>
      <c r="E51" s="85">
        <v>79.52</v>
      </c>
    </row>
    <row r="52" spans="2:5">
      <c r="B52" s="133" t="s">
        <v>8</v>
      </c>
      <c r="C52" s="16" t="s">
        <v>232</v>
      </c>
      <c r="D52" s="267">
        <v>107.52</v>
      </c>
      <c r="E52" s="85">
        <v>105.57</v>
      </c>
    </row>
    <row r="53" spans="2:5" ht="12.75" customHeight="1" thickBot="1">
      <c r="B53" s="134" t="s">
        <v>9</v>
      </c>
      <c r="C53" s="18" t="s">
        <v>41</v>
      </c>
      <c r="D53" s="268"/>
      <c r="E53" s="187">
        <v>104.58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480490.65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480490.65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480490.65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480490.65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243</v>
      </c>
      <c r="C6" s="338"/>
      <c r="D6" s="338"/>
      <c r="E6" s="338"/>
    </row>
    <row r="7" spans="2:7" ht="14.25">
      <c r="B7" s="188"/>
      <c r="C7" s="188"/>
      <c r="D7" s="188"/>
      <c r="E7" s="18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89"/>
      <c r="C10" s="88" t="s">
        <v>2</v>
      </c>
      <c r="D10" s="75" t="s">
        <v>215</v>
      </c>
      <c r="E10" s="30" t="s">
        <v>259</v>
      </c>
    </row>
    <row r="11" spans="2:7" ht="13.5" thickBot="1">
      <c r="B11" s="114" t="s">
        <v>3</v>
      </c>
      <c r="C11" s="159" t="s">
        <v>226</v>
      </c>
      <c r="D11" s="74" t="s">
        <v>260</v>
      </c>
      <c r="E11" s="9">
        <f>E12</f>
        <v>37539.24</v>
      </c>
    </row>
    <row r="12" spans="2:7">
      <c r="B12" s="137" t="s">
        <v>4</v>
      </c>
      <c r="C12" s="6" t="s">
        <v>5</v>
      </c>
      <c r="D12" s="74" t="s">
        <v>260</v>
      </c>
      <c r="E12" s="101">
        <v>37539.24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37539.24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8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39661.22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39886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39886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224.78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20.440000000000001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204.34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-2121.98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37539.24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8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414.75240000000002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82.09</v>
      </c>
    </row>
    <row r="52" spans="2:5">
      <c r="B52" s="133" t="s">
        <v>8</v>
      </c>
      <c r="C52" s="16" t="s">
        <v>232</v>
      </c>
      <c r="D52" s="224"/>
      <c r="E52" s="85">
        <v>101.6</v>
      </c>
    </row>
    <row r="53" spans="2:5" ht="13.5" thickBot="1">
      <c r="B53" s="134" t="s">
        <v>9</v>
      </c>
      <c r="C53" s="18" t="s">
        <v>41</v>
      </c>
      <c r="D53" s="225"/>
      <c r="E53" s="187">
        <v>90.51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37539.24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37539.24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37539.24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37539.24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244</v>
      </c>
      <c r="C6" s="338"/>
      <c r="D6" s="338"/>
      <c r="E6" s="338"/>
    </row>
    <row r="7" spans="2:7" ht="14.25">
      <c r="B7" s="188"/>
      <c r="C7" s="188"/>
      <c r="D7" s="188"/>
      <c r="E7" s="18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8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 t="s">
        <v>260</v>
      </c>
      <c r="E11" s="9">
        <f>E12</f>
        <v>14481.5</v>
      </c>
      <c r="F11" s="271"/>
    </row>
    <row r="12" spans="2:7">
      <c r="B12" s="272" t="s">
        <v>4</v>
      </c>
      <c r="C12" s="273" t="s">
        <v>5</v>
      </c>
      <c r="D12" s="90" t="s">
        <v>260</v>
      </c>
      <c r="E12" s="101">
        <v>14481.5</v>
      </c>
      <c r="F12" s="271"/>
    </row>
    <row r="13" spans="2:7">
      <c r="B13" s="272" t="s">
        <v>6</v>
      </c>
      <c r="C13" s="274" t="s">
        <v>7</v>
      </c>
      <c r="D13" s="90"/>
      <c r="E13" s="101"/>
      <c r="F13" s="271"/>
    </row>
    <row r="14" spans="2:7">
      <c r="B14" s="272" t="s">
        <v>8</v>
      </c>
      <c r="C14" s="274" t="s">
        <v>10</v>
      </c>
      <c r="D14" s="90"/>
      <c r="E14" s="101"/>
      <c r="F14" s="271"/>
      <c r="G14" s="71"/>
    </row>
    <row r="15" spans="2:7">
      <c r="B15" s="272" t="s">
        <v>223</v>
      </c>
      <c r="C15" s="274" t="s">
        <v>11</v>
      </c>
      <c r="D15" s="90"/>
      <c r="E15" s="101"/>
      <c r="F15" s="271"/>
    </row>
    <row r="16" spans="2:7">
      <c r="B16" s="275" t="s">
        <v>224</v>
      </c>
      <c r="C16" s="276" t="s">
        <v>12</v>
      </c>
      <c r="D16" s="91"/>
      <c r="E16" s="102"/>
      <c r="F16" s="271"/>
    </row>
    <row r="17" spans="2:10">
      <c r="B17" s="10" t="s">
        <v>13</v>
      </c>
      <c r="C17" s="12" t="s">
        <v>65</v>
      </c>
      <c r="D17" s="160"/>
      <c r="E17" s="117">
        <f>E19</f>
        <v>2.1</v>
      </c>
      <c r="F17" s="271"/>
    </row>
    <row r="18" spans="2:10">
      <c r="B18" s="272" t="s">
        <v>4</v>
      </c>
      <c r="C18" s="273" t="s">
        <v>11</v>
      </c>
      <c r="D18" s="90"/>
      <c r="E18" s="102"/>
      <c r="F18" s="271"/>
    </row>
    <row r="19" spans="2:10" ht="13.5" customHeight="1">
      <c r="B19" s="272" t="s">
        <v>6</v>
      </c>
      <c r="C19" s="274" t="s">
        <v>225</v>
      </c>
      <c r="D19" s="90"/>
      <c r="E19" s="101">
        <v>2.1</v>
      </c>
      <c r="F19" s="271"/>
    </row>
    <row r="20" spans="2:10" ht="13.5" thickBot="1">
      <c r="B20" s="277" t="s">
        <v>8</v>
      </c>
      <c r="C20" s="278" t="s">
        <v>14</v>
      </c>
      <c r="D20" s="92"/>
      <c r="E20" s="103"/>
      <c r="F20" s="271"/>
    </row>
    <row r="21" spans="2:10" ht="13.5" thickBot="1">
      <c r="B21" s="346" t="s">
        <v>227</v>
      </c>
      <c r="C21" s="347"/>
      <c r="D21" s="93" t="s">
        <v>260</v>
      </c>
      <c r="E21" s="181">
        <f>E11-E17</f>
        <v>14479.4</v>
      </c>
      <c r="F21" s="193"/>
      <c r="G21" s="89"/>
      <c r="H21" s="212"/>
    </row>
    <row r="22" spans="2:10">
      <c r="B22" s="3"/>
      <c r="C22" s="7"/>
      <c r="D22" s="8"/>
      <c r="E22" s="8"/>
      <c r="F22" s="271"/>
      <c r="G22" s="79"/>
    </row>
    <row r="23" spans="2:10" ht="13.5">
      <c r="B23" s="340" t="s">
        <v>221</v>
      </c>
      <c r="C23" s="354"/>
      <c r="D23" s="354"/>
      <c r="E23" s="354"/>
      <c r="F23" s="271"/>
      <c r="G23" s="79"/>
    </row>
    <row r="24" spans="2:10" ht="15.75" customHeight="1" thickBot="1">
      <c r="B24" s="339" t="s">
        <v>222</v>
      </c>
      <c r="C24" s="355"/>
      <c r="D24" s="355"/>
      <c r="E24" s="355"/>
      <c r="F24" s="271"/>
    </row>
    <row r="25" spans="2:10" ht="13.5" thickBot="1">
      <c r="B25" s="259"/>
      <c r="C25" s="279" t="s">
        <v>2</v>
      </c>
      <c r="D25" s="75" t="s">
        <v>215</v>
      </c>
      <c r="E25" s="30" t="s">
        <v>259</v>
      </c>
      <c r="F25" s="271"/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F26" s="271"/>
      <c r="G26" s="193"/>
    </row>
    <row r="27" spans="2:10">
      <c r="B27" s="10" t="s">
        <v>17</v>
      </c>
      <c r="C27" s="11" t="s">
        <v>228</v>
      </c>
      <c r="D27" s="182"/>
      <c r="E27" s="180">
        <f>E28-E32</f>
        <v>13703.410000000002</v>
      </c>
      <c r="F27" s="193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16893.080000000002</v>
      </c>
      <c r="F28" s="193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/>
      <c r="E29" s="105">
        <v>12521.58</v>
      </c>
      <c r="F29" s="193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193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>
        <v>4371.5</v>
      </c>
      <c r="F31" s="193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3189.6699999999996</v>
      </c>
      <c r="F32" s="193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/>
      <c r="E33" s="105">
        <v>2002.29</v>
      </c>
      <c r="F33" s="193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193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>
        <v>973.39</v>
      </c>
      <c r="F35" s="193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193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>
        <v>25.47</v>
      </c>
      <c r="F37" s="193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193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>
        <v>188.52</v>
      </c>
      <c r="F39" s="193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775.99</v>
      </c>
      <c r="F40" s="271"/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14479.400000000001</v>
      </c>
      <c r="F41" s="193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8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129.4769</v>
      </c>
      <c r="G48" s="311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99.05</v>
      </c>
    </row>
    <row r="52" spans="2:5">
      <c r="B52" s="133" t="s">
        <v>8</v>
      </c>
      <c r="C52" s="16" t="s">
        <v>232</v>
      </c>
      <c r="D52" s="224"/>
      <c r="E52" s="85">
        <v>113.99</v>
      </c>
    </row>
    <row r="53" spans="2:5" ht="13.5" thickBot="1">
      <c r="B53" s="134" t="s">
        <v>9</v>
      </c>
      <c r="C53" s="18" t="s">
        <v>41</v>
      </c>
      <c r="D53" s="225"/>
      <c r="E53" s="187">
        <v>111.83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14481.5</v>
      </c>
      <c r="E58" s="33">
        <f>D58/E21</f>
        <v>1.0001450336339903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14481.5</v>
      </c>
      <c r="E64" s="97">
        <f>E58</f>
        <v>1.0001450336339903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2.1</v>
      </c>
      <c r="E73" s="27">
        <f>D73/E21</f>
        <v>1.4503363399035873E-4</v>
      </c>
    </row>
    <row r="74" spans="2:5">
      <c r="B74" s="162" t="s">
        <v>64</v>
      </c>
      <c r="C74" s="152" t="s">
        <v>66</v>
      </c>
      <c r="D74" s="153">
        <f>D58-D73</f>
        <v>14479.4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14479.4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41" sqref="D4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261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36502.22</v>
      </c>
    </row>
    <row r="12" spans="2:7">
      <c r="B12" s="137" t="s">
        <v>4</v>
      </c>
      <c r="C12" s="6" t="s">
        <v>5</v>
      </c>
      <c r="D12" s="90" t="s">
        <v>260</v>
      </c>
      <c r="E12" s="101">
        <v>36502.22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36502.22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193"/>
    </row>
    <row r="27" spans="2:10">
      <c r="B27" s="10" t="s">
        <v>17</v>
      </c>
      <c r="C27" s="11" t="s">
        <v>228</v>
      </c>
      <c r="D27" s="182"/>
      <c r="E27" s="180">
        <f>E28-E32</f>
        <v>36655.85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37017.06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37003.269999999997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13.79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361.21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306.32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54.89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-153.63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36502.22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354.35610000000003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99.86</v>
      </c>
    </row>
    <row r="52" spans="2:5">
      <c r="B52" s="133" t="s">
        <v>8</v>
      </c>
      <c r="C52" s="16" t="s">
        <v>232</v>
      </c>
      <c r="D52" s="224"/>
      <c r="E52" s="85">
        <v>104.7</v>
      </c>
    </row>
    <row r="53" spans="2:5" ht="13.5" thickBot="1">
      <c r="B53" s="134" t="s">
        <v>9</v>
      </c>
      <c r="C53" s="18" t="s">
        <v>41</v>
      </c>
      <c r="D53" s="225"/>
      <c r="E53" s="187">
        <v>103.01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36502.22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36502.22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36502.22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36502.22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271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8482.2099999999991</v>
      </c>
    </row>
    <row r="12" spans="2:7">
      <c r="B12" s="137" t="s">
        <v>4</v>
      </c>
      <c r="C12" s="6" t="s">
        <v>5</v>
      </c>
      <c r="D12" s="90" t="s">
        <v>260</v>
      </c>
      <c r="E12" s="101">
        <v>8482.2099999999991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D12</f>
        <v>-</v>
      </c>
      <c r="E21" s="181">
        <f>E11</f>
        <v>8482.2099999999991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193"/>
    </row>
    <row r="27" spans="2:10">
      <c r="B27" s="10" t="s">
        <v>17</v>
      </c>
      <c r="C27" s="11" t="s">
        <v>228</v>
      </c>
      <c r="D27" s="182"/>
      <c r="E27" s="180">
        <f>E28-E32</f>
        <v>8248.2900000000009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8800.630000000001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8218.5300000000007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582.1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552.33999999999992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12.55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536.89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2.9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233.92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8482.2100000000009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79.555499999999995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99.19</v>
      </c>
    </row>
    <row r="52" spans="2:5">
      <c r="B52" s="133" t="s">
        <v>8</v>
      </c>
      <c r="C52" s="16" t="s">
        <v>232</v>
      </c>
      <c r="D52" s="224"/>
      <c r="E52" s="85">
        <v>108.6</v>
      </c>
    </row>
    <row r="53" spans="2:5" ht="13.5" thickBot="1">
      <c r="B53" s="134" t="s">
        <v>9</v>
      </c>
      <c r="C53" s="18" t="s">
        <v>41</v>
      </c>
      <c r="D53" s="225"/>
      <c r="E53" s="187">
        <v>106.62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8482.2099999999991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8482.2099999999991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8482.2099999999991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8482.2099999999991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245</v>
      </c>
      <c r="C6" s="338"/>
      <c r="D6" s="338"/>
      <c r="E6" s="338"/>
    </row>
    <row r="7" spans="2:7" ht="14.25">
      <c r="B7" s="188"/>
      <c r="C7" s="188"/>
      <c r="D7" s="188"/>
      <c r="E7" s="18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8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134781.98000000001</v>
      </c>
    </row>
    <row r="12" spans="2:7">
      <c r="B12" s="137" t="s">
        <v>4</v>
      </c>
      <c r="C12" s="6" t="s">
        <v>5</v>
      </c>
      <c r="D12" s="90" t="s">
        <v>260</v>
      </c>
      <c r="E12" s="101">
        <v>134781.98000000001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D12</f>
        <v>-</v>
      </c>
      <c r="E21" s="181">
        <f>E11</f>
        <v>134781.98000000001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8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193"/>
    </row>
    <row r="27" spans="2:10">
      <c r="B27" s="10" t="s">
        <v>17</v>
      </c>
      <c r="C27" s="11" t="s">
        <v>228</v>
      </c>
      <c r="D27" s="182"/>
      <c r="E27" s="180">
        <f>E28-E32</f>
        <v>130885.92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142841.16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142841.16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11955.24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10598.05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220.51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1136.68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3896.06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134781.98000000001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8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1244.7542000000001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100.34</v>
      </c>
    </row>
    <row r="52" spans="2:5">
      <c r="B52" s="133" t="s">
        <v>8</v>
      </c>
      <c r="C52" s="16" t="s">
        <v>232</v>
      </c>
      <c r="D52" s="224"/>
      <c r="E52" s="85">
        <v>108.52</v>
      </c>
    </row>
    <row r="53" spans="2:5" ht="13.5" thickBot="1">
      <c r="B53" s="134" t="s">
        <v>9</v>
      </c>
      <c r="C53" s="18" t="s">
        <v>41</v>
      </c>
      <c r="D53" s="225"/>
      <c r="E53" s="187">
        <v>108.28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134781.98000000001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134781.98000000001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134781.98000000001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134781.98000000001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246</v>
      </c>
      <c r="C6" s="338"/>
      <c r="D6" s="338"/>
      <c r="E6" s="338"/>
    </row>
    <row r="7" spans="2:7" ht="14.25">
      <c r="B7" s="188"/>
      <c r="C7" s="188"/>
      <c r="D7" s="188"/>
      <c r="E7" s="18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8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78178.210000000006</v>
      </c>
    </row>
    <row r="12" spans="2:7">
      <c r="B12" s="137" t="s">
        <v>4</v>
      </c>
      <c r="C12" s="6" t="s">
        <v>5</v>
      </c>
      <c r="D12" s="90" t="s">
        <v>260</v>
      </c>
      <c r="E12" s="101">
        <v>78178.210000000006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D12</f>
        <v>-</v>
      </c>
      <c r="E21" s="181">
        <f>E11</f>
        <v>78178.210000000006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8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76566.83</v>
      </c>
      <c r="F27" s="79"/>
      <c r="G27" s="193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97068.99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97068.99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20502.16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19739.63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137.85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624.67999999999995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1611.38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78178.210000000006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8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83"/>
      <c r="G47" s="79"/>
    </row>
    <row r="48" spans="2:10">
      <c r="B48" s="154" t="s">
        <v>6</v>
      </c>
      <c r="C48" s="23" t="s">
        <v>41</v>
      </c>
      <c r="D48" s="222"/>
      <c r="E48" s="185">
        <v>741.23649999999998</v>
      </c>
      <c r="G48" s="79"/>
    </row>
    <row r="49" spans="2:5">
      <c r="B49" s="151" t="s">
        <v>23</v>
      </c>
      <c r="C49" s="155" t="s">
        <v>230</v>
      </c>
      <c r="D49" s="223"/>
      <c r="E49" s="156"/>
    </row>
    <row r="50" spans="2:5">
      <c r="B50" s="133" t="s">
        <v>4</v>
      </c>
      <c r="C50" s="16" t="s">
        <v>40</v>
      </c>
      <c r="D50" s="221"/>
      <c r="E50" s="85"/>
    </row>
    <row r="51" spans="2:5">
      <c r="B51" s="133" t="s">
        <v>6</v>
      </c>
      <c r="C51" s="16" t="s">
        <v>231</v>
      </c>
      <c r="D51" s="224"/>
      <c r="E51" s="85">
        <v>98.47</v>
      </c>
    </row>
    <row r="52" spans="2:5">
      <c r="B52" s="133" t="s">
        <v>8</v>
      </c>
      <c r="C52" s="16" t="s">
        <v>232</v>
      </c>
      <c r="D52" s="224"/>
      <c r="E52" s="85">
        <v>106.27</v>
      </c>
    </row>
    <row r="53" spans="2:5" ht="13.5" thickBot="1">
      <c r="B53" s="134" t="s">
        <v>9</v>
      </c>
      <c r="C53" s="18" t="s">
        <v>41</v>
      </c>
      <c r="D53" s="225"/>
      <c r="E53" s="187">
        <v>105.47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78178.210000000006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78178.210000000006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78178.210000000006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78178.210000000006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1"/>
  <sheetViews>
    <sheetView topLeftCell="A55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4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87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115358261.18000001</v>
      </c>
      <c r="E11" s="9">
        <f>E12+E13+E14</f>
        <v>115767601</v>
      </c>
    </row>
    <row r="12" spans="2:7">
      <c r="B12" s="137" t="s">
        <v>4</v>
      </c>
      <c r="C12" s="6" t="s">
        <v>5</v>
      </c>
      <c r="D12" s="90">
        <v>114985025.59</v>
      </c>
      <c r="E12" s="101">
        <v>115388113.69</v>
      </c>
    </row>
    <row r="13" spans="2:7">
      <c r="B13" s="137" t="s">
        <v>6</v>
      </c>
      <c r="C13" s="72" t="s">
        <v>7</v>
      </c>
      <c r="D13" s="90">
        <v>10.039999999999999</v>
      </c>
      <c r="E13" s="101">
        <v>16.690000000000001</v>
      </c>
    </row>
    <row r="14" spans="2:7">
      <c r="B14" s="137" t="s">
        <v>8</v>
      </c>
      <c r="C14" s="72" t="s">
        <v>10</v>
      </c>
      <c r="D14" s="90">
        <v>373225.55</v>
      </c>
      <c r="E14" s="101">
        <f>E15</f>
        <v>379470.62</v>
      </c>
    </row>
    <row r="15" spans="2:7">
      <c r="B15" s="137" t="s">
        <v>223</v>
      </c>
      <c r="C15" s="72" t="s">
        <v>11</v>
      </c>
      <c r="D15" s="90">
        <v>373225.55</v>
      </c>
      <c r="E15" s="101">
        <v>379470.62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167225.73000000001</v>
      </c>
      <c r="E17" s="117">
        <f>SUM(E18:E19)</f>
        <v>1874330.07</v>
      </c>
    </row>
    <row r="18" spans="2:10">
      <c r="B18" s="137" t="s">
        <v>4</v>
      </c>
      <c r="C18" s="6" t="s">
        <v>11</v>
      </c>
      <c r="D18" s="90">
        <v>167225.73000000001</v>
      </c>
      <c r="E18" s="102">
        <v>146064.75</v>
      </c>
    </row>
    <row r="19" spans="2:10" ht="13.5" customHeight="1">
      <c r="B19" s="137" t="s">
        <v>6</v>
      </c>
      <c r="C19" s="72" t="s">
        <v>225</v>
      </c>
      <c r="D19" s="90"/>
      <c r="E19" s="101">
        <v>1728265.32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115191035.45</v>
      </c>
      <c r="E21" s="104">
        <f>E11-E17</f>
        <v>113893270.93000001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6.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118963752.01999998</v>
      </c>
      <c r="E26" s="123">
        <v>115191035.45</v>
      </c>
      <c r="G26" s="84"/>
    </row>
    <row r="27" spans="2:10">
      <c r="B27" s="10" t="s">
        <v>17</v>
      </c>
      <c r="C27" s="11" t="s">
        <v>228</v>
      </c>
      <c r="D27" s="182">
        <v>298387.21999999997</v>
      </c>
      <c r="E27" s="180">
        <f>E28-E32</f>
        <v>-2987226.7800000124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23972746.960000001</v>
      </c>
      <c r="E28" s="81">
        <f>SUM(E29:E31)</f>
        <v>20137337.280000001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23297834.300000001</v>
      </c>
      <c r="E29" s="105">
        <v>19869138.050000001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674912.66</v>
      </c>
      <c r="E31" s="105">
        <v>268199.23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23674359.739999998</v>
      </c>
      <c r="E32" s="81">
        <f>SUM(E33:E39)</f>
        <v>23124564.060000014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15394769.16</v>
      </c>
      <c r="E33" s="105">
        <v>16754614.699999999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4153643.06</v>
      </c>
      <c r="E35" s="105">
        <v>3637889.65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4125947.52</v>
      </c>
      <c r="E39" s="184">
        <v>2732059.7100000144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-4071103.79</v>
      </c>
      <c r="E40" s="128">
        <f>1689393.26+69</f>
        <v>1689462.26</v>
      </c>
      <c r="G40" s="84"/>
    </row>
    <row r="41" spans="2:10" ht="13.5" thickBot="1">
      <c r="B41" s="129" t="s">
        <v>37</v>
      </c>
      <c r="C41" s="130" t="s">
        <v>38</v>
      </c>
      <c r="D41" s="131">
        <v>115191035.44999997</v>
      </c>
      <c r="E41" s="181">
        <f>E26+E27+E40</f>
        <v>113893270.92999999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5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10066295.17</v>
      </c>
      <c r="E47" s="83">
        <v>10089904.193600001</v>
      </c>
      <c r="G47" s="311"/>
    </row>
    <row r="48" spans="2:10">
      <c r="B48" s="154" t="s">
        <v>6</v>
      </c>
      <c r="C48" s="23" t="s">
        <v>41</v>
      </c>
      <c r="D48" s="264">
        <v>10089904.193600001</v>
      </c>
      <c r="E48" s="83">
        <v>9829700.2354601733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11.818027388521299</v>
      </c>
      <c r="E50" s="83">
        <v>11.4164647393842</v>
      </c>
      <c r="G50" s="315"/>
    </row>
    <row r="51" spans="2:7">
      <c r="B51" s="133" t="s">
        <v>6</v>
      </c>
      <c r="C51" s="16" t="s">
        <v>231</v>
      </c>
      <c r="D51" s="314">
        <v>11.097300000000001</v>
      </c>
      <c r="E51" s="316">
        <v>10.8537</v>
      </c>
    </row>
    <row r="52" spans="2:7" ht="12.75" customHeight="1">
      <c r="B52" s="133" t="s">
        <v>8</v>
      </c>
      <c r="C52" s="16" t="s">
        <v>232</v>
      </c>
      <c r="D52" s="314">
        <v>12.6364</v>
      </c>
      <c r="E52" s="316">
        <v>11.598100000000001</v>
      </c>
    </row>
    <row r="53" spans="2:7" ht="13.5" thickBot="1">
      <c r="B53" s="134" t="s">
        <v>9</v>
      </c>
      <c r="C53" s="18" t="s">
        <v>41</v>
      </c>
      <c r="D53" s="268">
        <v>11.4164647393842</v>
      </c>
      <c r="E53" s="270">
        <v>11.586647425842701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5.7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115388113.69</v>
      </c>
      <c r="E58" s="33">
        <f>D58/E21</f>
        <v>1.013124943623041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115199903.48</v>
      </c>
      <c r="E64" s="97">
        <f>D64/E21</f>
        <v>1.0114724297522639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v>188210.21</v>
      </c>
      <c r="E69" s="95">
        <f>D69/E21</f>
        <v>1.6525138707771062E-3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16.690000000000001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379470.62</v>
      </c>
      <c r="E72" s="150">
        <f>D72/E21</f>
        <v>3.3318089550104027E-3</v>
      </c>
    </row>
    <row r="73" spans="2:5">
      <c r="B73" s="24" t="s">
        <v>62</v>
      </c>
      <c r="C73" s="25" t="s">
        <v>65</v>
      </c>
      <c r="D73" s="26">
        <f>E17</f>
        <v>1874330.07</v>
      </c>
      <c r="E73" s="27">
        <f>D73/E21</f>
        <v>1.6456899118754635E-2</v>
      </c>
    </row>
    <row r="74" spans="2:5">
      <c r="B74" s="151" t="s">
        <v>64</v>
      </c>
      <c r="C74" s="152" t="s">
        <v>66</v>
      </c>
      <c r="D74" s="153">
        <f>D58+D71+D72-D73</f>
        <v>113893270.93000001</v>
      </c>
      <c r="E74" s="70">
        <f>E58+E72-E73</f>
        <v>0.99999985345929687</v>
      </c>
    </row>
    <row r="75" spans="2:5">
      <c r="B75" s="15" t="s">
        <v>4</v>
      </c>
      <c r="C75" s="16" t="s">
        <v>67</v>
      </c>
      <c r="D75" s="94">
        <f>D74</f>
        <v>113893270.93000001</v>
      </c>
      <c r="E75" s="95">
        <f>E74</f>
        <v>0.99999985345929687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38" sqref="E3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114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30445.13</v>
      </c>
      <c r="E11" s="9">
        <f>E12</f>
        <v>23367.21</v>
      </c>
    </row>
    <row r="12" spans="2:7">
      <c r="B12" s="137" t="s">
        <v>4</v>
      </c>
      <c r="C12" s="6" t="s">
        <v>5</v>
      </c>
      <c r="D12" s="90">
        <v>30445.13</v>
      </c>
      <c r="E12" s="101">
        <v>23367.21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30445.13</v>
      </c>
      <c r="E21" s="181">
        <f>E12</f>
        <v>23367.21</v>
      </c>
      <c r="F21" s="89"/>
      <c r="G21" s="89"/>
      <c r="H21" s="213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18276.02</v>
      </c>
      <c r="E26" s="123">
        <f>D21</f>
        <v>30445.13</v>
      </c>
      <c r="G26" s="84"/>
    </row>
    <row r="27" spans="2:10">
      <c r="B27" s="10" t="s">
        <v>17</v>
      </c>
      <c r="C27" s="11" t="s">
        <v>228</v>
      </c>
      <c r="D27" s="182">
        <v>12407.08</v>
      </c>
      <c r="E27" s="180">
        <f>E28-E32</f>
        <v>-8321.58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12407.08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11407.08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8321.58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7170.26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102.19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1049.1300000000001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-237.97</v>
      </c>
      <c r="E40" s="128">
        <v>1243.6600000000001</v>
      </c>
      <c r="G40" s="84"/>
    </row>
    <row r="41" spans="2:10" ht="13.5" thickBot="1">
      <c r="B41" s="129" t="s">
        <v>37</v>
      </c>
      <c r="C41" s="130" t="s">
        <v>38</v>
      </c>
      <c r="D41" s="131">
        <v>30445.129999999997</v>
      </c>
      <c r="E41" s="181">
        <f>E26+E27+E40</f>
        <v>23367.210000000003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163.42679999999999</v>
      </c>
      <c r="E47" s="185">
        <v>272.75689999999997</v>
      </c>
      <c r="G47" s="79"/>
    </row>
    <row r="48" spans="2:10">
      <c r="B48" s="154" t="s">
        <v>6</v>
      </c>
      <c r="C48" s="23" t="s">
        <v>41</v>
      </c>
      <c r="D48" s="264">
        <v>272.75689999999997</v>
      </c>
      <c r="E48" s="185">
        <v>200.57689999999999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111.83</v>
      </c>
      <c r="E50" s="185">
        <v>111.62</v>
      </c>
    </row>
    <row r="51" spans="2:5">
      <c r="B51" s="133" t="s">
        <v>6</v>
      </c>
      <c r="C51" s="16" t="s">
        <v>231</v>
      </c>
      <c r="D51" s="267">
        <v>110.21</v>
      </c>
      <c r="E51" s="85">
        <v>111.62</v>
      </c>
    </row>
    <row r="52" spans="2:5">
      <c r="B52" s="133" t="s">
        <v>8</v>
      </c>
      <c r="C52" s="16" t="s">
        <v>232</v>
      </c>
      <c r="D52" s="267">
        <v>113.77</v>
      </c>
      <c r="E52" s="85">
        <v>116.5</v>
      </c>
    </row>
    <row r="53" spans="2:5" ht="12.75" customHeight="1" thickBot="1">
      <c r="B53" s="134" t="s">
        <v>9</v>
      </c>
      <c r="C53" s="18" t="s">
        <v>41</v>
      </c>
      <c r="D53" s="268">
        <v>111.62</v>
      </c>
      <c r="E53" s="187">
        <v>116.5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23367.21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23367.21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23367.21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23367.21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8">
      <c r="B1" s="1"/>
      <c r="C1" s="1"/>
      <c r="D1" s="2"/>
      <c r="E1" s="2"/>
    </row>
    <row r="2" spans="2:8" ht="15.75">
      <c r="B2" s="336" t="s">
        <v>0</v>
      </c>
      <c r="C2" s="336"/>
      <c r="D2" s="336"/>
      <c r="E2" s="336"/>
    </row>
    <row r="3" spans="2:8" ht="15.75">
      <c r="B3" s="336" t="s">
        <v>258</v>
      </c>
      <c r="C3" s="336"/>
      <c r="D3" s="336"/>
      <c r="E3" s="336"/>
    </row>
    <row r="4" spans="2:8" ht="15">
      <c r="B4" s="179"/>
      <c r="C4" s="179"/>
      <c r="D4" s="179"/>
      <c r="E4" s="179"/>
    </row>
    <row r="5" spans="2:8" ht="14.25">
      <c r="B5" s="337" t="s">
        <v>1</v>
      </c>
      <c r="C5" s="337"/>
      <c r="D5" s="337"/>
      <c r="E5" s="337"/>
    </row>
    <row r="6" spans="2:8" ht="14.25">
      <c r="B6" s="338" t="s">
        <v>247</v>
      </c>
      <c r="C6" s="338"/>
      <c r="D6" s="338"/>
      <c r="E6" s="338"/>
    </row>
    <row r="7" spans="2:8" ht="14.25">
      <c r="B7" s="188"/>
      <c r="C7" s="188"/>
      <c r="D7" s="188"/>
      <c r="E7" s="188"/>
    </row>
    <row r="8" spans="2:8" ht="13.5">
      <c r="B8" s="340" t="s">
        <v>18</v>
      </c>
      <c r="C8" s="342"/>
      <c r="D8" s="342"/>
      <c r="E8" s="342"/>
    </row>
    <row r="9" spans="2:8" ht="16.5" thickBot="1">
      <c r="B9" s="339" t="s">
        <v>220</v>
      </c>
      <c r="C9" s="339"/>
      <c r="D9" s="339"/>
      <c r="E9" s="339"/>
    </row>
    <row r="10" spans="2:8" ht="13.5" thickBot="1">
      <c r="B10" s="189"/>
      <c r="C10" s="88" t="s">
        <v>2</v>
      </c>
      <c r="D10" s="75" t="s">
        <v>215</v>
      </c>
      <c r="E10" s="30" t="s">
        <v>259</v>
      </c>
      <c r="H10" s="194"/>
    </row>
    <row r="11" spans="2:8">
      <c r="B11" s="114" t="s">
        <v>3</v>
      </c>
      <c r="C11" s="159" t="s">
        <v>226</v>
      </c>
      <c r="D11" s="74" t="s">
        <v>260</v>
      </c>
      <c r="E11" s="9">
        <f>E12</f>
        <v>5108.1099999999997</v>
      </c>
    </row>
    <row r="12" spans="2:8">
      <c r="B12" s="137" t="s">
        <v>4</v>
      </c>
      <c r="C12" s="6" t="s">
        <v>5</v>
      </c>
      <c r="D12" s="90" t="s">
        <v>260</v>
      </c>
      <c r="E12" s="101">
        <v>5108.1099999999997</v>
      </c>
    </row>
    <row r="13" spans="2:8">
      <c r="B13" s="137" t="s">
        <v>6</v>
      </c>
      <c r="C13" s="72" t="s">
        <v>7</v>
      </c>
      <c r="D13" s="90"/>
      <c r="E13" s="101"/>
    </row>
    <row r="14" spans="2:8">
      <c r="B14" s="137" t="s">
        <v>8</v>
      </c>
      <c r="C14" s="72" t="s">
        <v>10</v>
      </c>
      <c r="D14" s="90"/>
      <c r="E14" s="101"/>
      <c r="G14" s="71"/>
    </row>
    <row r="15" spans="2:8">
      <c r="B15" s="137" t="s">
        <v>223</v>
      </c>
      <c r="C15" s="72" t="s">
        <v>11</v>
      </c>
      <c r="D15" s="90"/>
      <c r="E15" s="101"/>
    </row>
    <row r="16" spans="2:8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D12</f>
        <v>-</v>
      </c>
      <c r="E21" s="181">
        <f>E12</f>
        <v>5108.1099999999997</v>
      </c>
      <c r="F21" s="89"/>
      <c r="G21" s="89"/>
      <c r="H21" s="213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8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1205.7599999999948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103120.04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103120.04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101914.28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100836.68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35.32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1042.28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3902.35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5108.1099999999951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8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185"/>
      <c r="G47" s="79"/>
    </row>
    <row r="48" spans="2:10">
      <c r="B48" s="154" t="s">
        <v>6</v>
      </c>
      <c r="C48" s="23" t="s">
        <v>41</v>
      </c>
      <c r="D48" s="222"/>
      <c r="E48" s="185">
        <v>36.158499999999997</v>
      </c>
      <c r="G48" s="79"/>
    </row>
    <row r="49" spans="2:5">
      <c r="B49" s="151" t="s">
        <v>23</v>
      </c>
      <c r="C49" s="155" t="s">
        <v>230</v>
      </c>
      <c r="D49" s="223"/>
      <c r="E49" s="185"/>
    </row>
    <row r="50" spans="2:5">
      <c r="B50" s="133" t="s">
        <v>4</v>
      </c>
      <c r="C50" s="16" t="s">
        <v>40</v>
      </c>
      <c r="D50" s="221"/>
      <c r="E50" s="185"/>
    </row>
    <row r="51" spans="2:5">
      <c r="B51" s="133" t="s">
        <v>6</v>
      </c>
      <c r="C51" s="16" t="s">
        <v>231</v>
      </c>
      <c r="D51" s="224"/>
      <c r="E51" s="85">
        <v>130.68</v>
      </c>
    </row>
    <row r="52" spans="2:5">
      <c r="B52" s="133" t="s">
        <v>8</v>
      </c>
      <c r="C52" s="16" t="s">
        <v>232</v>
      </c>
      <c r="D52" s="224"/>
      <c r="E52" s="85">
        <v>141.41999999999999</v>
      </c>
    </row>
    <row r="53" spans="2:5" ht="13.5" thickBot="1">
      <c r="B53" s="134" t="s">
        <v>9</v>
      </c>
      <c r="C53" s="18" t="s">
        <v>41</v>
      </c>
      <c r="D53" s="225"/>
      <c r="E53" s="187">
        <v>141.27000000000001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5108.1099999999997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5108.1099999999997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5108.1099999999997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5108.1099999999997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51" sqref="G5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115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315259.2</v>
      </c>
      <c r="E11" s="9">
        <f>E12</f>
        <v>55737.33</v>
      </c>
    </row>
    <row r="12" spans="2:7">
      <c r="B12" s="137" t="s">
        <v>4</v>
      </c>
      <c r="C12" s="6" t="s">
        <v>5</v>
      </c>
      <c r="D12" s="90">
        <v>315259.2</v>
      </c>
      <c r="E12" s="101">
        <v>55737.33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315259.2</v>
      </c>
      <c r="E21" s="104">
        <f>E12</f>
        <v>55737.33</v>
      </c>
      <c r="F21" s="89"/>
      <c r="G21" s="89"/>
      <c r="H21" s="213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696486.3</v>
      </c>
      <c r="E26" s="123">
        <v>315259.2</v>
      </c>
      <c r="G26" s="84"/>
    </row>
    <row r="27" spans="2:10">
      <c r="B27" s="10" t="s">
        <v>17</v>
      </c>
      <c r="C27" s="11" t="s">
        <v>228</v>
      </c>
      <c r="D27" s="182">
        <v>-401957.49</v>
      </c>
      <c r="E27" s="180">
        <f>E28-E32</f>
        <v>-260013.88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879052.89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479800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399252.89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1281010.3799999999</v>
      </c>
      <c r="E32" s="81">
        <f>SUM(E33:E39)</f>
        <v>260013.88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60076.93</v>
      </c>
      <c r="E33" s="105">
        <v>9694.15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175.02</v>
      </c>
      <c r="E35" s="105">
        <v>94.07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13738.07</v>
      </c>
      <c r="E37" s="105">
        <v>2122.5100000000002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1207020.3600000001</v>
      </c>
      <c r="E39" s="184">
        <v>248103.15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20730.39</v>
      </c>
      <c r="E40" s="128">
        <v>492.01</v>
      </c>
      <c r="G40" s="84"/>
    </row>
    <row r="41" spans="2:10" ht="13.5" thickBot="1">
      <c r="B41" s="129" t="s">
        <v>37</v>
      </c>
      <c r="C41" s="130" t="s">
        <v>38</v>
      </c>
      <c r="D41" s="131">
        <v>315259.20000000007</v>
      </c>
      <c r="E41" s="181">
        <f>E26+E27+E40</f>
        <v>55737.330000000009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5840.5559999999996</v>
      </c>
      <c r="E47" s="185">
        <v>2582.8216000000002</v>
      </c>
      <c r="G47" s="79"/>
    </row>
    <row r="48" spans="2:10">
      <c r="B48" s="154" t="s">
        <v>6</v>
      </c>
      <c r="C48" s="23" t="s">
        <v>41</v>
      </c>
      <c r="D48" s="264">
        <v>2582.8216000000002</v>
      </c>
      <c r="E48" s="185">
        <v>438.08319999999998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119.25</v>
      </c>
      <c r="E50" s="185">
        <v>122.06</v>
      </c>
    </row>
    <row r="51" spans="2:5">
      <c r="B51" s="133" t="s">
        <v>6</v>
      </c>
      <c r="C51" s="16" t="s">
        <v>231</v>
      </c>
      <c r="D51" s="267">
        <v>119.22</v>
      </c>
      <c r="E51" s="85">
        <v>120.99000000000001</v>
      </c>
    </row>
    <row r="52" spans="2:5">
      <c r="B52" s="133" t="s">
        <v>8</v>
      </c>
      <c r="C52" s="16" t="s">
        <v>232</v>
      </c>
      <c r="D52" s="267">
        <v>122.46</v>
      </c>
      <c r="E52" s="85">
        <v>127.23</v>
      </c>
    </row>
    <row r="53" spans="2:5" ht="13.5" customHeight="1" thickBot="1">
      <c r="B53" s="134" t="s">
        <v>9</v>
      </c>
      <c r="C53" s="18" t="s">
        <v>41</v>
      </c>
      <c r="D53" s="268">
        <v>122.06</v>
      </c>
      <c r="E53" s="187">
        <v>127.23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55737.33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55737.33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55737.33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55737.33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J81"/>
  <sheetViews>
    <sheetView topLeftCell="A4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11"/>
      <c r="C4" s="111"/>
      <c r="D4" s="111"/>
      <c r="E4" s="111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185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2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6431.49</v>
      </c>
      <c r="E11" s="9">
        <f>E12</f>
        <v>6890.98</v>
      </c>
    </row>
    <row r="12" spans="2:7">
      <c r="B12" s="137" t="s">
        <v>4</v>
      </c>
      <c r="C12" s="6" t="s">
        <v>5</v>
      </c>
      <c r="D12" s="90">
        <v>6431.49</v>
      </c>
      <c r="E12" s="101">
        <v>6890.98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6431.49</v>
      </c>
      <c r="E21" s="181">
        <f>E11</f>
        <v>6890.98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2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v>6431.49</v>
      </c>
      <c r="G26" s="84"/>
    </row>
    <row r="27" spans="2:10">
      <c r="B27" s="10" t="s">
        <v>17</v>
      </c>
      <c r="C27" s="11" t="s">
        <v>228</v>
      </c>
      <c r="D27" s="182">
        <v>6756.93</v>
      </c>
      <c r="E27" s="180">
        <f>E28-E32</f>
        <v>-110.34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7575.37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6750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825.37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818.44</v>
      </c>
      <c r="E32" s="81">
        <f>SUM(E33:E39)</f>
        <v>110.34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1.63</v>
      </c>
      <c r="E35" s="105">
        <v>8.64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10.69</v>
      </c>
      <c r="E37" s="105">
        <v>101.7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806.12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-325.44</v>
      </c>
      <c r="E40" s="128">
        <v>569.83000000000004</v>
      </c>
      <c r="G40" s="84"/>
    </row>
    <row r="41" spans="2:10" ht="13.5" thickBot="1">
      <c r="B41" s="129" t="s">
        <v>37</v>
      </c>
      <c r="C41" s="130" t="s">
        <v>38</v>
      </c>
      <c r="D41" s="131">
        <v>6431.4900000000007</v>
      </c>
      <c r="E41" s="181">
        <f>E26+E27+E40</f>
        <v>6890.98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2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41.290999999999997</v>
      </c>
      <c r="G47" s="79"/>
    </row>
    <row r="48" spans="2:10">
      <c r="B48" s="154" t="s">
        <v>6</v>
      </c>
      <c r="C48" s="23" t="s">
        <v>41</v>
      </c>
      <c r="D48" s="264">
        <v>41.290999999999997</v>
      </c>
      <c r="E48" s="185">
        <v>40.585299999999997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155.76</v>
      </c>
    </row>
    <row r="51" spans="2:5">
      <c r="B51" s="133" t="s">
        <v>6</v>
      </c>
      <c r="C51" s="16" t="s">
        <v>231</v>
      </c>
      <c r="D51" s="267">
        <v>145.01</v>
      </c>
      <c r="E51" s="85">
        <v>144.49</v>
      </c>
    </row>
    <row r="52" spans="2:5">
      <c r="B52" s="133" t="s">
        <v>8</v>
      </c>
      <c r="C52" s="16" t="s">
        <v>232</v>
      </c>
      <c r="D52" s="267">
        <v>164.07</v>
      </c>
      <c r="E52" s="85">
        <v>169.79</v>
      </c>
    </row>
    <row r="53" spans="2:5" ht="14.25" customHeight="1" thickBot="1">
      <c r="B53" s="134" t="s">
        <v>9</v>
      </c>
      <c r="C53" s="18" t="s">
        <v>41</v>
      </c>
      <c r="D53" s="268">
        <v>155.76</v>
      </c>
      <c r="E53" s="187">
        <v>169.79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6890.98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6890.98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6890.98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6890.98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42" sqref="E4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116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42816.17</v>
      </c>
      <c r="E11" s="9">
        <f>E12</f>
        <v>0</v>
      </c>
    </row>
    <row r="12" spans="2:7">
      <c r="B12" s="137" t="s">
        <v>4</v>
      </c>
      <c r="C12" s="6" t="s">
        <v>5</v>
      </c>
      <c r="D12" s="90">
        <v>42816.17</v>
      </c>
      <c r="E12" s="101">
        <v>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42816.17</v>
      </c>
      <c r="E21" s="104">
        <f>E11</f>
        <v>0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1263269.43</v>
      </c>
      <c r="E26" s="123">
        <f>D21</f>
        <v>42816.17</v>
      </c>
      <c r="G26" s="84"/>
    </row>
    <row r="27" spans="2:10">
      <c r="B27" s="10" t="s">
        <v>17</v>
      </c>
      <c r="C27" s="11" t="s">
        <v>228</v>
      </c>
      <c r="D27" s="182">
        <v>-1188801.25</v>
      </c>
      <c r="E27" s="108">
        <f>E28-E32</f>
        <v>-44692.97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3105065.81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2822861.21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282204.59999999998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4293867.0599999996</v>
      </c>
      <c r="E32" s="81">
        <f>SUM(E33:E39)</f>
        <v>44692.97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479305.53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348.12</v>
      </c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22585.49</v>
      </c>
      <c r="E37" s="105">
        <v>617.65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3791627.92</v>
      </c>
      <c r="E39" s="106">
        <v>44075.32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-31652.01</v>
      </c>
      <c r="E40" s="128">
        <v>1876.8</v>
      </c>
      <c r="G40" s="84"/>
    </row>
    <row r="41" spans="2:10" ht="13.5" thickBot="1">
      <c r="B41" s="129" t="s">
        <v>37</v>
      </c>
      <c r="C41" s="130" t="s">
        <v>38</v>
      </c>
      <c r="D41" s="131">
        <v>42816.16999999994</v>
      </c>
      <c r="E41" s="181" t="s">
        <v>260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9314.0856000000003</v>
      </c>
      <c r="E47" s="185">
        <v>308.87439999999998</v>
      </c>
      <c r="G47" s="79"/>
    </row>
    <row r="48" spans="2:10">
      <c r="B48" s="154" t="s">
        <v>6</v>
      </c>
      <c r="C48" s="23" t="s">
        <v>41</v>
      </c>
      <c r="D48" s="264">
        <v>308.87439999999998</v>
      </c>
      <c r="E48" s="185">
        <v>0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135.63</v>
      </c>
      <c r="E50" s="185">
        <v>138.62</v>
      </c>
    </row>
    <row r="51" spans="2:5">
      <c r="B51" s="133" t="s">
        <v>6</v>
      </c>
      <c r="C51" s="16" t="s">
        <v>231</v>
      </c>
      <c r="D51" s="267">
        <v>134.88999999999999</v>
      </c>
      <c r="E51" s="85">
        <v>138.62</v>
      </c>
    </row>
    <row r="52" spans="2:5">
      <c r="B52" s="133" t="s">
        <v>8</v>
      </c>
      <c r="C52" s="16" t="s">
        <v>232</v>
      </c>
      <c r="D52" s="267">
        <v>139.1</v>
      </c>
      <c r="E52" s="85">
        <v>145.32</v>
      </c>
    </row>
    <row r="53" spans="2:5" ht="13.5" customHeight="1" thickBot="1">
      <c r="B53" s="134" t="s">
        <v>9</v>
      </c>
      <c r="C53" s="18" t="s">
        <v>41</v>
      </c>
      <c r="D53" s="268">
        <v>138.62</v>
      </c>
      <c r="E53" s="187">
        <v>0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0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0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0</v>
      </c>
      <c r="E74" s="70">
        <v>0</v>
      </c>
    </row>
    <row r="75" spans="2:5">
      <c r="B75" s="133" t="s">
        <v>4</v>
      </c>
      <c r="C75" s="16" t="s">
        <v>67</v>
      </c>
      <c r="D75" s="94">
        <f>D74</f>
        <v>0</v>
      </c>
      <c r="E75" s="95"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E12" sqref="E1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117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 t="s">
        <v>260</v>
      </c>
    </row>
    <row r="12" spans="2:7">
      <c r="B12" s="137" t="s">
        <v>4</v>
      </c>
      <c r="C12" s="6" t="s">
        <v>5</v>
      </c>
      <c r="D12" s="90" t="s">
        <v>260</v>
      </c>
      <c r="E12" s="101" t="s">
        <v>260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04" t="str">
        <f>E12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145361.07999999999</v>
      </c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>
        <v>-148683.73000000001</v>
      </c>
      <c r="E27" s="180">
        <f>E28-E32</f>
        <v>13.01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148683.73000000001</v>
      </c>
      <c r="E32" s="81">
        <f>SUM(E33:E39)</f>
        <v>-13.01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1.63</v>
      </c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1461.32</v>
      </c>
      <c r="E37" s="105">
        <v>-13.01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147220.78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3322.65</v>
      </c>
      <c r="E40" s="128">
        <v>-13.01</v>
      </c>
      <c r="G40" s="84"/>
    </row>
    <row r="41" spans="2:10" ht="13.5" thickBot="1">
      <c r="B41" s="129" t="s">
        <v>37</v>
      </c>
      <c r="C41" s="130" t="s">
        <v>38</v>
      </c>
      <c r="D41" s="131">
        <v>0</v>
      </c>
      <c r="E41" s="181" t="s">
        <v>260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334.32479999999998</v>
      </c>
      <c r="E47" s="83"/>
      <c r="G47" s="79"/>
    </row>
    <row r="48" spans="2:10">
      <c r="B48" s="154" t="s">
        <v>6</v>
      </c>
      <c r="C48" s="23" t="s">
        <v>41</v>
      </c>
      <c r="D48" s="264"/>
      <c r="E48" s="185"/>
      <c r="G48" s="79"/>
    </row>
    <row r="49" spans="2:5">
      <c r="B49" s="151" t="s">
        <v>23</v>
      </c>
      <c r="C49" s="155" t="s">
        <v>230</v>
      </c>
      <c r="D49" s="266"/>
      <c r="E49" s="156"/>
    </row>
    <row r="50" spans="2:5">
      <c r="B50" s="133" t="s">
        <v>4</v>
      </c>
      <c r="C50" s="16" t="s">
        <v>40</v>
      </c>
      <c r="D50" s="263">
        <v>434.79</v>
      </c>
      <c r="E50" s="85"/>
    </row>
    <row r="51" spans="2:5">
      <c r="B51" s="133" t="s">
        <v>6</v>
      </c>
      <c r="C51" s="16" t="s">
        <v>231</v>
      </c>
      <c r="D51" s="267">
        <v>385.93</v>
      </c>
      <c r="E51" s="85">
        <v>371.59000000000003</v>
      </c>
    </row>
    <row r="52" spans="2:5">
      <c r="B52" s="133" t="s">
        <v>8</v>
      </c>
      <c r="C52" s="16" t="s">
        <v>232</v>
      </c>
      <c r="D52" s="267">
        <v>475.12</v>
      </c>
      <c r="E52" s="85">
        <v>453.67</v>
      </c>
    </row>
    <row r="53" spans="2:5" ht="14.25" customHeight="1" thickBot="1">
      <c r="B53" s="134" t="s">
        <v>9</v>
      </c>
      <c r="C53" s="18" t="s">
        <v>41</v>
      </c>
      <c r="D53" s="237"/>
      <c r="E53" s="86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0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0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v>0</v>
      </c>
      <c r="E74" s="70">
        <f>E58+E72-E73</f>
        <v>0</v>
      </c>
    </row>
    <row r="75" spans="2:5">
      <c r="B75" s="133" t="s">
        <v>4</v>
      </c>
      <c r="C75" s="16" t="s">
        <v>67</v>
      </c>
      <c r="D75" s="94">
        <v>0</v>
      </c>
      <c r="E75" s="95">
        <f>E74</f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162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3563972.67</v>
      </c>
      <c r="E11" s="9">
        <f>E12</f>
        <v>1786443.04</v>
      </c>
    </row>
    <row r="12" spans="2:7">
      <c r="B12" s="137" t="s">
        <v>4</v>
      </c>
      <c r="C12" s="6" t="s">
        <v>5</v>
      </c>
      <c r="D12" s="90">
        <v>3563972.67</v>
      </c>
      <c r="E12" s="101">
        <v>1786443.04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3563972.67</v>
      </c>
      <c r="E21" s="181">
        <f>E11</f>
        <v>1786443.04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1006243.25</v>
      </c>
      <c r="E26" s="123">
        <v>3563972.67</v>
      </c>
      <c r="G26" s="84"/>
    </row>
    <row r="27" spans="2:10">
      <c r="B27" s="10" t="s">
        <v>17</v>
      </c>
      <c r="C27" s="11" t="s">
        <v>228</v>
      </c>
      <c r="D27" s="182">
        <v>2521247.5299999998</v>
      </c>
      <c r="E27" s="180">
        <f>E28-E32</f>
        <v>-1720336.39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3923777.24</v>
      </c>
      <c r="E28" s="81">
        <f>SUM(E29:E31)</f>
        <v>0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2881043.41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1042733.83</v>
      </c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1402529.71</v>
      </c>
      <c r="E32" s="81">
        <f>SUM(E33:E39)</f>
        <v>1720336.39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651674.12</v>
      </c>
      <c r="E33" s="105">
        <v>298167.77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2336.08</v>
      </c>
      <c r="E35" s="105">
        <v>7111.08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44737.83</v>
      </c>
      <c r="E37" s="105">
        <v>34858.89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703781.68</v>
      </c>
      <c r="E39" s="184">
        <v>1380198.65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36481.89</v>
      </c>
      <c r="E40" s="128">
        <v>-57193.24</v>
      </c>
      <c r="G40" s="84"/>
    </row>
    <row r="41" spans="2:10" ht="13.5" thickBot="1">
      <c r="B41" s="129" t="s">
        <v>37</v>
      </c>
      <c r="C41" s="130" t="s">
        <v>38</v>
      </c>
      <c r="D41" s="131">
        <v>3563972.67</v>
      </c>
      <c r="E41" s="181">
        <f>E26+E27+E40</f>
        <v>1786443.04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101640.732</v>
      </c>
      <c r="E47" s="185">
        <v>330303.30599999998</v>
      </c>
      <c r="G47" s="79"/>
    </row>
    <row r="48" spans="2:10">
      <c r="B48" s="154" t="s">
        <v>6</v>
      </c>
      <c r="C48" s="23" t="s">
        <v>41</v>
      </c>
      <c r="D48" s="264">
        <v>330303.30599999998</v>
      </c>
      <c r="E48" s="185">
        <v>160362.93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9.9</v>
      </c>
      <c r="E50" s="185">
        <v>10.79</v>
      </c>
    </row>
    <row r="51" spans="2:5">
      <c r="B51" s="133" t="s">
        <v>6</v>
      </c>
      <c r="C51" s="16" t="s">
        <v>231</v>
      </c>
      <c r="D51" s="267">
        <v>9.59</v>
      </c>
      <c r="E51" s="85">
        <v>8.98</v>
      </c>
    </row>
    <row r="52" spans="2:5">
      <c r="B52" s="133" t="s">
        <v>8</v>
      </c>
      <c r="C52" s="16" t="s">
        <v>232</v>
      </c>
      <c r="D52" s="267">
        <v>11.9</v>
      </c>
      <c r="E52" s="85">
        <v>11.14</v>
      </c>
    </row>
    <row r="53" spans="2:5" ht="13.5" customHeight="1" thickBot="1">
      <c r="B53" s="134" t="s">
        <v>9</v>
      </c>
      <c r="C53" s="18" t="s">
        <v>41</v>
      </c>
      <c r="D53" s="268">
        <v>10.79</v>
      </c>
      <c r="E53" s="187">
        <v>11.14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1786443.04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1786443.04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1786443.04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1786443.04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160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3428738.51</v>
      </c>
      <c r="E11" s="9">
        <f>E12</f>
        <v>3052935.22</v>
      </c>
    </row>
    <row r="12" spans="2:7">
      <c r="B12" s="137" t="s">
        <v>4</v>
      </c>
      <c r="C12" s="6" t="s">
        <v>5</v>
      </c>
      <c r="D12" s="90">
        <v>3428738.51</v>
      </c>
      <c r="E12" s="101">
        <v>3052935.22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3428738.51</v>
      </c>
      <c r="E21" s="181">
        <f>E11</f>
        <v>3052935.22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7409642.6799999997</v>
      </c>
      <c r="E26" s="123">
        <f>D21</f>
        <v>3428738.51</v>
      </c>
      <c r="G26" s="84"/>
    </row>
    <row r="27" spans="2:10">
      <c r="B27" s="10" t="s">
        <v>17</v>
      </c>
      <c r="C27" s="11" t="s">
        <v>228</v>
      </c>
      <c r="D27" s="182">
        <v>-3773118.65</v>
      </c>
      <c r="E27" s="180">
        <f>E28-E32</f>
        <v>-503645.49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718262.12</v>
      </c>
      <c r="E28" s="81">
        <f>SUM(E29:E31)</f>
        <v>283254.62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713274.76</v>
      </c>
      <c r="E29" s="105">
        <v>260324.99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4987.3599999999997</v>
      </c>
      <c r="E31" s="105">
        <v>22929.63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4491380.7699999996</v>
      </c>
      <c r="E32" s="81">
        <f>SUM(E33:E39)</f>
        <v>786900.11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1656064.18</v>
      </c>
      <c r="E33" s="105">
        <v>415035.31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2714.43</v>
      </c>
      <c r="E35" s="105">
        <v>5669.32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80666.81</v>
      </c>
      <c r="E37" s="105">
        <v>43569.13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2751935.35</v>
      </c>
      <c r="E39" s="184">
        <v>322626.34999999998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-207785.52</v>
      </c>
      <c r="E40" s="128">
        <v>127842.2</v>
      </c>
      <c r="G40" s="84"/>
    </row>
    <row r="41" spans="2:10" ht="13.5" thickBot="1">
      <c r="B41" s="129" t="s">
        <v>37</v>
      </c>
      <c r="C41" s="130" t="s">
        <v>38</v>
      </c>
      <c r="D41" s="131">
        <v>3428738.51</v>
      </c>
      <c r="E41" s="181">
        <f>E26+E27+E40</f>
        <v>3052935.2199999997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490704.81300000002</v>
      </c>
      <c r="E47" s="185">
        <v>240275.99900000001</v>
      </c>
      <c r="G47" s="79"/>
    </row>
    <row r="48" spans="2:10">
      <c r="B48" s="154" t="s">
        <v>6</v>
      </c>
      <c r="C48" s="23" t="s">
        <v>41</v>
      </c>
      <c r="D48" s="264">
        <v>240275.99900000001</v>
      </c>
      <c r="E48" s="185">
        <v>200455.36600000001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15.1</v>
      </c>
      <c r="E50" s="185">
        <v>14.27</v>
      </c>
    </row>
    <row r="51" spans="2:5">
      <c r="B51" s="133" t="s">
        <v>6</v>
      </c>
      <c r="C51" s="16" t="s">
        <v>231</v>
      </c>
      <c r="D51" s="267">
        <v>13.64</v>
      </c>
      <c r="E51" s="185">
        <v>12.66</v>
      </c>
    </row>
    <row r="52" spans="2:5">
      <c r="B52" s="133" t="s">
        <v>8</v>
      </c>
      <c r="C52" s="16" t="s">
        <v>232</v>
      </c>
      <c r="D52" s="267">
        <v>15.85</v>
      </c>
      <c r="E52" s="85">
        <v>15.32</v>
      </c>
    </row>
    <row r="53" spans="2:5" ht="12.75" customHeight="1" thickBot="1">
      <c r="B53" s="134" t="s">
        <v>9</v>
      </c>
      <c r="C53" s="18" t="s">
        <v>41</v>
      </c>
      <c r="D53" s="268">
        <v>14.27</v>
      </c>
      <c r="E53" s="187">
        <v>15.23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3052935.22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3052935.22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3052935.22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3052935.22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161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1101151.2</v>
      </c>
      <c r="E11" s="9">
        <f>E12</f>
        <v>255199.78</v>
      </c>
    </row>
    <row r="12" spans="2:7">
      <c r="B12" s="137" t="s">
        <v>4</v>
      </c>
      <c r="C12" s="6" t="s">
        <v>5</v>
      </c>
      <c r="D12" s="90">
        <v>1101151.2</v>
      </c>
      <c r="E12" s="101">
        <v>255199.78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1101151.2</v>
      </c>
      <c r="E21" s="181">
        <f>E11</f>
        <v>255199.78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242365.17</v>
      </c>
      <c r="E26" s="123">
        <f>D21</f>
        <v>1101151.2</v>
      </c>
      <c r="G26" s="84"/>
    </row>
    <row r="27" spans="2:10">
      <c r="B27" s="10" t="s">
        <v>17</v>
      </c>
      <c r="C27" s="11" t="s">
        <v>228</v>
      </c>
      <c r="D27" s="182">
        <v>1304624.42</v>
      </c>
      <c r="E27" s="180">
        <f>E28-E32</f>
        <v>-1079308.4700000002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1340000</v>
      </c>
      <c r="E28" s="81">
        <f>SUM(E29:E31)</f>
        <v>633607.39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1340000</v>
      </c>
      <c r="E29" s="105">
        <v>200000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433607.39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35375.58</v>
      </c>
      <c r="E32" s="81">
        <f>SUM(E33:E39)</f>
        <v>1712915.86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1091735.25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139.66</v>
      </c>
      <c r="E35" s="105">
        <v>247.36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18669.48</v>
      </c>
      <c r="E37" s="105">
        <v>13502.49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16566.439999999999</v>
      </c>
      <c r="E39" s="184">
        <v>607430.76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-445838.39</v>
      </c>
      <c r="E40" s="128">
        <v>233357.05</v>
      </c>
      <c r="G40" s="84"/>
    </row>
    <row r="41" spans="2:10" ht="13.5" thickBot="1">
      <c r="B41" s="129" t="s">
        <v>37</v>
      </c>
      <c r="C41" s="130" t="s">
        <v>38</v>
      </c>
      <c r="D41" s="131">
        <v>1101151.1999999997</v>
      </c>
      <c r="E41" s="181">
        <f>E26+E27+E40</f>
        <v>255199.77999999974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185"/>
      <c r="G46" s="79"/>
    </row>
    <row r="47" spans="2:10">
      <c r="B47" s="133" t="s">
        <v>4</v>
      </c>
      <c r="C47" s="16" t="s">
        <v>40</v>
      </c>
      <c r="D47" s="263">
        <v>28480.044000000002</v>
      </c>
      <c r="E47" s="185">
        <v>182612.139</v>
      </c>
      <c r="G47" s="79"/>
    </row>
    <row r="48" spans="2:10">
      <c r="B48" s="154" t="s">
        <v>6</v>
      </c>
      <c r="C48" s="23" t="s">
        <v>41</v>
      </c>
      <c r="D48" s="264">
        <v>182612.139</v>
      </c>
      <c r="E48" s="185">
        <v>32303.77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8.51</v>
      </c>
      <c r="E50" s="185">
        <v>6.03</v>
      </c>
    </row>
    <row r="51" spans="2:5">
      <c r="B51" s="133" t="s">
        <v>6</v>
      </c>
      <c r="C51" s="16" t="s">
        <v>231</v>
      </c>
      <c r="D51" s="267">
        <v>5.82</v>
      </c>
      <c r="E51" s="85">
        <v>4.9000000000000004</v>
      </c>
    </row>
    <row r="52" spans="2:5">
      <c r="B52" s="133" t="s">
        <v>8</v>
      </c>
      <c r="C52" s="16" t="s">
        <v>232</v>
      </c>
      <c r="D52" s="267">
        <v>9.27</v>
      </c>
      <c r="E52" s="85">
        <v>8.2200000000000006</v>
      </c>
    </row>
    <row r="53" spans="2:5" ht="12.75" customHeight="1" thickBot="1">
      <c r="B53" s="134" t="s">
        <v>9</v>
      </c>
      <c r="C53" s="18" t="s">
        <v>41</v>
      </c>
      <c r="D53" s="268">
        <v>6.03</v>
      </c>
      <c r="E53" s="187">
        <v>7.9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255199.78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255199.78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255199.78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255199.78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159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4443973.5999999996</v>
      </c>
      <c r="E11" s="9">
        <f>E12</f>
        <v>4704124.28</v>
      </c>
    </row>
    <row r="12" spans="2:7">
      <c r="B12" s="137" t="s">
        <v>4</v>
      </c>
      <c r="C12" s="6" t="s">
        <v>5</v>
      </c>
      <c r="D12" s="90">
        <v>4443973.5999999996</v>
      </c>
      <c r="E12" s="101">
        <v>4704124.28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4443973.5999999996</v>
      </c>
      <c r="E21" s="181">
        <f>E11</f>
        <v>4704124.28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3411871.72</v>
      </c>
      <c r="E26" s="123">
        <v>4443973.5999999996</v>
      </c>
      <c r="G26" s="84"/>
    </row>
    <row r="27" spans="2:10">
      <c r="B27" s="10" t="s">
        <v>17</v>
      </c>
      <c r="C27" s="11" t="s">
        <v>228</v>
      </c>
      <c r="D27" s="182">
        <v>843977.43</v>
      </c>
      <c r="E27" s="180">
        <f>E28-E32</f>
        <v>388113.24999999953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1494000.5799999998</v>
      </c>
      <c r="E28" s="81">
        <f>SUM(E29:E31)</f>
        <v>2788778.42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1135964.1499999999</v>
      </c>
      <c r="E29" s="105">
        <v>3500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>
        <v>358036.43</v>
      </c>
      <c r="E31" s="105">
        <v>2785278.42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650023.15</v>
      </c>
      <c r="E32" s="81">
        <f>SUM(E33:E39)</f>
        <v>2400665.1700000004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349334.63</v>
      </c>
      <c r="E33" s="105">
        <v>2196661.2200000002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5808.19</v>
      </c>
      <c r="E35" s="105">
        <v>24349.56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60400.79</v>
      </c>
      <c r="E37" s="105">
        <v>56224.41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>
        <v>234479.54</v>
      </c>
      <c r="E39" s="184">
        <v>123429.98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188124.45</v>
      </c>
      <c r="E40" s="128">
        <v>-127962.57</v>
      </c>
      <c r="G40" s="84"/>
    </row>
    <row r="41" spans="2:10" ht="13.5" thickBot="1">
      <c r="B41" s="129" t="s">
        <v>37</v>
      </c>
      <c r="C41" s="130" t="s">
        <v>38</v>
      </c>
      <c r="D41" s="131">
        <v>4443973.6000000006</v>
      </c>
      <c r="E41" s="181">
        <f>E26+E27+E40</f>
        <v>4704124.2799999993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51"/>
      <c r="D43" s="351"/>
      <c r="E43" s="351"/>
      <c r="G43" s="79"/>
    </row>
    <row r="44" spans="2:10" ht="18" customHeight="1" thickBot="1">
      <c r="B44" s="339" t="s">
        <v>256</v>
      </c>
      <c r="C44" s="350"/>
      <c r="D44" s="350"/>
      <c r="E44" s="350"/>
      <c r="G44" s="79"/>
    </row>
    <row r="45" spans="2:10" ht="13.5" thickBot="1">
      <c r="B45" s="25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283" t="s">
        <v>4</v>
      </c>
      <c r="C47" s="284" t="s">
        <v>40</v>
      </c>
      <c r="D47" s="263">
        <v>162470.08199999999</v>
      </c>
      <c r="E47" s="185">
        <v>199908.84400000001</v>
      </c>
      <c r="G47" s="79"/>
    </row>
    <row r="48" spans="2:10">
      <c r="B48" s="285" t="s">
        <v>6</v>
      </c>
      <c r="C48" s="286" t="s">
        <v>41</v>
      </c>
      <c r="D48" s="264">
        <v>199908.84400000001</v>
      </c>
      <c r="E48" s="185">
        <v>217280.56700000001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283" t="s">
        <v>4</v>
      </c>
      <c r="C50" s="284" t="s">
        <v>40</v>
      </c>
      <c r="D50" s="263">
        <v>21</v>
      </c>
      <c r="E50" s="185">
        <v>22.23</v>
      </c>
    </row>
    <row r="51" spans="2:5">
      <c r="B51" s="283" t="s">
        <v>6</v>
      </c>
      <c r="C51" s="284" t="s">
        <v>231</v>
      </c>
      <c r="D51" s="267">
        <v>20.309999999999999</v>
      </c>
      <c r="E51" s="85">
        <v>18.3</v>
      </c>
    </row>
    <row r="52" spans="2:5">
      <c r="B52" s="283" t="s">
        <v>8</v>
      </c>
      <c r="C52" s="284" t="s">
        <v>232</v>
      </c>
      <c r="D52" s="267">
        <v>23.81</v>
      </c>
      <c r="E52" s="85">
        <v>22.23</v>
      </c>
    </row>
    <row r="53" spans="2:5" ht="13.5" customHeight="1" thickBot="1">
      <c r="B53" s="287" t="s">
        <v>9</v>
      </c>
      <c r="C53" s="288" t="s">
        <v>41</v>
      </c>
      <c r="D53" s="268">
        <v>22.23</v>
      </c>
      <c r="E53" s="187">
        <v>21.65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4704124.28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4704124.28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4704124.28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4704124.28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1"/>
  <sheetViews>
    <sheetView topLeftCell="A52" zoomScaleNormal="100" workbookViewId="0">
      <selection activeCell="G48" sqref="G4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88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38234949.519999996</v>
      </c>
      <c r="E11" s="9">
        <f>E12+E13+E14</f>
        <v>41973696.729999989</v>
      </c>
    </row>
    <row r="12" spans="2:7">
      <c r="B12" s="137" t="s">
        <v>4</v>
      </c>
      <c r="C12" s="6" t="s">
        <v>5</v>
      </c>
      <c r="D12" s="90">
        <v>38081179.759999998</v>
      </c>
      <c r="E12" s="101">
        <f>41469361.54+368559.48+1.01</f>
        <v>41837922.029999994</v>
      </c>
    </row>
    <row r="13" spans="2:7">
      <c r="B13" s="137" t="s">
        <v>6</v>
      </c>
      <c r="C13" s="72" t="s">
        <v>7</v>
      </c>
      <c r="D13" s="90">
        <v>3.37</v>
      </c>
      <c r="E13" s="101">
        <v>38.799999999999997</v>
      </c>
    </row>
    <row r="14" spans="2:7">
      <c r="B14" s="137" t="s">
        <v>8</v>
      </c>
      <c r="C14" s="72" t="s">
        <v>10</v>
      </c>
      <c r="D14" s="90">
        <v>153766.39000000001</v>
      </c>
      <c r="E14" s="101">
        <f>E15</f>
        <v>135735.9</v>
      </c>
    </row>
    <row r="15" spans="2:7">
      <c r="B15" s="137" t="s">
        <v>223</v>
      </c>
      <c r="C15" s="72" t="s">
        <v>11</v>
      </c>
      <c r="D15" s="90">
        <v>153766.39000000001</v>
      </c>
      <c r="E15" s="101">
        <f>23594.37+164+111977.53</f>
        <v>135735.9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72457.25</v>
      </c>
      <c r="E17" s="117">
        <f>SUM(E18:E19)</f>
        <v>420619.65</v>
      </c>
    </row>
    <row r="18" spans="2:10">
      <c r="B18" s="137" t="s">
        <v>4</v>
      </c>
      <c r="C18" s="6" t="s">
        <v>11</v>
      </c>
      <c r="D18" s="90">
        <v>72457.25</v>
      </c>
      <c r="E18" s="102">
        <v>78581.710000000006</v>
      </c>
    </row>
    <row r="19" spans="2:10" ht="13.5" customHeight="1">
      <c r="B19" s="137" t="s">
        <v>6</v>
      </c>
      <c r="C19" s="72" t="s">
        <v>225</v>
      </c>
      <c r="D19" s="90"/>
      <c r="E19" s="101">
        <v>342037.94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38162492.269999996</v>
      </c>
      <c r="E21" s="104">
        <f>E11-E17</f>
        <v>41553077.079999991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6.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37271693.690000005</v>
      </c>
      <c r="E26" s="123">
        <v>38162492.269999996</v>
      </c>
      <c r="G26" s="84"/>
    </row>
    <row r="27" spans="2:10">
      <c r="B27" s="10" t="s">
        <v>17</v>
      </c>
      <c r="C27" s="11" t="s">
        <v>228</v>
      </c>
      <c r="D27" s="182">
        <v>3036024.98</v>
      </c>
      <c r="E27" s="180">
        <f>E28-E32</f>
        <v>354804.92999999039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12261165.68</v>
      </c>
      <c r="E28" s="81">
        <f>SUM(E29:E31)</f>
        <v>9724230.6100000013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11569924.92</v>
      </c>
      <c r="E29" s="105">
        <v>9391628.8000000007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691240.76</v>
      </c>
      <c r="E31" s="105">
        <v>332601.81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9225140.6999999993</v>
      </c>
      <c r="E32" s="81">
        <f>SUM(E33:E39)</f>
        <v>9369425.6800000109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5840663.0999999996</v>
      </c>
      <c r="E33" s="105">
        <v>6302609.6400000006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2062916.1</v>
      </c>
      <c r="E35" s="105">
        <v>1762083.87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1321561.5</v>
      </c>
      <c r="E39" s="184">
        <v>1304732.1700000095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-2145226.4</v>
      </c>
      <c r="E40" s="128">
        <f>3035663.46+116.42</f>
        <v>3035779.88</v>
      </c>
      <c r="G40" s="84"/>
    </row>
    <row r="41" spans="2:10" ht="13.5" thickBot="1">
      <c r="B41" s="129" t="s">
        <v>37</v>
      </c>
      <c r="C41" s="130" t="s">
        <v>38</v>
      </c>
      <c r="D41" s="131">
        <v>38162492.270000003</v>
      </c>
      <c r="E41" s="181">
        <f>E26+E27+E40</f>
        <v>41553077.079999991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5.7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3961961.0304</v>
      </c>
      <c r="E47" s="83">
        <v>4270161.9512999998</v>
      </c>
      <c r="G47" s="79"/>
    </row>
    <row r="48" spans="2:10">
      <c r="B48" s="154" t="s">
        <v>6</v>
      </c>
      <c r="C48" s="23" t="s">
        <v>41</v>
      </c>
      <c r="D48" s="264">
        <v>4270161.9512999998</v>
      </c>
      <c r="E48" s="83">
        <v>4313851.9448238108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9.4073852327207401</v>
      </c>
      <c r="E50" s="83">
        <v>8.9370128592855593</v>
      </c>
      <c r="G50" s="315"/>
    </row>
    <row r="51" spans="2:7">
      <c r="B51" s="133" t="s">
        <v>6</v>
      </c>
      <c r="C51" s="16" t="s">
        <v>231</v>
      </c>
      <c r="D51" s="314">
        <v>8.4847999999999999</v>
      </c>
      <c r="E51" s="85">
        <v>8.1370000000000005</v>
      </c>
    </row>
    <row r="52" spans="2:7" ht="12.75" customHeight="1">
      <c r="B52" s="133" t="s">
        <v>8</v>
      </c>
      <c r="C52" s="16" t="s">
        <v>232</v>
      </c>
      <c r="D52" s="314">
        <v>10.680899999999999</v>
      </c>
      <c r="E52" s="85">
        <v>9.6325000000000003</v>
      </c>
    </row>
    <row r="53" spans="2:7" ht="13.5" thickBot="1">
      <c r="B53" s="134" t="s">
        <v>9</v>
      </c>
      <c r="C53" s="18" t="s">
        <v>41</v>
      </c>
      <c r="D53" s="268">
        <v>8.9370128592855593</v>
      </c>
      <c r="E53" s="187">
        <v>9.6324764065812492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8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41837922.030000001</v>
      </c>
      <c r="E58" s="33">
        <f>D58/E21</f>
        <v>1.0068549664673838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41469361.539999999</v>
      </c>
      <c r="E64" s="97">
        <f>D64/E21</f>
        <v>0.99798533476019557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368559.48+1.01</f>
        <v>368560.49</v>
      </c>
      <c r="E69" s="95">
        <f>D69/E21</f>
        <v>8.8696317071881234E-3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38.799999999999997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135735.9</v>
      </c>
      <c r="E72" s="150">
        <f>D72/E21</f>
        <v>3.2665667512101373E-3</v>
      </c>
    </row>
    <row r="73" spans="2:5">
      <c r="B73" s="24" t="s">
        <v>62</v>
      </c>
      <c r="C73" s="25" t="s">
        <v>65</v>
      </c>
      <c r="D73" s="26">
        <f>E17</f>
        <v>420619.65</v>
      </c>
      <c r="E73" s="27">
        <f>D73/E21</f>
        <v>1.0122466964124046E-2</v>
      </c>
    </row>
    <row r="74" spans="2:5">
      <c r="B74" s="151" t="s">
        <v>64</v>
      </c>
      <c r="C74" s="152" t="s">
        <v>66</v>
      </c>
      <c r="D74" s="153">
        <f>D58+D71+D72-D73</f>
        <v>41553077.079999998</v>
      </c>
      <c r="E74" s="70">
        <f>E58+E72-E73</f>
        <v>0.99999906625446999</v>
      </c>
    </row>
    <row r="75" spans="2:5">
      <c r="B75" s="15" t="s">
        <v>4</v>
      </c>
      <c r="C75" s="16" t="s">
        <v>67</v>
      </c>
      <c r="D75" s="94">
        <f>D74</f>
        <v>41553077.079999998</v>
      </c>
      <c r="E75" s="95">
        <f>E74</f>
        <v>0.99999906625446999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D21" sqref="D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262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340748.63</v>
      </c>
    </row>
    <row r="12" spans="2:7">
      <c r="B12" s="137" t="s">
        <v>4</v>
      </c>
      <c r="C12" s="6" t="s">
        <v>5</v>
      </c>
      <c r="D12" s="90" t="s">
        <v>260</v>
      </c>
      <c r="E12" s="101">
        <v>340748.63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">
        <v>260</v>
      </c>
      <c r="E21" s="181">
        <f>E11</f>
        <v>340748.63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245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27"/>
      <c r="E26" s="123">
        <v>0</v>
      </c>
      <c r="G26" s="84"/>
    </row>
    <row r="27" spans="2:10">
      <c r="B27" s="10" t="s">
        <v>17</v>
      </c>
      <c r="C27" s="11" t="s">
        <v>228</v>
      </c>
      <c r="D27" s="228"/>
      <c r="E27" s="180">
        <f>E28-E32</f>
        <v>346459.04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28"/>
      <c r="E28" s="81">
        <f>SUM(E29:E31)</f>
        <v>347555.87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229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229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229"/>
      <c r="E31" s="105">
        <v>347555.87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28"/>
      <c r="E32" s="81">
        <f>SUM(E33:E39)</f>
        <v>1096.83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229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229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229"/>
      <c r="E35" s="105">
        <v>616.72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229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229"/>
      <c r="E37" s="105">
        <v>480.11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229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230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31"/>
      <c r="E40" s="128">
        <v>-5710.41</v>
      </c>
      <c r="G40" s="84"/>
    </row>
    <row r="41" spans="2:10" ht="13.5" thickBot="1">
      <c r="B41" s="129" t="s">
        <v>37</v>
      </c>
      <c r="C41" s="130" t="s">
        <v>38</v>
      </c>
      <c r="D41" s="232"/>
      <c r="E41" s="181">
        <f>E26+E27+E40</f>
        <v>340748.63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33"/>
      <c r="E47" s="243"/>
      <c r="G47" s="79"/>
    </row>
    <row r="48" spans="2:10">
      <c r="B48" s="154" t="s">
        <v>6</v>
      </c>
      <c r="C48" s="23" t="s">
        <v>41</v>
      </c>
      <c r="D48" s="234"/>
      <c r="E48" s="185">
        <v>32986.315000000002</v>
      </c>
      <c r="G48" s="79"/>
    </row>
    <row r="49" spans="2:5">
      <c r="B49" s="151" t="s">
        <v>23</v>
      </c>
      <c r="C49" s="155" t="s">
        <v>230</v>
      </c>
      <c r="D49" s="235"/>
      <c r="E49" s="185"/>
    </row>
    <row r="50" spans="2:5">
      <c r="B50" s="133" t="s">
        <v>4</v>
      </c>
      <c r="C50" s="16" t="s">
        <v>40</v>
      </c>
      <c r="D50" s="233"/>
      <c r="E50" s="185"/>
    </row>
    <row r="51" spans="2:5">
      <c r="B51" s="133" t="s">
        <v>6</v>
      </c>
      <c r="C51" s="16" t="s">
        <v>231</v>
      </c>
      <c r="D51" s="236"/>
      <c r="E51" s="85">
        <v>10.11</v>
      </c>
    </row>
    <row r="52" spans="2:5">
      <c r="B52" s="133" t="s">
        <v>8</v>
      </c>
      <c r="C52" s="16" t="s">
        <v>232</v>
      </c>
      <c r="D52" s="236"/>
      <c r="E52" s="85">
        <v>10.86</v>
      </c>
    </row>
    <row r="53" spans="2:5" ht="13.5" thickBot="1">
      <c r="B53" s="134" t="s">
        <v>9</v>
      </c>
      <c r="C53" s="18" t="s">
        <v>41</v>
      </c>
      <c r="D53" s="237"/>
      <c r="E53" s="187">
        <v>10.33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340748.63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340748.63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340748.63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340748.63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H33" sqref="H3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118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526429.51</v>
      </c>
      <c r="E11" s="9">
        <f>E12</f>
        <v>334733.42</v>
      </c>
    </row>
    <row r="12" spans="2:7">
      <c r="B12" s="137" t="s">
        <v>4</v>
      </c>
      <c r="C12" s="6" t="s">
        <v>5</v>
      </c>
      <c r="D12" s="90">
        <v>526429.51</v>
      </c>
      <c r="E12" s="101">
        <v>334733.42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526429.51</v>
      </c>
      <c r="E21" s="181">
        <f>E11</f>
        <v>334733.42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289">
        <v>163578.72</v>
      </c>
      <c r="E26" s="123">
        <f>D21</f>
        <v>526429.51</v>
      </c>
      <c r="G26" s="84"/>
    </row>
    <row r="27" spans="2:10">
      <c r="B27" s="10" t="s">
        <v>17</v>
      </c>
      <c r="C27" s="11" t="s">
        <v>228</v>
      </c>
      <c r="D27" s="290">
        <v>370962.59</v>
      </c>
      <c r="E27" s="180">
        <f>E28-E32</f>
        <v>-240777.9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290">
        <v>519592.14</v>
      </c>
      <c r="E28" s="81">
        <f>SUM(E29:E31)</f>
        <v>15572.44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291">
        <v>100199.99</v>
      </c>
      <c r="E29" s="105">
        <v>3499.99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291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291">
        <v>419392.15</v>
      </c>
      <c r="E31" s="105">
        <v>12072.45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290">
        <v>148629.54999999999</v>
      </c>
      <c r="E32" s="81">
        <f>SUM(E33:E39)</f>
        <v>256350.34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291"/>
      <c r="E33" s="105"/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291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291">
        <v>141.31</v>
      </c>
      <c r="E35" s="105">
        <v>581.29999999999995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291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291">
        <v>5041.75</v>
      </c>
      <c r="E37" s="105">
        <v>7935.89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291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292">
        <v>143446.49</v>
      </c>
      <c r="E39" s="184">
        <v>247833.15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293">
        <v>-8111.8</v>
      </c>
      <c r="E40" s="128">
        <v>49081.81</v>
      </c>
      <c r="G40" s="84"/>
    </row>
    <row r="41" spans="2:10" ht="13.5" thickBot="1">
      <c r="B41" s="129" t="s">
        <v>37</v>
      </c>
      <c r="C41" s="130" t="s">
        <v>38</v>
      </c>
      <c r="D41" s="93">
        <v>526429.51</v>
      </c>
      <c r="E41" s="181">
        <f>E26+E27+E40</f>
        <v>334733.42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51"/>
      <c r="D43" s="351"/>
      <c r="E43" s="351"/>
      <c r="G43" s="79"/>
    </row>
    <row r="44" spans="2:10" ht="18" customHeight="1" thickBot="1">
      <c r="B44" s="339" t="s">
        <v>256</v>
      </c>
      <c r="C44" s="350"/>
      <c r="D44" s="350"/>
      <c r="E44" s="350"/>
      <c r="G44" s="79"/>
    </row>
    <row r="45" spans="2:10" ht="13.5" thickBot="1">
      <c r="B45" s="25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283" t="s">
        <v>4</v>
      </c>
      <c r="C47" s="284" t="s">
        <v>40</v>
      </c>
      <c r="D47" s="294">
        <v>816.38329999999996</v>
      </c>
      <c r="E47" s="185">
        <v>2481.2854000000002</v>
      </c>
      <c r="G47" s="79"/>
    </row>
    <row r="48" spans="2:10">
      <c r="B48" s="285" t="s">
        <v>6</v>
      </c>
      <c r="C48" s="286" t="s">
        <v>41</v>
      </c>
      <c r="D48" s="295">
        <v>2481.2854000000002</v>
      </c>
      <c r="E48" s="185">
        <v>1324.8373999999999</v>
      </c>
      <c r="G48" s="79"/>
    </row>
    <row r="49" spans="2:5">
      <c r="B49" s="151" t="s">
        <v>23</v>
      </c>
      <c r="C49" s="155" t="s">
        <v>230</v>
      </c>
      <c r="D49" s="296"/>
      <c r="E49" s="185"/>
    </row>
    <row r="50" spans="2:5">
      <c r="B50" s="283" t="s">
        <v>4</v>
      </c>
      <c r="C50" s="284" t="s">
        <v>40</v>
      </c>
      <c r="D50" s="297">
        <v>200.37</v>
      </c>
      <c r="E50" s="185">
        <v>212.16</v>
      </c>
    </row>
    <row r="51" spans="2:5">
      <c r="B51" s="283" t="s">
        <v>6</v>
      </c>
      <c r="C51" s="284" t="s">
        <v>231</v>
      </c>
      <c r="D51" s="298">
        <v>200.3</v>
      </c>
      <c r="E51" s="185">
        <v>184.07</v>
      </c>
    </row>
    <row r="52" spans="2:5">
      <c r="B52" s="283" t="s">
        <v>8</v>
      </c>
      <c r="C52" s="284" t="s">
        <v>232</v>
      </c>
      <c r="D52" s="298">
        <v>237.99</v>
      </c>
      <c r="E52" s="85">
        <v>254.04</v>
      </c>
    </row>
    <row r="53" spans="2:5" ht="14.25" customHeight="1" thickBot="1">
      <c r="B53" s="287" t="s">
        <v>9</v>
      </c>
      <c r="C53" s="288" t="s">
        <v>41</v>
      </c>
      <c r="D53" s="268">
        <v>212.16</v>
      </c>
      <c r="E53" s="187">
        <v>252.66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334733.42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334733.42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334733.42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334733.42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263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14171.95</v>
      </c>
      <c r="E11" s="9">
        <f>E12</f>
        <v>14570.9</v>
      </c>
    </row>
    <row r="12" spans="2:7">
      <c r="B12" s="137" t="s">
        <v>4</v>
      </c>
      <c r="C12" s="6" t="s">
        <v>5</v>
      </c>
      <c r="D12" s="90">
        <v>14171.95</v>
      </c>
      <c r="E12" s="101">
        <v>14570.9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14171.95</v>
      </c>
      <c r="E21" s="181">
        <f>E11</f>
        <v>14570.9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2007.46</v>
      </c>
      <c r="E26" s="123">
        <v>14171.95</v>
      </c>
      <c r="G26" s="84"/>
    </row>
    <row r="27" spans="2:10">
      <c r="B27" s="10" t="s">
        <v>17</v>
      </c>
      <c r="C27" s="11" t="s">
        <v>228</v>
      </c>
      <c r="D27" s="182">
        <v>14481.98</v>
      </c>
      <c r="E27" s="108">
        <f>E28-E32</f>
        <v>-136.99000000000024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40532.339999999997</v>
      </c>
      <c r="E28" s="81">
        <f>SUM(E29:E31)</f>
        <v>2273.2799999999997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36117.800000000003</v>
      </c>
      <c r="E29" s="105">
        <v>1085.1600000000001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4414.54</v>
      </c>
      <c r="E31" s="105">
        <v>1188.1199999999999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26050.359999999997</v>
      </c>
      <c r="E32" s="81">
        <f>SUM(E33:E39)</f>
        <v>2410.27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1650.21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27.3</v>
      </c>
      <c r="E35" s="105">
        <v>133.74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145.63999999999999</v>
      </c>
      <c r="E37" s="105">
        <v>253.8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25877.42</v>
      </c>
      <c r="E39" s="106">
        <v>372.52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-2317.4899999999998</v>
      </c>
      <c r="E40" s="128">
        <v>535.94000000000005</v>
      </c>
      <c r="G40" s="84"/>
    </row>
    <row r="41" spans="2:10" ht="13.5" thickBot="1">
      <c r="B41" s="129" t="s">
        <v>37</v>
      </c>
      <c r="C41" s="130" t="s">
        <v>38</v>
      </c>
      <c r="D41" s="131">
        <v>14171.949999999999</v>
      </c>
      <c r="E41" s="104">
        <f>E26+E27+E40</f>
        <v>14570.900000000001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5.3182</v>
      </c>
      <c r="E47" s="185">
        <v>41.463900000000002</v>
      </c>
      <c r="G47" s="79"/>
    </row>
    <row r="48" spans="2:10">
      <c r="B48" s="154" t="s">
        <v>6</v>
      </c>
      <c r="C48" s="23" t="s">
        <v>41</v>
      </c>
      <c r="D48" s="264">
        <v>41.463900000000002</v>
      </c>
      <c r="E48" s="185">
        <v>41.057499999999997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377.47</v>
      </c>
      <c r="E50" s="185">
        <v>341.79</v>
      </c>
    </row>
    <row r="51" spans="2:5">
      <c r="B51" s="133" t="s">
        <v>6</v>
      </c>
      <c r="C51" s="16" t="s">
        <v>231</v>
      </c>
      <c r="D51" s="267">
        <v>322.05</v>
      </c>
      <c r="E51" s="185">
        <v>298.82</v>
      </c>
    </row>
    <row r="52" spans="2:5">
      <c r="B52" s="133" t="s">
        <v>8</v>
      </c>
      <c r="C52" s="16" t="s">
        <v>232</v>
      </c>
      <c r="D52" s="267">
        <v>412.99</v>
      </c>
      <c r="E52" s="85">
        <v>355.5</v>
      </c>
    </row>
    <row r="53" spans="2:5" ht="13.5" customHeight="1" thickBot="1">
      <c r="B53" s="134" t="s">
        <v>9</v>
      </c>
      <c r="C53" s="18" t="s">
        <v>41</v>
      </c>
      <c r="D53" s="268">
        <v>341.79</v>
      </c>
      <c r="E53" s="299">
        <v>354.89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20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14570.9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14570.9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14570.9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14570.9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120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155601.31</v>
      </c>
      <c r="E11" s="9">
        <f>E12</f>
        <v>245243.76</v>
      </c>
    </row>
    <row r="12" spans="2:7">
      <c r="B12" s="137" t="s">
        <v>4</v>
      </c>
      <c r="C12" s="6" t="s">
        <v>5</v>
      </c>
      <c r="D12" s="90">
        <v>155601.31</v>
      </c>
      <c r="E12" s="101">
        <v>245243.76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155601.31</v>
      </c>
      <c r="E21" s="181">
        <f>E11</f>
        <v>245243.76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151683.56</v>
      </c>
      <c r="E26" s="123">
        <v>155601.31</v>
      </c>
      <c r="G26" s="84"/>
    </row>
    <row r="27" spans="2:10">
      <c r="B27" s="10" t="s">
        <v>17</v>
      </c>
      <c r="C27" s="11" t="s">
        <v>228</v>
      </c>
      <c r="D27" s="182">
        <v>4338.6099999999997</v>
      </c>
      <c r="E27" s="180">
        <f>E28-E32</f>
        <v>69639.760000000009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208364.83000000002</v>
      </c>
      <c r="E28" s="81">
        <f>SUM(E29:E31)</f>
        <v>143874.14000000001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147197.38</v>
      </c>
      <c r="E29" s="105">
        <v>9002.36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61167.45</v>
      </c>
      <c r="E31" s="105">
        <v>134871.78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204026.22</v>
      </c>
      <c r="E32" s="81">
        <f>SUM(E33:E39)</f>
        <v>74234.38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124091.61</v>
      </c>
      <c r="E33" s="105">
        <v>4552.3500000000004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623.5</v>
      </c>
      <c r="E35" s="105">
        <v>939.43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2796.66</v>
      </c>
      <c r="E37" s="105">
        <v>2835.22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76514.45</v>
      </c>
      <c r="E39" s="184">
        <v>65907.38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-420.86</v>
      </c>
      <c r="E40" s="128">
        <v>20002.689999999999</v>
      </c>
      <c r="G40" s="84"/>
    </row>
    <row r="41" spans="2:10" ht="13.5" thickBot="1">
      <c r="B41" s="129" t="s">
        <v>37</v>
      </c>
      <c r="C41" s="130" t="s">
        <v>38</v>
      </c>
      <c r="D41" s="131">
        <v>155601.31</v>
      </c>
      <c r="E41" s="181">
        <f>E26+E27+E40</f>
        <v>245243.76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683.65959999999995</v>
      </c>
      <c r="E47" s="185">
        <v>689.63040000000001</v>
      </c>
      <c r="G47" s="79"/>
    </row>
    <row r="48" spans="2:10">
      <c r="B48" s="154" t="s">
        <v>6</v>
      </c>
      <c r="C48" s="23" t="s">
        <v>41</v>
      </c>
      <c r="D48" s="264">
        <v>689.63040000000001</v>
      </c>
      <c r="E48" s="185">
        <v>972.84209999999996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221.87</v>
      </c>
      <c r="E50" s="185">
        <v>225.63</v>
      </c>
    </row>
    <row r="51" spans="2:5">
      <c r="B51" s="133" t="s">
        <v>6</v>
      </c>
      <c r="C51" s="16" t="s">
        <v>231</v>
      </c>
      <c r="D51" s="267">
        <v>213.86</v>
      </c>
      <c r="E51" s="85">
        <v>207.07</v>
      </c>
    </row>
    <row r="52" spans="2:5">
      <c r="B52" s="133" t="s">
        <v>8</v>
      </c>
      <c r="C52" s="16" t="s">
        <v>232</v>
      </c>
      <c r="D52" s="267">
        <v>255.7</v>
      </c>
      <c r="E52" s="85">
        <v>257.25</v>
      </c>
    </row>
    <row r="53" spans="2:5" ht="12.75" customHeight="1" thickBot="1">
      <c r="B53" s="134" t="s">
        <v>9</v>
      </c>
      <c r="C53" s="18" t="s">
        <v>41</v>
      </c>
      <c r="D53" s="268">
        <v>225.63</v>
      </c>
      <c r="E53" s="187">
        <v>252.09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245243.76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245243.76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245243.76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245243.76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125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1880592.22</v>
      </c>
      <c r="E11" s="9">
        <f>E12</f>
        <v>2770597.41</v>
      </c>
    </row>
    <row r="12" spans="2:7">
      <c r="B12" s="137" t="s">
        <v>4</v>
      </c>
      <c r="C12" s="6" t="s">
        <v>5</v>
      </c>
      <c r="D12" s="90">
        <v>1880592.22</v>
      </c>
      <c r="E12" s="101">
        <v>2770597.41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1880592.22</v>
      </c>
      <c r="E21" s="181">
        <f>E11</f>
        <v>2770597.41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134137.63</v>
      </c>
      <c r="E26" s="123">
        <v>1880592.22</v>
      </c>
      <c r="G26" s="84"/>
    </row>
    <row r="27" spans="2:10">
      <c r="B27" s="10" t="s">
        <v>17</v>
      </c>
      <c r="C27" s="11" t="s">
        <v>228</v>
      </c>
      <c r="D27" s="182">
        <v>1785628.87</v>
      </c>
      <c r="E27" s="180">
        <f>E28-E32</f>
        <v>611484.1100000001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2039174.2</v>
      </c>
      <c r="E28" s="81">
        <f>SUM(E29:E31)</f>
        <v>1223788.3500000001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1052923.26</v>
      </c>
      <c r="E29" s="105">
        <v>278946.64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986250.94</v>
      </c>
      <c r="E31" s="105">
        <v>944841.71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253545.33</v>
      </c>
      <c r="E32" s="81">
        <f>SUM(E33:E39)</f>
        <v>612304.24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29504.3</v>
      </c>
      <c r="E33" s="105">
        <v>310049.24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500.95</v>
      </c>
      <c r="E35" s="105">
        <v>2218.91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15178.52</v>
      </c>
      <c r="E37" s="105">
        <v>38485.120000000003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208361.56</v>
      </c>
      <c r="E39" s="184">
        <v>261550.97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-39174.28</v>
      </c>
      <c r="E40" s="128">
        <v>278521.08</v>
      </c>
      <c r="G40" s="84"/>
    </row>
    <row r="41" spans="2:10" ht="13.5" thickBot="1">
      <c r="B41" s="129" t="s">
        <v>37</v>
      </c>
      <c r="C41" s="130" t="s">
        <v>38</v>
      </c>
      <c r="D41" s="131">
        <v>1880592.22</v>
      </c>
      <c r="E41" s="181">
        <f>E26+E27+E40</f>
        <v>2770597.41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338.73140000000001</v>
      </c>
      <c r="E47" s="185">
        <v>4458.3869999999997</v>
      </c>
      <c r="G47" s="79"/>
    </row>
    <row r="48" spans="2:10">
      <c r="B48" s="154" t="s">
        <v>6</v>
      </c>
      <c r="C48" s="23" t="s">
        <v>41</v>
      </c>
      <c r="D48" s="264">
        <v>4458.3869999999997</v>
      </c>
      <c r="E48" s="185">
        <v>5771.2362999999996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396</v>
      </c>
      <c r="E50" s="185">
        <v>421.81</v>
      </c>
    </row>
    <row r="51" spans="2:5">
      <c r="B51" s="133" t="s">
        <v>6</v>
      </c>
      <c r="C51" s="16" t="s">
        <v>231</v>
      </c>
      <c r="D51" s="267">
        <v>396.58</v>
      </c>
      <c r="E51" s="185">
        <v>384.36</v>
      </c>
    </row>
    <row r="52" spans="2:5">
      <c r="B52" s="133" t="s">
        <v>8</v>
      </c>
      <c r="C52" s="16" t="s">
        <v>232</v>
      </c>
      <c r="D52" s="267">
        <v>452.93</v>
      </c>
      <c r="E52" s="185">
        <v>482.43</v>
      </c>
    </row>
    <row r="53" spans="2:5" ht="13.5" customHeight="1" thickBot="1">
      <c r="B53" s="134" t="s">
        <v>9</v>
      </c>
      <c r="C53" s="18" t="s">
        <v>41</v>
      </c>
      <c r="D53" s="268">
        <v>421.81</v>
      </c>
      <c r="E53" s="187">
        <v>480.07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2770597.41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2770597.41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2770597.41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2770597.41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121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27934.25</v>
      </c>
      <c r="E11" s="9">
        <f>E12</f>
        <v>103421.04</v>
      </c>
    </row>
    <row r="12" spans="2:7">
      <c r="B12" s="137" t="s">
        <v>4</v>
      </c>
      <c r="C12" s="6" t="s">
        <v>5</v>
      </c>
      <c r="D12" s="90">
        <v>27934.25</v>
      </c>
      <c r="E12" s="101">
        <v>103421.04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27934.25</v>
      </c>
      <c r="E21" s="181">
        <f>E11</f>
        <v>103421.04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35200.730000000003</v>
      </c>
      <c r="E26" s="123">
        <v>27934.25</v>
      </c>
      <c r="G26" s="84"/>
    </row>
    <row r="27" spans="2:10">
      <c r="B27" s="10" t="s">
        <v>17</v>
      </c>
      <c r="C27" s="11" t="s">
        <v>228</v>
      </c>
      <c r="D27" s="182">
        <v>-55.31</v>
      </c>
      <c r="E27" s="180">
        <f>E28-E32</f>
        <v>62927.92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23444.51</v>
      </c>
      <c r="E28" s="81">
        <f>SUM(E29:E31)</f>
        <v>102591.51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15626.51</v>
      </c>
      <c r="E29" s="105">
        <v>32657.01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7818</v>
      </c>
      <c r="E31" s="105">
        <v>69934.5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23499.82</v>
      </c>
      <c r="E32" s="81">
        <f>SUM(E33:E39)</f>
        <v>39663.589999999997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7731.45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183.13</v>
      </c>
      <c r="E35" s="105">
        <v>360.67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317.42</v>
      </c>
      <c r="E37" s="105">
        <v>800.21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22999.27</v>
      </c>
      <c r="E39" s="184">
        <v>30771.26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-7211.17</v>
      </c>
      <c r="E40" s="128">
        <v>12558.87</v>
      </c>
      <c r="G40" s="84"/>
    </row>
    <row r="41" spans="2:10" ht="13.5" thickBot="1">
      <c r="B41" s="129" t="s">
        <v>37</v>
      </c>
      <c r="C41" s="130" t="s">
        <v>38</v>
      </c>
      <c r="D41" s="131">
        <v>27934.250000000007</v>
      </c>
      <c r="E41" s="181">
        <f>E26+E27+E40</f>
        <v>103421.04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230.31100000000001</v>
      </c>
      <c r="E47" s="185">
        <v>239.69669999999999</v>
      </c>
      <c r="G47" s="79"/>
    </row>
    <row r="48" spans="2:10">
      <c r="B48" s="154" t="s">
        <v>6</v>
      </c>
      <c r="C48" s="23" t="s">
        <v>41</v>
      </c>
      <c r="D48" s="264">
        <v>239.69669999999999</v>
      </c>
      <c r="E48" s="185">
        <v>684.3184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152.84</v>
      </c>
      <c r="E50" s="185">
        <v>116.54</v>
      </c>
    </row>
    <row r="51" spans="2:5">
      <c r="B51" s="133" t="s">
        <v>6</v>
      </c>
      <c r="C51" s="16" t="s">
        <v>231</v>
      </c>
      <c r="D51" s="267">
        <v>109.85</v>
      </c>
      <c r="E51" s="85">
        <v>109.73</v>
      </c>
    </row>
    <row r="52" spans="2:5">
      <c r="B52" s="133" t="s">
        <v>8</v>
      </c>
      <c r="C52" s="16" t="s">
        <v>232</v>
      </c>
      <c r="D52" s="267">
        <v>160.81</v>
      </c>
      <c r="E52" s="85">
        <v>168.74</v>
      </c>
    </row>
    <row r="53" spans="2:5" ht="14.25" customHeight="1" thickBot="1">
      <c r="B53" s="134" t="s">
        <v>9</v>
      </c>
      <c r="C53" s="18" t="s">
        <v>41</v>
      </c>
      <c r="D53" s="268">
        <v>116.54</v>
      </c>
      <c r="E53" s="187">
        <v>151.13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103421.04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103421.04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103421.04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103421.04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122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68998.05</v>
      </c>
      <c r="E11" s="9">
        <f>E12</f>
        <v>85717.95</v>
      </c>
    </row>
    <row r="12" spans="2:7">
      <c r="B12" s="137" t="s">
        <v>4</v>
      </c>
      <c r="C12" s="6" t="s">
        <v>5</v>
      </c>
      <c r="D12" s="90">
        <v>68998.05</v>
      </c>
      <c r="E12" s="101">
        <v>85717.95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68998.05</v>
      </c>
      <c r="E21" s="181">
        <f>E11</f>
        <v>85717.95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34228.370000000003</v>
      </c>
      <c r="E26" s="123">
        <v>68998.05</v>
      </c>
      <c r="G26" s="84"/>
    </row>
    <row r="27" spans="2:10">
      <c r="B27" s="10" t="s">
        <v>17</v>
      </c>
      <c r="C27" s="11" t="s">
        <v>228</v>
      </c>
      <c r="D27" s="182">
        <v>54812.44</v>
      </c>
      <c r="E27" s="180">
        <f>E28-E32</f>
        <v>9404.7599999999948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122254.34</v>
      </c>
      <c r="E28" s="81">
        <f>SUM(E29:E31)</f>
        <v>45432.479999999996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26132.77</v>
      </c>
      <c r="E29" s="105">
        <v>1996.34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96121.57</v>
      </c>
      <c r="E31" s="105">
        <v>43436.14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67441.900000000009</v>
      </c>
      <c r="E32" s="81">
        <f>SUM(E33:E39)</f>
        <v>36027.72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682.19</v>
      </c>
      <c r="E33" s="105">
        <v>16157.01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232.81</v>
      </c>
      <c r="E35" s="105">
        <v>318.87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1096.67</v>
      </c>
      <c r="E37" s="105">
        <v>861.58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65430.23</v>
      </c>
      <c r="E39" s="184">
        <v>18690.259999999998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-20042.759999999998</v>
      </c>
      <c r="E40" s="128">
        <v>7315.14</v>
      </c>
      <c r="G40" s="84"/>
    </row>
    <row r="41" spans="2:10" ht="13.5" thickBot="1">
      <c r="B41" s="129" t="s">
        <v>37</v>
      </c>
      <c r="C41" s="130" t="s">
        <v>38</v>
      </c>
      <c r="D41" s="131">
        <v>68998.05</v>
      </c>
      <c r="E41" s="181">
        <f>E26+E27+E40</f>
        <v>85717.95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519.79300000000001</v>
      </c>
      <c r="E47" s="185">
        <v>1103.4391000000001</v>
      </c>
      <c r="G47" s="79"/>
    </row>
    <row r="48" spans="2:10">
      <c r="B48" s="154" t="s">
        <v>6</v>
      </c>
      <c r="C48" s="23" t="s">
        <v>41</v>
      </c>
      <c r="D48" s="264">
        <v>1103.4391000000001</v>
      </c>
      <c r="E48" s="185">
        <v>1203.0589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65.849999999999994</v>
      </c>
      <c r="E50" s="185">
        <v>62.53</v>
      </c>
    </row>
    <row r="51" spans="2:5">
      <c r="B51" s="133" t="s">
        <v>6</v>
      </c>
      <c r="C51" s="16" t="s">
        <v>231</v>
      </c>
      <c r="D51" s="267">
        <v>57.67</v>
      </c>
      <c r="E51" s="85">
        <v>52.480000000000004</v>
      </c>
    </row>
    <row r="52" spans="2:5">
      <c r="B52" s="133" t="s">
        <v>8</v>
      </c>
      <c r="C52" s="16" t="s">
        <v>232</v>
      </c>
      <c r="D52" s="267">
        <v>82.42</v>
      </c>
      <c r="E52" s="85">
        <v>72.900000000000006</v>
      </c>
    </row>
    <row r="53" spans="2:5" ht="13.5" customHeight="1" thickBot="1">
      <c r="B53" s="134" t="s">
        <v>9</v>
      </c>
      <c r="C53" s="18" t="s">
        <v>41</v>
      </c>
      <c r="D53" s="268">
        <v>62.53</v>
      </c>
      <c r="E53" s="187">
        <v>71.25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85717.95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85717.95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85717.95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85717.95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10" sqref="G1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119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402895.6</v>
      </c>
      <c r="E11" s="9">
        <f>E12</f>
        <v>309965.69</v>
      </c>
    </row>
    <row r="12" spans="2:7">
      <c r="B12" s="137" t="s">
        <v>4</v>
      </c>
      <c r="C12" s="6" t="s">
        <v>5</v>
      </c>
      <c r="D12" s="90">
        <v>402895.6</v>
      </c>
      <c r="E12" s="101">
        <v>309965.69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233.62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233.62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402895.6</v>
      </c>
      <c r="E21" s="181">
        <f>E11-E17</f>
        <v>309732.07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141393.47</v>
      </c>
      <c r="E26" s="123">
        <v>402895.6</v>
      </c>
      <c r="G26" s="84"/>
    </row>
    <row r="27" spans="2:10">
      <c r="B27" s="10" t="s">
        <v>17</v>
      </c>
      <c r="C27" s="11" t="s">
        <v>228</v>
      </c>
      <c r="D27" s="182">
        <v>312565.65000000002</v>
      </c>
      <c r="E27" s="180">
        <f>E28-E32</f>
        <v>-133733.44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548915.06999999995</v>
      </c>
      <c r="E28" s="81">
        <f>SUM(E29:E31)</f>
        <v>435317.91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35723.29</v>
      </c>
      <c r="E29" s="105">
        <v>45332.62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513191.78</v>
      </c>
      <c r="E31" s="105">
        <v>389985.29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236349.42</v>
      </c>
      <c r="E32" s="81">
        <f>SUM(E33:E39)</f>
        <v>569051.35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1037.26</v>
      </c>
      <c r="E33" s="105">
        <v>80872.42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1205.3800000000001</v>
      </c>
      <c r="E35" s="105">
        <v>2249.61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4876.24</v>
      </c>
      <c r="E37" s="105">
        <v>4588.38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229230.54</v>
      </c>
      <c r="E39" s="184">
        <v>481340.94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-51063.519999999997</v>
      </c>
      <c r="E40" s="128">
        <v>40569.910000000003</v>
      </c>
      <c r="G40" s="84"/>
    </row>
    <row r="41" spans="2:10" ht="13.5" thickBot="1">
      <c r="B41" s="129" t="s">
        <v>37</v>
      </c>
      <c r="C41" s="130" t="s">
        <v>38</v>
      </c>
      <c r="D41" s="131">
        <v>402895.6</v>
      </c>
      <c r="E41" s="181">
        <f>E26+E27+E40</f>
        <v>309732.06999999995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1041.0356999999999</v>
      </c>
      <c r="E47" s="185">
        <v>3170.6587</v>
      </c>
      <c r="G47" s="79"/>
    </row>
    <row r="48" spans="2:10">
      <c r="B48" s="154" t="s">
        <v>6</v>
      </c>
      <c r="C48" s="23" t="s">
        <v>41</v>
      </c>
      <c r="D48" s="264">
        <v>3170.6587</v>
      </c>
      <c r="E48" s="185">
        <v>2154.9576999999999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135.82</v>
      </c>
      <c r="E50" s="185">
        <v>127.07</v>
      </c>
    </row>
    <row r="51" spans="2:5">
      <c r="B51" s="133" t="s">
        <v>6</v>
      </c>
      <c r="C51" s="16" t="s">
        <v>231</v>
      </c>
      <c r="D51" s="267">
        <v>125.94</v>
      </c>
      <c r="E51" s="185">
        <v>127.07000000000001</v>
      </c>
    </row>
    <row r="52" spans="2:5">
      <c r="B52" s="133" t="s">
        <v>8</v>
      </c>
      <c r="C52" s="16" t="s">
        <v>232</v>
      </c>
      <c r="D52" s="267">
        <v>159.68</v>
      </c>
      <c r="E52" s="85">
        <v>167.94</v>
      </c>
    </row>
    <row r="53" spans="2:5" ht="12.75" customHeight="1" thickBot="1">
      <c r="B53" s="134" t="s">
        <v>9</v>
      </c>
      <c r="C53" s="18" t="s">
        <v>41</v>
      </c>
      <c r="D53" s="268">
        <v>127.07</v>
      </c>
      <c r="E53" s="187">
        <v>143.72999999999999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309965.69</v>
      </c>
      <c r="E58" s="33">
        <f>D58/E21</f>
        <v>1.0007542648069991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309965.69</v>
      </c>
      <c r="E64" s="97">
        <f>E58</f>
        <v>1.0007542648069991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233.62</v>
      </c>
      <c r="E73" s="27">
        <f>D73/E21</f>
        <v>7.5426480699915895E-4</v>
      </c>
    </row>
    <row r="74" spans="2:5">
      <c r="B74" s="162" t="s">
        <v>64</v>
      </c>
      <c r="C74" s="152" t="s">
        <v>66</v>
      </c>
      <c r="D74" s="153">
        <f>D58-D73</f>
        <v>309732.07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309732.07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217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258694.37</v>
      </c>
      <c r="E11" s="9">
        <f>E12</f>
        <v>260732.79999999999</v>
      </c>
    </row>
    <row r="12" spans="2:7">
      <c r="B12" s="137" t="s">
        <v>4</v>
      </c>
      <c r="C12" s="6" t="s">
        <v>5</v>
      </c>
      <c r="D12" s="90">
        <v>258694.37</v>
      </c>
      <c r="E12" s="101">
        <v>260732.79999999999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258694.37</v>
      </c>
      <c r="E21" s="181">
        <f>E11</f>
        <v>260732.79999999999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258694.37</v>
      </c>
      <c r="G26" s="84"/>
    </row>
    <row r="27" spans="2:10">
      <c r="B27" s="10" t="s">
        <v>17</v>
      </c>
      <c r="C27" s="11" t="s">
        <v>228</v>
      </c>
      <c r="D27" s="182">
        <v>257912.83</v>
      </c>
      <c r="E27" s="180">
        <f>E28-E32</f>
        <v>37.770000000004075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259879.42</v>
      </c>
      <c r="E28" s="81">
        <f>SUM(E29:E31)</f>
        <v>19881.440000000002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2509.1999999999998</v>
      </c>
      <c r="E29" s="105">
        <v>6099.59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257370.22</v>
      </c>
      <c r="E31" s="105">
        <v>13781.85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1966.5900000000001</v>
      </c>
      <c r="E32" s="81">
        <f>SUM(E33:E39)</f>
        <v>19843.669999999998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1676.34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178.88</v>
      </c>
      <c r="E35" s="105">
        <v>823.48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894.6</v>
      </c>
      <c r="E37" s="105">
        <v>4624.0200000000004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893.11</v>
      </c>
      <c r="E39" s="184">
        <v>12719.83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781.54</v>
      </c>
      <c r="E40" s="128">
        <v>2000.66</v>
      </c>
      <c r="G40" s="84"/>
    </row>
    <row r="41" spans="2:10" ht="13.5" thickBot="1">
      <c r="B41" s="129" t="s">
        <v>37</v>
      </c>
      <c r="C41" s="130" t="s">
        <v>38</v>
      </c>
      <c r="D41" s="131">
        <v>258694.37</v>
      </c>
      <c r="E41" s="181">
        <f>E26+E27+E40</f>
        <v>260732.80000000002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2002.5884000000001</v>
      </c>
      <c r="G47" s="79"/>
    </row>
    <row r="48" spans="2:10">
      <c r="B48" s="154" t="s">
        <v>6</v>
      </c>
      <c r="C48" s="23" t="s">
        <v>41</v>
      </c>
      <c r="D48" s="264">
        <v>2002.5884000000001</v>
      </c>
      <c r="E48" s="185">
        <v>2003.0175999999999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129.18</v>
      </c>
    </row>
    <row r="51" spans="2:5">
      <c r="B51" s="133" t="s">
        <v>6</v>
      </c>
      <c r="C51" s="16" t="s">
        <v>231</v>
      </c>
      <c r="D51" s="267">
        <v>128.57</v>
      </c>
      <c r="E51" s="85">
        <v>129.13</v>
      </c>
    </row>
    <row r="52" spans="2:5">
      <c r="B52" s="133" t="s">
        <v>8</v>
      </c>
      <c r="C52" s="16" t="s">
        <v>232</v>
      </c>
      <c r="D52" s="267">
        <v>129.18</v>
      </c>
      <c r="E52" s="85">
        <v>130.27000000000001</v>
      </c>
    </row>
    <row r="53" spans="2:5" ht="13.5" customHeight="1" thickBot="1">
      <c r="B53" s="134" t="s">
        <v>9</v>
      </c>
      <c r="C53" s="18" t="s">
        <v>41</v>
      </c>
      <c r="D53" s="268">
        <v>129.18</v>
      </c>
      <c r="E53" s="187">
        <v>130.16999999999999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260732.79999999999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260732.79999999999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260732.79999999999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260732.79999999999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123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D12+D13+D14+D15</f>
        <v>196324.54</v>
      </c>
      <c r="E11" s="9">
        <f>E12</f>
        <v>259327.86</v>
      </c>
    </row>
    <row r="12" spans="2:7">
      <c r="B12" s="137" t="s">
        <v>4</v>
      </c>
      <c r="C12" s="6" t="s">
        <v>5</v>
      </c>
      <c r="D12" s="90">
        <v>196324.54</v>
      </c>
      <c r="E12" s="101">
        <v>259327.86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196324.54</v>
      </c>
      <c r="E21" s="181">
        <f>E11</f>
        <v>259327.86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41295.440000000002</v>
      </c>
      <c r="E26" s="123">
        <v>196324.54</v>
      </c>
      <c r="G26" s="84"/>
    </row>
    <row r="27" spans="2:10">
      <c r="B27" s="10" t="s">
        <v>17</v>
      </c>
      <c r="C27" s="11" t="s">
        <v>228</v>
      </c>
      <c r="D27" s="182">
        <v>175504.65</v>
      </c>
      <c r="E27" s="180">
        <f>E28-E32</f>
        <v>55807.06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302332.38</v>
      </c>
      <c r="E28" s="81">
        <f>SUM(E29:E31)</f>
        <v>87686.09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106034.92</v>
      </c>
      <c r="E29" s="105">
        <v>31092.19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196297.46</v>
      </c>
      <c r="E31" s="105">
        <v>56593.9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126827.73</v>
      </c>
      <c r="E32" s="81">
        <f>SUM(E33:E39)</f>
        <v>31879.03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32195.11</v>
      </c>
      <c r="E33" s="105">
        <v>2886.72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2278.66</v>
      </c>
      <c r="E35" s="105">
        <v>3120.57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1292.28</v>
      </c>
      <c r="E37" s="105">
        <v>2012.67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91061.68</v>
      </c>
      <c r="E39" s="184">
        <v>23859.07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-20475.55</v>
      </c>
      <c r="E40" s="128">
        <v>7196.26</v>
      </c>
      <c r="G40" s="84"/>
    </row>
    <row r="41" spans="2:10" ht="13.5" thickBot="1">
      <c r="B41" s="129" t="s">
        <v>37</v>
      </c>
      <c r="C41" s="130" t="s">
        <v>38</v>
      </c>
      <c r="D41" s="131">
        <v>196324.54</v>
      </c>
      <c r="E41" s="181">
        <f>E26+E27+E40</f>
        <v>259327.86000000002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202.916</v>
      </c>
      <c r="E47" s="185">
        <v>974.75070000000005</v>
      </c>
      <c r="G47" s="79"/>
    </row>
    <row r="48" spans="2:10">
      <c r="B48" s="154" t="s">
        <v>6</v>
      </c>
      <c r="C48" s="23" t="s">
        <v>41</v>
      </c>
      <c r="D48" s="264">
        <v>974.75070000000005</v>
      </c>
      <c r="E48" s="185">
        <v>1245.5708999999999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203.51</v>
      </c>
      <c r="E50" s="185">
        <v>201.41</v>
      </c>
    </row>
    <row r="51" spans="2:5">
      <c r="B51" s="133" t="s">
        <v>6</v>
      </c>
      <c r="C51" s="16" t="s">
        <v>231</v>
      </c>
      <c r="D51" s="267">
        <v>184.08</v>
      </c>
      <c r="E51" s="85">
        <v>170.46</v>
      </c>
    </row>
    <row r="52" spans="2:5">
      <c r="B52" s="133" t="s">
        <v>8</v>
      </c>
      <c r="C52" s="16" t="s">
        <v>232</v>
      </c>
      <c r="D52" s="267">
        <v>252.35</v>
      </c>
      <c r="E52" s="85">
        <v>215.78</v>
      </c>
    </row>
    <row r="53" spans="2:5" ht="12.75" customHeight="1" thickBot="1">
      <c r="B53" s="134" t="s">
        <v>9</v>
      </c>
      <c r="C53" s="18" t="s">
        <v>41</v>
      </c>
      <c r="D53" s="268">
        <v>201.41</v>
      </c>
      <c r="E53" s="187">
        <v>208.2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259327.86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259327.86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259327.86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259327.86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81"/>
  <sheetViews>
    <sheetView topLeftCell="A40" zoomScaleNormal="100" workbookViewId="0">
      <selection activeCell="G48" sqref="G4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89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42042711.029999994</v>
      </c>
      <c r="E11" s="9">
        <f>E12+E13+E14</f>
        <v>48755210.019999996</v>
      </c>
    </row>
    <row r="12" spans="2:7">
      <c r="B12" s="137" t="s">
        <v>4</v>
      </c>
      <c r="C12" s="6" t="s">
        <v>5</v>
      </c>
      <c r="D12" s="90">
        <v>41893831.839999996</v>
      </c>
      <c r="E12" s="101">
        <f>48473107.91+107251.78+0.29</f>
        <v>48580359.979999997</v>
      </c>
    </row>
    <row r="13" spans="2:7">
      <c r="B13" s="137" t="s">
        <v>6</v>
      </c>
      <c r="C13" s="72" t="s">
        <v>7</v>
      </c>
      <c r="D13" s="90">
        <v>3.51</v>
      </c>
      <c r="E13" s="101">
        <v>22.58</v>
      </c>
    </row>
    <row r="14" spans="2:7">
      <c r="B14" s="137" t="s">
        <v>8</v>
      </c>
      <c r="C14" s="72" t="s">
        <v>10</v>
      </c>
      <c r="D14" s="90">
        <v>148875.68</v>
      </c>
      <c r="E14" s="101">
        <f>E15</f>
        <v>174827.46000000002</v>
      </c>
    </row>
    <row r="15" spans="2:7">
      <c r="B15" s="137" t="s">
        <v>223</v>
      </c>
      <c r="C15" s="72" t="s">
        <v>11</v>
      </c>
      <c r="D15" s="90">
        <v>148875.68</v>
      </c>
      <c r="E15" s="101">
        <f>42496.33+132331.13</f>
        <v>174827.46000000002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78032.929999999993</v>
      </c>
      <c r="E17" s="117">
        <f>SUM(E18:E19)</f>
        <v>425907.73</v>
      </c>
    </row>
    <row r="18" spans="2:10">
      <c r="B18" s="137" t="s">
        <v>4</v>
      </c>
      <c r="C18" s="6" t="s">
        <v>11</v>
      </c>
      <c r="D18" s="90">
        <v>78032.929999999993</v>
      </c>
      <c r="E18" s="102">
        <v>101195.88</v>
      </c>
    </row>
    <row r="19" spans="2:10" ht="13.5" customHeight="1">
      <c r="B19" s="137" t="s">
        <v>6</v>
      </c>
      <c r="C19" s="72" t="s">
        <v>225</v>
      </c>
      <c r="D19" s="90"/>
      <c r="E19" s="101">
        <v>324711.84999999998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41964678.099999994</v>
      </c>
      <c r="E21" s="191">
        <f>E11-E17</f>
        <v>48329302.289999999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7.2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33884559.32</v>
      </c>
      <c r="E26" s="123">
        <v>41964678.099999994</v>
      </c>
      <c r="G26" s="84"/>
    </row>
    <row r="27" spans="2:10">
      <c r="B27" s="10" t="s">
        <v>17</v>
      </c>
      <c r="C27" s="11" t="s">
        <v>228</v>
      </c>
      <c r="D27" s="182">
        <v>6758776.6299999999</v>
      </c>
      <c r="E27" s="180">
        <f>E28-E32</f>
        <v>1894254.7299999967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15609540.280000001</v>
      </c>
      <c r="E28" s="81">
        <f>SUM(E29:E31)</f>
        <v>13572805.32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11948613.9</v>
      </c>
      <c r="E29" s="105">
        <v>10851771.960000001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3660926.38</v>
      </c>
      <c r="E31" s="105">
        <v>2721033.36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8850763.6500000004</v>
      </c>
      <c r="E32" s="81">
        <f>SUM(E33:E39)</f>
        <v>11678550.590000004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5285020.5</v>
      </c>
      <c r="E33" s="105">
        <v>6932488.9999999991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1640160.37</v>
      </c>
      <c r="E35" s="105">
        <v>1521345.87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1925582.78</v>
      </c>
      <c r="E39" s="184">
        <v>3224715.7200000053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1321342.1499999999</v>
      </c>
      <c r="E40" s="128">
        <f>4470259.95+109.51</f>
        <v>4470369.46</v>
      </c>
      <c r="G40" s="84"/>
    </row>
    <row r="41" spans="2:10" ht="13.5" thickBot="1">
      <c r="B41" s="129" t="s">
        <v>37</v>
      </c>
      <c r="C41" s="130" t="s">
        <v>38</v>
      </c>
      <c r="D41" s="131">
        <v>41964678.100000001</v>
      </c>
      <c r="E41" s="104">
        <f>E26+E27+E40</f>
        <v>48329302.289999992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7.2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3087874.1924000001</v>
      </c>
      <c r="E47" s="83">
        <v>3654172.2042999999</v>
      </c>
      <c r="G47" s="312"/>
    </row>
    <row r="48" spans="2:10">
      <c r="B48" s="154" t="s">
        <v>6</v>
      </c>
      <c r="C48" s="23" t="s">
        <v>41</v>
      </c>
      <c r="D48" s="264">
        <v>3654172.2042999999</v>
      </c>
      <c r="E48" s="83">
        <v>3817170.7087205527</v>
      </c>
      <c r="G48" s="315">
        <f>E21/E53</f>
        <v>3817170.7087205527</v>
      </c>
    </row>
    <row r="49" spans="2:7">
      <c r="B49" s="151" t="s">
        <v>23</v>
      </c>
      <c r="C49" s="155" t="s">
        <v>230</v>
      </c>
      <c r="D49" s="266"/>
      <c r="E49" s="83"/>
    </row>
    <row r="50" spans="2:7">
      <c r="B50" s="133" t="s">
        <v>4</v>
      </c>
      <c r="C50" s="16" t="s">
        <v>40</v>
      </c>
      <c r="D50" s="263">
        <v>10.9734261205971</v>
      </c>
      <c r="E50" s="83">
        <v>11.484045018627899</v>
      </c>
      <c r="G50" s="315"/>
    </row>
    <row r="51" spans="2:7">
      <c r="B51" s="133" t="s">
        <v>6</v>
      </c>
      <c r="C51" s="16" t="s">
        <v>231</v>
      </c>
      <c r="D51" s="314">
        <v>10.7433</v>
      </c>
      <c r="E51" s="83">
        <v>10.388299999999999</v>
      </c>
    </row>
    <row r="52" spans="2:7">
      <c r="B52" s="133" t="s">
        <v>8</v>
      </c>
      <c r="C52" s="16" t="s">
        <v>232</v>
      </c>
      <c r="D52" s="314">
        <v>12.7448</v>
      </c>
      <c r="E52" s="83">
        <v>12.661</v>
      </c>
    </row>
    <row r="53" spans="2:7" ht="13.5" thickBot="1">
      <c r="B53" s="134" t="s">
        <v>9</v>
      </c>
      <c r="C53" s="18" t="s">
        <v>41</v>
      </c>
      <c r="D53" s="268">
        <v>11.484045018627899</v>
      </c>
      <c r="E53" s="187">
        <v>12.661027231396501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8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48580359.979999997</v>
      </c>
      <c r="E58" s="33">
        <f>D58/E21</f>
        <v>1.0051947302796453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48473107.909999996</v>
      </c>
      <c r="E64" s="97">
        <f>D64/E21</f>
        <v>1.0029755368520963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107251.78+0.29</f>
        <v>107252.06999999999</v>
      </c>
      <c r="E69" s="95">
        <f>D69/E21</f>
        <v>2.2191934275490655E-3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22.58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174827.46000000002</v>
      </c>
      <c r="E72" s="150">
        <f>D72/E21</f>
        <v>3.6174215582701311E-3</v>
      </c>
    </row>
    <row r="73" spans="2:5">
      <c r="B73" s="24" t="s">
        <v>62</v>
      </c>
      <c r="C73" s="25" t="s">
        <v>65</v>
      </c>
      <c r="D73" s="26">
        <f>E17</f>
        <v>425907.73</v>
      </c>
      <c r="E73" s="27">
        <f>D73/E21</f>
        <v>8.8126190492951971E-3</v>
      </c>
    </row>
    <row r="74" spans="2:5">
      <c r="B74" s="151" t="s">
        <v>64</v>
      </c>
      <c r="C74" s="152" t="s">
        <v>66</v>
      </c>
      <c r="D74" s="153">
        <f>D58+D71+D72-D73</f>
        <v>48329302.289999999</v>
      </c>
      <c r="E74" s="70">
        <f>E58+E72-E73</f>
        <v>0.99999953278862019</v>
      </c>
    </row>
    <row r="75" spans="2:5">
      <c r="B75" s="15" t="s">
        <v>4</v>
      </c>
      <c r="C75" s="16" t="s">
        <v>67</v>
      </c>
      <c r="D75" s="94">
        <f>D74</f>
        <v>48329302.289999999</v>
      </c>
      <c r="E75" s="95">
        <f>E74</f>
        <v>0.99999953278862019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124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183189.68</v>
      </c>
      <c r="E11" s="9">
        <f>E12</f>
        <v>94240.53</v>
      </c>
    </row>
    <row r="12" spans="2:7">
      <c r="B12" s="137" t="s">
        <v>4</v>
      </c>
      <c r="C12" s="6" t="s">
        <v>5</v>
      </c>
      <c r="D12" s="90">
        <v>183189.68</v>
      </c>
      <c r="E12" s="101">
        <v>94240.53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183189.68</v>
      </c>
      <c r="E21" s="181">
        <f>E11</f>
        <v>94240.53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116799.14</v>
      </c>
      <c r="E26" s="123">
        <v>183189.68</v>
      </c>
      <c r="G26" s="84"/>
    </row>
    <row r="27" spans="2:10">
      <c r="B27" s="10" t="s">
        <v>17</v>
      </c>
      <c r="C27" s="11" t="s">
        <v>228</v>
      </c>
      <c r="D27" s="182">
        <v>118793.11</v>
      </c>
      <c r="E27" s="180">
        <f>E28-E32</f>
        <v>-86992.43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201532.98</v>
      </c>
      <c r="E28" s="81">
        <f>SUM(E29:E31)</f>
        <v>145358.57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34103.78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167429.20000000001</v>
      </c>
      <c r="E31" s="105">
        <v>145358.57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82739.87</v>
      </c>
      <c r="E32" s="81">
        <f>SUM(E33:E39)</f>
        <v>232351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4420.0600000000004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67.75</v>
      </c>
      <c r="E35" s="105">
        <v>259.36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3008.28</v>
      </c>
      <c r="E37" s="105">
        <v>3166.39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75243.78</v>
      </c>
      <c r="E39" s="184">
        <v>228925.25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-52402.57</v>
      </c>
      <c r="E40" s="128">
        <v>-1956.72</v>
      </c>
      <c r="G40" s="84"/>
    </row>
    <row r="41" spans="2:10" ht="13.5" thickBot="1">
      <c r="B41" s="129" t="s">
        <v>37</v>
      </c>
      <c r="C41" s="130" t="s">
        <v>38</v>
      </c>
      <c r="D41" s="131">
        <v>183189.68</v>
      </c>
      <c r="E41" s="181">
        <f>E26+E27+E40</f>
        <v>94240.53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559.32929999999999</v>
      </c>
      <c r="E47" s="185">
        <v>1125.3820000000001</v>
      </c>
      <c r="G47" s="79"/>
    </row>
    <row r="48" spans="2:10">
      <c r="B48" s="154" t="s">
        <v>6</v>
      </c>
      <c r="C48" s="23" t="s">
        <v>41</v>
      </c>
      <c r="D48" s="264">
        <v>1125.3820000000001</v>
      </c>
      <c r="E48" s="185">
        <v>620.00350000000003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208.82</v>
      </c>
      <c r="E50" s="185">
        <v>162.78</v>
      </c>
    </row>
    <row r="51" spans="2:5">
      <c r="B51" s="133" t="s">
        <v>6</v>
      </c>
      <c r="C51" s="16" t="s">
        <v>231</v>
      </c>
      <c r="D51" s="267">
        <v>146.18</v>
      </c>
      <c r="E51" s="85">
        <v>143.6</v>
      </c>
    </row>
    <row r="52" spans="2:5">
      <c r="B52" s="133" t="s">
        <v>8</v>
      </c>
      <c r="C52" s="16" t="s">
        <v>232</v>
      </c>
      <c r="D52" s="267">
        <v>237.26</v>
      </c>
      <c r="E52" s="85">
        <v>193.23000000000002</v>
      </c>
    </row>
    <row r="53" spans="2:5" ht="13.5" customHeight="1" thickBot="1">
      <c r="B53" s="134" t="s">
        <v>9</v>
      </c>
      <c r="C53" s="18" t="s">
        <v>41</v>
      </c>
      <c r="D53" s="268">
        <v>162.78</v>
      </c>
      <c r="E53" s="187">
        <v>152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94240.53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94240.53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94240.53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94240.53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41" sqref="E4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250</v>
      </c>
      <c r="C6" s="338"/>
      <c r="D6" s="338"/>
      <c r="E6" s="338"/>
    </row>
    <row r="7" spans="2:7" ht="14.25">
      <c r="B7" s="195"/>
      <c r="C7" s="195"/>
      <c r="D7" s="195"/>
      <c r="E7" s="19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96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 t="s">
        <v>260</v>
      </c>
    </row>
    <row r="12" spans="2:7">
      <c r="B12" s="137" t="s">
        <v>4</v>
      </c>
      <c r="C12" s="6" t="s">
        <v>5</v>
      </c>
      <c r="D12" s="90" t="s">
        <v>260</v>
      </c>
      <c r="E12" s="101" t="s">
        <v>260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 t="str">
        <f>E11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96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/>
      <c r="E27" s="332">
        <f>E28-E32</f>
        <v>-6512.6100000000006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332">
        <f>SUM(E29:E31)</f>
        <v>51402.96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333">
        <v>51402.96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258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258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257">
        <f>SUM(E33:E39)</f>
        <v>57915.57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258">
        <v>57743.14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258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258">
        <v>45.96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258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258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258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258">
        <v>126.47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6512.61</v>
      </c>
      <c r="G40" s="84"/>
    </row>
    <row r="41" spans="2:10" ht="13.5" thickBot="1">
      <c r="B41" s="129" t="s">
        <v>37</v>
      </c>
      <c r="C41" s="130" t="s">
        <v>38</v>
      </c>
      <c r="D41" s="131"/>
      <c r="E41" s="181" t="s">
        <v>260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96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185"/>
      <c r="G47" s="79"/>
    </row>
    <row r="48" spans="2:10">
      <c r="B48" s="154" t="s">
        <v>6</v>
      </c>
      <c r="C48" s="23" t="s">
        <v>41</v>
      </c>
      <c r="D48" s="222"/>
      <c r="E48" s="185"/>
      <c r="G48" s="79"/>
    </row>
    <row r="49" spans="2:5">
      <c r="B49" s="151" t="s">
        <v>23</v>
      </c>
      <c r="C49" s="155" t="s">
        <v>230</v>
      </c>
      <c r="D49" s="223"/>
      <c r="E49" s="185"/>
    </row>
    <row r="50" spans="2:5">
      <c r="B50" s="133" t="s">
        <v>4</v>
      </c>
      <c r="C50" s="16" t="s">
        <v>40</v>
      </c>
      <c r="D50" s="221"/>
      <c r="E50" s="185"/>
    </row>
    <row r="51" spans="2:5">
      <c r="B51" s="133" t="s">
        <v>6</v>
      </c>
      <c r="C51" s="16" t="s">
        <v>231</v>
      </c>
      <c r="D51" s="224"/>
      <c r="E51" s="85">
        <v>78.59</v>
      </c>
    </row>
    <row r="52" spans="2:5">
      <c r="B52" s="133" t="s">
        <v>8</v>
      </c>
      <c r="C52" s="16" t="s">
        <v>232</v>
      </c>
      <c r="D52" s="224"/>
      <c r="E52" s="85">
        <v>105.58</v>
      </c>
    </row>
    <row r="53" spans="2:5" ht="13.5" thickBot="1">
      <c r="B53" s="134" t="s">
        <v>9</v>
      </c>
      <c r="C53" s="18" t="s">
        <v>41</v>
      </c>
      <c r="D53" s="225"/>
      <c r="E53" s="187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 t="str">
        <f>D64</f>
        <v>-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 t="str">
        <f>E21</f>
        <v>-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 t="str">
        <f>D58</f>
        <v>-</v>
      </c>
      <c r="E74" s="70">
        <f>E58+E72-E73</f>
        <v>0</v>
      </c>
    </row>
    <row r="75" spans="2:5">
      <c r="B75" s="133" t="s">
        <v>4</v>
      </c>
      <c r="C75" s="16" t="s">
        <v>67</v>
      </c>
      <c r="D75" s="94" t="str">
        <f>D74</f>
        <v>-</v>
      </c>
      <c r="E75" s="95">
        <f>E74</f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264</v>
      </c>
      <c r="C6" s="338"/>
      <c r="D6" s="338"/>
      <c r="E6" s="338"/>
    </row>
    <row r="7" spans="2:7" ht="14.25">
      <c r="B7" s="244"/>
      <c r="C7" s="244"/>
      <c r="D7" s="244"/>
      <c r="E7" s="244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245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36210.639999999999</v>
      </c>
    </row>
    <row r="12" spans="2:7">
      <c r="B12" s="272" t="s">
        <v>4</v>
      </c>
      <c r="C12" s="273" t="s">
        <v>5</v>
      </c>
      <c r="D12" s="90" t="s">
        <v>260</v>
      </c>
      <c r="E12" s="101">
        <v>36210.639999999999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36210.639999999999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59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36015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36015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/>
      <c r="E29" s="105">
        <v>36015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0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195.64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36210.639999999999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245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185"/>
      <c r="G47" s="79"/>
    </row>
    <row r="48" spans="2:10">
      <c r="B48" s="154" t="s">
        <v>6</v>
      </c>
      <c r="C48" s="23" t="s">
        <v>41</v>
      </c>
      <c r="D48" s="222"/>
      <c r="E48" s="185">
        <v>359.23250000000002</v>
      </c>
      <c r="G48" s="79"/>
    </row>
    <row r="49" spans="2:5">
      <c r="B49" s="151" t="s">
        <v>23</v>
      </c>
      <c r="C49" s="155" t="s">
        <v>230</v>
      </c>
      <c r="D49" s="223"/>
      <c r="E49" s="185"/>
    </row>
    <row r="50" spans="2:5">
      <c r="B50" s="133" t="s">
        <v>4</v>
      </c>
      <c r="C50" s="16" t="s">
        <v>40</v>
      </c>
      <c r="D50" s="221"/>
      <c r="E50" s="185"/>
    </row>
    <row r="51" spans="2:5">
      <c r="B51" s="133" t="s">
        <v>6</v>
      </c>
      <c r="C51" s="16" t="s">
        <v>231</v>
      </c>
      <c r="D51" s="224"/>
      <c r="E51" s="85">
        <v>98.31</v>
      </c>
    </row>
    <row r="52" spans="2:5">
      <c r="B52" s="133" t="s">
        <v>8</v>
      </c>
      <c r="C52" s="16" t="s">
        <v>232</v>
      </c>
      <c r="D52" s="224"/>
      <c r="E52" s="85">
        <v>100.92</v>
      </c>
    </row>
    <row r="53" spans="2:5" ht="13.5" thickBot="1">
      <c r="B53" s="134" t="s">
        <v>9</v>
      </c>
      <c r="C53" s="18" t="s">
        <v>41</v>
      </c>
      <c r="D53" s="225"/>
      <c r="E53" s="187">
        <v>100.8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36210.639999999999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36210.639999999999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36210.639999999999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36210.639999999999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251</v>
      </c>
      <c r="C6" s="338"/>
      <c r="D6" s="338"/>
      <c r="E6" s="338"/>
    </row>
    <row r="7" spans="2:7" ht="14.25">
      <c r="B7" s="195"/>
      <c r="C7" s="195"/>
      <c r="D7" s="195"/>
      <c r="E7" s="19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96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429073.22</v>
      </c>
    </row>
    <row r="12" spans="2:7">
      <c r="B12" s="137" t="s">
        <v>4</v>
      </c>
      <c r="C12" s="6" t="s">
        <v>5</v>
      </c>
      <c r="D12" s="90" t="s">
        <v>260</v>
      </c>
      <c r="E12" s="101">
        <v>429073.22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429073.22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96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0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422581.15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549880.49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549880.49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127299.34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126600.51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698.83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6492.07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E26+E27+E40</f>
        <v>429073.22000000003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96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185"/>
      <c r="G47" s="79"/>
    </row>
    <row r="48" spans="2:10">
      <c r="B48" s="154" t="s">
        <v>6</v>
      </c>
      <c r="C48" s="23" t="s">
        <v>41</v>
      </c>
      <c r="D48" s="222"/>
      <c r="E48" s="185">
        <v>1781.1998000000001</v>
      </c>
      <c r="G48" s="79"/>
    </row>
    <row r="49" spans="2:5">
      <c r="B49" s="151" t="s">
        <v>23</v>
      </c>
      <c r="C49" s="155" t="s">
        <v>230</v>
      </c>
      <c r="D49" s="223"/>
      <c r="E49" s="185"/>
    </row>
    <row r="50" spans="2:5">
      <c r="B50" s="133" t="s">
        <v>4</v>
      </c>
      <c r="C50" s="16" t="s">
        <v>40</v>
      </c>
      <c r="D50" s="221"/>
      <c r="E50" s="185"/>
    </row>
    <row r="51" spans="2:5">
      <c r="B51" s="133" t="s">
        <v>6</v>
      </c>
      <c r="C51" s="16" t="s">
        <v>231</v>
      </c>
      <c r="D51" s="224"/>
      <c r="E51" s="85">
        <v>234.72</v>
      </c>
    </row>
    <row r="52" spans="2:5">
      <c r="B52" s="133" t="s">
        <v>8</v>
      </c>
      <c r="C52" s="16" t="s">
        <v>232</v>
      </c>
      <c r="D52" s="224"/>
      <c r="E52" s="85">
        <v>240.89</v>
      </c>
    </row>
    <row r="53" spans="2:5" ht="13.5" thickBot="1">
      <c r="B53" s="134" t="s">
        <v>9</v>
      </c>
      <c r="C53" s="18" t="s">
        <v>41</v>
      </c>
      <c r="D53" s="225"/>
      <c r="E53" s="187">
        <v>240.89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429073.22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429073.22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429073.22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429073.22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252</v>
      </c>
      <c r="C6" s="338"/>
      <c r="D6" s="338"/>
      <c r="E6" s="338"/>
    </row>
    <row r="7" spans="2:7" ht="14.25">
      <c r="B7" s="195"/>
      <c r="C7" s="195"/>
      <c r="D7" s="195"/>
      <c r="E7" s="19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96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141464.54999999999</v>
      </c>
    </row>
    <row r="12" spans="2:7">
      <c r="B12" s="137" t="s">
        <v>4</v>
      </c>
      <c r="C12" s="6" t="s">
        <v>5</v>
      </c>
      <c r="D12" s="90" t="s">
        <v>260</v>
      </c>
      <c r="E12" s="101">
        <v>141464.54999999999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141464.54999999999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96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0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128702.73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161059.87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>
        <v>153942.32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7117.55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32357.14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>
        <v>30543.68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>
        <v>227.78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>
        <v>1428.18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>
        <v>157.5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12761.82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E26+E27+E40</f>
        <v>141464.54999999999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96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185"/>
      <c r="G47" s="79"/>
    </row>
    <row r="48" spans="2:10">
      <c r="B48" s="154" t="s">
        <v>6</v>
      </c>
      <c r="C48" s="23" t="s">
        <v>41</v>
      </c>
      <c r="D48" s="222"/>
      <c r="E48" s="185">
        <v>4613.9773999999998</v>
      </c>
      <c r="G48" s="79"/>
    </row>
    <row r="49" spans="2:5">
      <c r="B49" s="151" t="s">
        <v>23</v>
      </c>
      <c r="C49" s="155" t="s">
        <v>230</v>
      </c>
      <c r="D49" s="223"/>
      <c r="E49" s="185"/>
    </row>
    <row r="50" spans="2:5">
      <c r="B50" s="133" t="s">
        <v>4</v>
      </c>
      <c r="C50" s="16" t="s">
        <v>40</v>
      </c>
      <c r="D50" s="221"/>
      <c r="E50" s="185"/>
    </row>
    <row r="51" spans="2:5">
      <c r="B51" s="133" t="s">
        <v>6</v>
      </c>
      <c r="C51" s="16" t="s">
        <v>231</v>
      </c>
      <c r="D51" s="224"/>
      <c r="E51" s="85">
        <v>26.42</v>
      </c>
    </row>
    <row r="52" spans="2:5">
      <c r="B52" s="133" t="s">
        <v>8</v>
      </c>
      <c r="C52" s="16" t="s">
        <v>232</v>
      </c>
      <c r="D52" s="224"/>
      <c r="E52" s="85">
        <v>30.79</v>
      </c>
    </row>
    <row r="53" spans="2:5" ht="13.5" thickBot="1">
      <c r="B53" s="134" t="s">
        <v>9</v>
      </c>
      <c r="C53" s="18" t="s">
        <v>41</v>
      </c>
      <c r="D53" s="225"/>
      <c r="E53" s="187">
        <v>30.66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141464.54999999999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141464.54999999999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141464.54999999999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141464.54999999999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26" sqref="E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9"/>
      <c r="C4" s="179"/>
      <c r="D4" s="179"/>
      <c r="E4" s="179"/>
    </row>
    <row r="5" spans="2:7" ht="14.25">
      <c r="B5" s="337" t="s">
        <v>1</v>
      </c>
      <c r="C5" s="337"/>
      <c r="D5" s="337"/>
      <c r="E5" s="337"/>
    </row>
    <row r="6" spans="2:7" ht="14.25">
      <c r="B6" s="338" t="s">
        <v>255</v>
      </c>
      <c r="C6" s="338"/>
      <c r="D6" s="338"/>
      <c r="E6" s="338"/>
    </row>
    <row r="7" spans="2:7" ht="14.25">
      <c r="B7" s="195"/>
      <c r="C7" s="195"/>
      <c r="D7" s="195"/>
      <c r="E7" s="19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96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 t="s">
        <v>260</v>
      </c>
      <c r="E11" s="9">
        <f>E12</f>
        <v>3492.57</v>
      </c>
    </row>
    <row r="12" spans="2:7">
      <c r="B12" s="137" t="s">
        <v>4</v>
      </c>
      <c r="C12" s="6" t="s">
        <v>5</v>
      </c>
      <c r="D12" s="90" t="s">
        <v>260</v>
      </c>
      <c r="E12" s="101">
        <v>3492.57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 t="str">
        <f>D11</f>
        <v>-</v>
      </c>
      <c r="E21" s="181">
        <f>E11</f>
        <v>3492.57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96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 t="str">
        <f>D21</f>
        <v>-</v>
      </c>
      <c r="G26" s="84"/>
    </row>
    <row r="27" spans="2:10">
      <c r="B27" s="10" t="s">
        <v>17</v>
      </c>
      <c r="C27" s="11" t="s">
        <v>228</v>
      </c>
      <c r="D27" s="182"/>
      <c r="E27" s="180">
        <f>E28-E32</f>
        <v>3211.39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/>
      <c r="E28" s="81">
        <f>SUM(E29:E31)</f>
        <v>3211.39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/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3211.39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/>
      <c r="E32" s="81">
        <f>SUM(E33:E39)</f>
        <v>0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/>
      <c r="E40" s="128">
        <v>281.18</v>
      </c>
      <c r="G40" s="84"/>
    </row>
    <row r="41" spans="2:10" ht="13.5" thickBot="1">
      <c r="B41" s="129" t="s">
        <v>37</v>
      </c>
      <c r="C41" s="130" t="s">
        <v>38</v>
      </c>
      <c r="D41" s="131"/>
      <c r="E41" s="181">
        <f>E27+E40</f>
        <v>3492.5699999999997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96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21"/>
      <c r="E47" s="185"/>
      <c r="G47" s="79"/>
    </row>
    <row r="48" spans="2:10">
      <c r="B48" s="154" t="s">
        <v>6</v>
      </c>
      <c r="C48" s="23" t="s">
        <v>41</v>
      </c>
      <c r="D48" s="222"/>
      <c r="E48" s="185">
        <v>29.533000000000001</v>
      </c>
      <c r="G48" s="79"/>
    </row>
    <row r="49" spans="2:5">
      <c r="B49" s="151" t="s">
        <v>23</v>
      </c>
      <c r="C49" s="155" t="s">
        <v>230</v>
      </c>
      <c r="D49" s="223"/>
      <c r="E49" s="185"/>
    </row>
    <row r="50" spans="2:5">
      <c r="B50" s="133" t="s">
        <v>4</v>
      </c>
      <c r="C50" s="16" t="s">
        <v>40</v>
      </c>
      <c r="D50" s="221"/>
      <c r="E50" s="185"/>
    </row>
    <row r="51" spans="2:5">
      <c r="B51" s="133" t="s">
        <v>6</v>
      </c>
      <c r="C51" s="16" t="s">
        <v>231</v>
      </c>
      <c r="D51" s="224"/>
      <c r="E51" s="85">
        <v>97.34</v>
      </c>
    </row>
    <row r="52" spans="2:5">
      <c r="B52" s="133" t="s">
        <v>8</v>
      </c>
      <c r="C52" s="16" t="s">
        <v>232</v>
      </c>
      <c r="D52" s="224"/>
      <c r="E52" s="85">
        <v>118.26</v>
      </c>
    </row>
    <row r="53" spans="2:5" ht="13.5" thickBot="1">
      <c r="B53" s="134" t="s">
        <v>9</v>
      </c>
      <c r="C53" s="18" t="s">
        <v>41</v>
      </c>
      <c r="D53" s="225"/>
      <c r="E53" s="187">
        <v>118.26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3492.57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3492.57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3492.57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3492.57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zoomScaleNormal="100" workbookViewId="0">
      <selection activeCell="E29" sqref="E29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181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1885933.75</v>
      </c>
      <c r="E11" s="9">
        <f>E12</f>
        <v>2133646.2599999998</v>
      </c>
    </row>
    <row r="12" spans="2:7">
      <c r="B12" s="137" t="s">
        <v>4</v>
      </c>
      <c r="C12" s="6" t="s">
        <v>5</v>
      </c>
      <c r="D12" s="90">
        <v>1885933.75</v>
      </c>
      <c r="E12" s="101">
        <v>2133646.2599999998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1885933.75</v>
      </c>
      <c r="E21" s="181">
        <f>E11</f>
        <v>2133646.2599999998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28862.15</v>
      </c>
      <c r="E26" s="123">
        <v>1885933.75</v>
      </c>
      <c r="G26" s="84"/>
    </row>
    <row r="27" spans="2:10">
      <c r="B27" s="10" t="s">
        <v>17</v>
      </c>
      <c r="C27" s="11" t="s">
        <v>228</v>
      </c>
      <c r="D27" s="182">
        <v>2187518.2999999998</v>
      </c>
      <c r="E27" s="180">
        <f>E28-E32</f>
        <v>-41061.56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2501916.61</v>
      </c>
      <c r="E28" s="81">
        <f>SUM(E29:E31)</f>
        <v>7336.53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2445472.33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56444.28</v>
      </c>
      <c r="E31" s="105">
        <v>7336.53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314398.31</v>
      </c>
      <c r="E32" s="81">
        <f>SUM(E33:E39)</f>
        <v>48398.09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2055.06</v>
      </c>
      <c r="E33" s="105">
        <v>7129.91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5932.33</v>
      </c>
      <c r="E35" s="105">
        <v>12527.65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29823.19</v>
      </c>
      <c r="E37" s="105">
        <v>25574.62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276587.73</v>
      </c>
      <c r="E39" s="184">
        <v>3165.91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-330446.7</v>
      </c>
      <c r="E40" s="128">
        <v>288774.07</v>
      </c>
      <c r="G40" s="84"/>
    </row>
    <row r="41" spans="2:10" ht="13.5" thickBot="1">
      <c r="B41" s="129" t="s">
        <v>37</v>
      </c>
      <c r="C41" s="130" t="s">
        <v>38</v>
      </c>
      <c r="D41" s="131">
        <v>1885933.7499999998</v>
      </c>
      <c r="E41" s="181">
        <f>E26+E27+E40</f>
        <v>2133646.2599999998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73.551000000000002</v>
      </c>
      <c r="E47" s="185">
        <v>5322.6850000000004</v>
      </c>
      <c r="G47" s="79"/>
    </row>
    <row r="48" spans="2:10">
      <c r="B48" s="154" t="s">
        <v>6</v>
      </c>
      <c r="C48" s="23" t="s">
        <v>41</v>
      </c>
      <c r="D48" s="264">
        <v>5322.6850000000004</v>
      </c>
      <c r="E48" s="185">
        <v>5206.4279999999999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392.41</v>
      </c>
      <c r="E50" s="185">
        <v>354.32</v>
      </c>
    </row>
    <row r="51" spans="2:5">
      <c r="B51" s="133" t="s">
        <v>6</v>
      </c>
      <c r="C51" s="16" t="s">
        <v>231</v>
      </c>
      <c r="D51" s="267">
        <v>307.17</v>
      </c>
      <c r="E51" s="85">
        <v>306.04000000000002</v>
      </c>
    </row>
    <row r="52" spans="2:5">
      <c r="B52" s="133" t="s">
        <v>8</v>
      </c>
      <c r="C52" s="16" t="s">
        <v>232</v>
      </c>
      <c r="D52" s="267">
        <v>450.56</v>
      </c>
      <c r="E52" s="85">
        <v>420.25</v>
      </c>
    </row>
    <row r="53" spans="2:5" ht="12.75" customHeight="1" thickBot="1">
      <c r="B53" s="134" t="s">
        <v>9</v>
      </c>
      <c r="C53" s="18" t="s">
        <v>41</v>
      </c>
      <c r="D53" s="268">
        <v>354.32</v>
      </c>
      <c r="E53" s="187">
        <v>409.81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2133646.2599999998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2133646.2599999998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2133646.2599999998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2133646.2599999998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5118110236220474" bottom="0.6692913385826772" header="0.51181102362204722" footer="0.51181102362204722"/>
  <pageSetup paperSize="9" scale="68" orientation="portrait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182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30560046.07</v>
      </c>
      <c r="E11" s="9">
        <f>E12</f>
        <v>14810064.869999999</v>
      </c>
    </row>
    <row r="12" spans="2:7">
      <c r="B12" s="137" t="s">
        <v>4</v>
      </c>
      <c r="C12" s="6" t="s">
        <v>5</v>
      </c>
      <c r="D12" s="90">
        <v>30560046.07</v>
      </c>
      <c r="E12" s="101">
        <v>14810064.869999999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30560046.07</v>
      </c>
      <c r="E21" s="181">
        <f>E11</f>
        <v>14810064.869999999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4058452.43</v>
      </c>
      <c r="E26" s="123">
        <v>30560046.07</v>
      </c>
      <c r="G26" s="84"/>
    </row>
    <row r="27" spans="2:10">
      <c r="B27" s="10" t="s">
        <v>17</v>
      </c>
      <c r="C27" s="11" t="s">
        <v>228</v>
      </c>
      <c r="D27" s="182">
        <v>27481830.149999999</v>
      </c>
      <c r="E27" s="180">
        <f>E28-E32</f>
        <v>-11545249.609999999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38936479.539999999</v>
      </c>
      <c r="E28" s="81">
        <f>SUM(E29:E31)</f>
        <v>907.35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31825214.440000001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7111265.0999999996</v>
      </c>
      <c r="E31" s="105">
        <v>907.35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11454649.390000001</v>
      </c>
      <c r="E32" s="81">
        <f>SUM(E33:E39)</f>
        <v>11546156.959999999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2188833.91</v>
      </c>
      <c r="E33" s="105">
        <v>8128260.3399999999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7634.13</v>
      </c>
      <c r="E35" s="105">
        <v>28679.85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426287.01</v>
      </c>
      <c r="E37" s="105">
        <v>308369.28999999998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8831894.3399999999</v>
      </c>
      <c r="E39" s="184">
        <v>3080847.48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-980236.51</v>
      </c>
      <c r="E40" s="128">
        <v>-4204731.59</v>
      </c>
      <c r="G40" s="84"/>
    </row>
    <row r="41" spans="2:10" ht="13.5" thickBot="1">
      <c r="B41" s="129" t="s">
        <v>37</v>
      </c>
      <c r="C41" s="130" t="s">
        <v>38</v>
      </c>
      <c r="D41" s="131">
        <v>30560046.069999997</v>
      </c>
      <c r="E41" s="181">
        <f>E26+E27+E40</f>
        <v>14810064.870000001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11368.851000000001</v>
      </c>
      <c r="E47" s="185">
        <v>81685.144</v>
      </c>
      <c r="G47" s="79"/>
    </row>
    <row r="48" spans="2:10">
      <c r="B48" s="154" t="s">
        <v>6</v>
      </c>
      <c r="C48" s="23" t="s">
        <v>41</v>
      </c>
      <c r="D48" s="264">
        <v>81685.144</v>
      </c>
      <c r="E48" s="185">
        <v>46656.160000000003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356.98</v>
      </c>
      <c r="E50" s="185">
        <v>374.12</v>
      </c>
    </row>
    <row r="51" spans="2:5">
      <c r="B51" s="133" t="s">
        <v>6</v>
      </c>
      <c r="C51" s="16" t="s">
        <v>231</v>
      </c>
      <c r="D51" s="267">
        <v>344.36</v>
      </c>
      <c r="E51" s="85">
        <v>299.88</v>
      </c>
    </row>
    <row r="52" spans="2:5">
      <c r="B52" s="133" t="s">
        <v>8</v>
      </c>
      <c r="C52" s="16" t="s">
        <v>232</v>
      </c>
      <c r="D52" s="267">
        <v>417.81</v>
      </c>
      <c r="E52" s="85">
        <v>374.12</v>
      </c>
    </row>
    <row r="53" spans="2:5" ht="14.25" customHeight="1" thickBot="1">
      <c r="B53" s="134" t="s">
        <v>9</v>
      </c>
      <c r="C53" s="18" t="s">
        <v>41</v>
      </c>
      <c r="D53" s="268">
        <v>374.12</v>
      </c>
      <c r="E53" s="187">
        <v>317.43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14810064.869999999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14810064.869999999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14810064.869999999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14810064.869999999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E39" sqref="E39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202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853810.54</v>
      </c>
      <c r="E11" s="9">
        <f>E12</f>
        <v>3624941.58</v>
      </c>
    </row>
    <row r="12" spans="2:7">
      <c r="B12" s="272" t="s">
        <v>4</v>
      </c>
      <c r="C12" s="273" t="s">
        <v>5</v>
      </c>
      <c r="D12" s="90">
        <v>853810.54</v>
      </c>
      <c r="E12" s="101">
        <v>3624941.58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853810.54</v>
      </c>
      <c r="E21" s="181">
        <f>E11</f>
        <v>3624941.58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59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0</v>
      </c>
      <c r="E26" s="123">
        <v>853810.54</v>
      </c>
      <c r="G26" s="84"/>
    </row>
    <row r="27" spans="2:10">
      <c r="B27" s="10" t="s">
        <v>17</v>
      </c>
      <c r="C27" s="11" t="s">
        <v>228</v>
      </c>
      <c r="D27" s="182">
        <v>865426.44</v>
      </c>
      <c r="E27" s="180">
        <f>E28-E32</f>
        <v>2713593.28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1000490.31</v>
      </c>
      <c r="E28" s="81">
        <f>SUM(E29:E31)</f>
        <v>2747599.59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874599.72</v>
      </c>
      <c r="E29" s="105"/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>
        <v>125890.59</v>
      </c>
      <c r="E31" s="105">
        <v>2747599.59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135063.87</v>
      </c>
      <c r="E32" s="81">
        <f>SUM(E33:E39)</f>
        <v>34006.31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/>
      <c r="E33" s="105"/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>
        <v>7.62</v>
      </c>
      <c r="E35" s="105">
        <v>11.24</v>
      </c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>
        <v>11152.81</v>
      </c>
      <c r="E37" s="105">
        <v>33995.07</v>
      </c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>
        <v>123903.44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-11615.9</v>
      </c>
      <c r="E40" s="128">
        <v>57537.760000000002</v>
      </c>
      <c r="G40" s="84"/>
    </row>
    <row r="41" spans="2:10" ht="13.5" thickBot="1">
      <c r="B41" s="129" t="s">
        <v>37</v>
      </c>
      <c r="C41" s="130" t="s">
        <v>38</v>
      </c>
      <c r="D41" s="131">
        <v>853810.53999999992</v>
      </c>
      <c r="E41" s="181">
        <f>E26+E27+E40</f>
        <v>3624941.5799999996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2149.8440000000001</v>
      </c>
      <c r="G47" s="79"/>
    </row>
    <row r="48" spans="2:10">
      <c r="B48" s="154" t="s">
        <v>6</v>
      </c>
      <c r="C48" s="23" t="s">
        <v>41</v>
      </c>
      <c r="D48" s="264">
        <v>2149.8440000000001</v>
      </c>
      <c r="E48" s="185">
        <v>8778.1610000000001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397.15</v>
      </c>
    </row>
    <row r="51" spans="2:5">
      <c r="B51" s="133" t="s">
        <v>6</v>
      </c>
      <c r="C51" s="16" t="s">
        <v>231</v>
      </c>
      <c r="D51" s="267">
        <v>395.4</v>
      </c>
      <c r="E51" s="85">
        <v>389.25</v>
      </c>
    </row>
    <row r="52" spans="2:5">
      <c r="B52" s="133" t="s">
        <v>8</v>
      </c>
      <c r="C52" s="16" t="s">
        <v>232</v>
      </c>
      <c r="D52" s="267">
        <v>407.21</v>
      </c>
      <c r="E52" s="85">
        <v>415.72</v>
      </c>
    </row>
    <row r="53" spans="2:5" ht="13.5" customHeight="1" thickBot="1">
      <c r="B53" s="134" t="s">
        <v>9</v>
      </c>
      <c r="C53" s="18" t="s">
        <v>41</v>
      </c>
      <c r="D53" s="268">
        <v>397.15</v>
      </c>
      <c r="E53" s="187">
        <v>412.95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3624941.58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3624941.58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3624941.58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3624941.58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126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372867.73</v>
      </c>
      <c r="E11" s="9">
        <f>E12</f>
        <v>371176.07</v>
      </c>
    </row>
    <row r="12" spans="2:7">
      <c r="B12" s="137" t="s">
        <v>4</v>
      </c>
      <c r="C12" s="6" t="s">
        <v>5</v>
      </c>
      <c r="D12" s="90">
        <v>372867.73</v>
      </c>
      <c r="E12" s="101">
        <v>371176.07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372867.73</v>
      </c>
      <c r="E21" s="181">
        <f>E11</f>
        <v>371176.07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593443.85</v>
      </c>
      <c r="E26" s="123">
        <v>372867.73</v>
      </c>
      <c r="G26" s="84"/>
    </row>
    <row r="27" spans="2:10">
      <c r="B27" s="10" t="s">
        <v>17</v>
      </c>
      <c r="C27" s="11" t="s">
        <v>228</v>
      </c>
      <c r="D27" s="182">
        <v>-158924.74</v>
      </c>
      <c r="E27" s="180">
        <f>E28-E32</f>
        <v>-22318.510000000009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255907.07</v>
      </c>
      <c r="E28" s="81">
        <f>SUM(E29:E31)</f>
        <v>146350.31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100587</v>
      </c>
      <c r="E29" s="105">
        <v>16648.57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155320.07</v>
      </c>
      <c r="E31" s="105">
        <v>129701.74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414831.81</v>
      </c>
      <c r="E32" s="81">
        <f>SUM(E33:E39)</f>
        <v>168668.82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247007.98</v>
      </c>
      <c r="E33" s="105">
        <v>48388.94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1302.95</v>
      </c>
      <c r="E35" s="105">
        <v>1483.29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9260.64</v>
      </c>
      <c r="E37" s="105">
        <v>7503.94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157260.24</v>
      </c>
      <c r="E39" s="184">
        <v>111292.65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-61651.38</v>
      </c>
      <c r="E40" s="128">
        <v>20626.849999999999</v>
      </c>
      <c r="G40" s="84"/>
    </row>
    <row r="41" spans="2:10" ht="13.5" thickBot="1">
      <c r="B41" s="129" t="s">
        <v>37</v>
      </c>
      <c r="C41" s="130" t="s">
        <v>38</v>
      </c>
      <c r="D41" s="131">
        <v>372867.73</v>
      </c>
      <c r="E41" s="181">
        <f>E26+E27+E40</f>
        <v>371176.06999999995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1580.5360000000001</v>
      </c>
      <c r="E47" s="185">
        <v>1158.586</v>
      </c>
      <c r="G47" s="79"/>
    </row>
    <row r="48" spans="2:10">
      <c r="B48" s="154" t="s">
        <v>6</v>
      </c>
      <c r="C48" s="23" t="s">
        <v>41</v>
      </c>
      <c r="D48" s="264">
        <v>1158.586</v>
      </c>
      <c r="E48" s="185">
        <v>1079.942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375.47</v>
      </c>
      <c r="E50" s="185">
        <v>321.83</v>
      </c>
    </row>
    <row r="51" spans="2:5">
      <c r="B51" s="133" t="s">
        <v>6</v>
      </c>
      <c r="C51" s="16" t="s">
        <v>231</v>
      </c>
      <c r="D51" s="267">
        <v>308.33</v>
      </c>
      <c r="E51" s="185">
        <v>295.76</v>
      </c>
    </row>
    <row r="52" spans="2:5">
      <c r="B52" s="133" t="s">
        <v>8</v>
      </c>
      <c r="C52" s="16" t="s">
        <v>232</v>
      </c>
      <c r="D52" s="267">
        <v>409.86</v>
      </c>
      <c r="E52" s="85">
        <v>344.17</v>
      </c>
    </row>
    <row r="53" spans="2:5" ht="13.5" customHeight="1" thickBot="1">
      <c r="B53" s="134" t="s">
        <v>9</v>
      </c>
      <c r="C53" s="18" t="s">
        <v>41</v>
      </c>
      <c r="D53" s="268">
        <v>321.83</v>
      </c>
      <c r="E53" s="187">
        <v>343.7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371176.07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371176.07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371176.07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371176.07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81"/>
  <sheetViews>
    <sheetView topLeftCell="A52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100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20732245.430000003</v>
      </c>
      <c r="E11" s="9">
        <f>E12+E13+E14</f>
        <v>47552565.640000001</v>
      </c>
    </row>
    <row r="12" spans="2:7">
      <c r="B12" s="137" t="s">
        <v>4</v>
      </c>
      <c r="C12" s="6" t="s">
        <v>5</v>
      </c>
      <c r="D12" s="90">
        <v>20473040.440000001</v>
      </c>
      <c r="E12" s="101">
        <f>46187490.32+1125605.31+3.08</f>
        <v>47313098.710000001</v>
      </c>
    </row>
    <row r="13" spans="2:7">
      <c r="B13" s="137" t="s">
        <v>6</v>
      </c>
      <c r="C13" s="72" t="s">
        <v>7</v>
      </c>
      <c r="D13" s="90">
        <v>0.21</v>
      </c>
      <c r="E13" s="101">
        <v>71.91</v>
      </c>
    </row>
    <row r="14" spans="2:7">
      <c r="B14" s="137" t="s">
        <v>8</v>
      </c>
      <c r="C14" s="72" t="s">
        <v>10</v>
      </c>
      <c r="D14" s="90">
        <v>259204.78</v>
      </c>
      <c r="E14" s="101">
        <f>E15</f>
        <v>239395.02</v>
      </c>
    </row>
    <row r="15" spans="2:7">
      <c r="B15" s="137" t="s">
        <v>223</v>
      </c>
      <c r="C15" s="72" t="s">
        <v>11</v>
      </c>
      <c r="D15" s="90">
        <v>259204.78</v>
      </c>
      <c r="E15" s="101">
        <f>213683.77+6611.71+19099.54</f>
        <v>239395.02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8463.36</v>
      </c>
      <c r="E17" s="117">
        <f>SUM(E18:E19)</f>
        <v>202218.11000000002</v>
      </c>
    </row>
    <row r="18" spans="2:10">
      <c r="B18" s="137" t="s">
        <v>4</v>
      </c>
      <c r="C18" s="6" t="s">
        <v>11</v>
      </c>
      <c r="D18" s="90">
        <v>8463.36</v>
      </c>
      <c r="E18" s="102">
        <v>19902.04</v>
      </c>
    </row>
    <row r="19" spans="2:10" ht="13.5" customHeight="1">
      <c r="B19" s="137" t="s">
        <v>6</v>
      </c>
      <c r="C19" s="72" t="s">
        <v>225</v>
      </c>
      <c r="D19" s="90"/>
      <c r="E19" s="101">
        <v>182316.07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20723782.070000004</v>
      </c>
      <c r="E21" s="104">
        <f>E11-E17</f>
        <v>47350347.530000001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7.2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9762060.5199999996</v>
      </c>
      <c r="E26" s="123">
        <v>20723782.070000004</v>
      </c>
      <c r="G26" s="84"/>
    </row>
    <row r="27" spans="2:10">
      <c r="B27" s="10" t="s">
        <v>17</v>
      </c>
      <c r="C27" s="11" t="s">
        <v>228</v>
      </c>
      <c r="D27" s="182">
        <v>10898829.58</v>
      </c>
      <c r="E27" s="180">
        <f>E28-E32</f>
        <v>26023541.379999999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14558623.76</v>
      </c>
      <c r="E28" s="81">
        <f>SUM(E29:E31)</f>
        <v>34936100.609999999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6524947.0199999996</v>
      </c>
      <c r="E29" s="105">
        <v>24161188.5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8033676.7400000002</v>
      </c>
      <c r="E31" s="105">
        <v>10774912.110000001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3659794.1799999997</v>
      </c>
      <c r="E32" s="81">
        <f>SUM(E33:E39)</f>
        <v>8912559.2300000004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1429438.5899999999</v>
      </c>
      <c r="E33" s="105">
        <v>6035068.7999999998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302775.79000000004</v>
      </c>
      <c r="E35" s="105">
        <v>877433.10000000009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1927579.8</v>
      </c>
      <c r="E39" s="184">
        <v>2000057.33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62891.97</v>
      </c>
      <c r="E40" s="128">
        <f>602880.27+143.81</f>
        <v>603024.08000000007</v>
      </c>
      <c r="G40" s="84"/>
    </row>
    <row r="41" spans="2:10" ht="13.5" thickBot="1">
      <c r="B41" s="129" t="s">
        <v>37</v>
      </c>
      <c r="C41" s="130" t="s">
        <v>38</v>
      </c>
      <c r="D41" s="131">
        <v>20723782.07</v>
      </c>
      <c r="E41" s="181">
        <f>E26+E27+E40</f>
        <v>47350347.530000001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7.2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915590.06240000005</v>
      </c>
      <c r="E47" s="83">
        <v>1929194.7215</v>
      </c>
      <c r="G47" s="311"/>
    </row>
    <row r="48" spans="2:10">
      <c r="B48" s="154" t="s">
        <v>6</v>
      </c>
      <c r="C48" s="23" t="s">
        <v>41</v>
      </c>
      <c r="D48" s="264">
        <v>1929194.7215</v>
      </c>
      <c r="E48" s="83">
        <v>4327373.3824351626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10.6620428954974</v>
      </c>
      <c r="E50" s="83">
        <v>10.742193019213</v>
      </c>
      <c r="G50" s="315"/>
    </row>
    <row r="51" spans="2:7">
      <c r="B51" s="133" t="s">
        <v>6</v>
      </c>
      <c r="C51" s="16" t="s">
        <v>231</v>
      </c>
      <c r="D51" s="314">
        <v>10.662000000000001</v>
      </c>
      <c r="E51" s="316">
        <v>10.738200000000001</v>
      </c>
    </row>
    <row r="52" spans="2:7" ht="12.75" customHeight="1">
      <c r="B52" s="133" t="s">
        <v>8</v>
      </c>
      <c r="C52" s="16" t="s">
        <v>232</v>
      </c>
      <c r="D52" s="314">
        <v>10.8041</v>
      </c>
      <c r="E52" s="316">
        <v>10.9573</v>
      </c>
    </row>
    <row r="53" spans="2:7" ht="13.5" thickBot="1">
      <c r="B53" s="134" t="s">
        <v>9</v>
      </c>
      <c r="C53" s="18" t="s">
        <v>41</v>
      </c>
      <c r="D53" s="268">
        <v>10.742193019213</v>
      </c>
      <c r="E53" s="317">
        <v>10.9420526830884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6.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47313098.710000001</v>
      </c>
      <c r="E58" s="33">
        <f>D58/E21</f>
        <v>0.99921333586883598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46187490.32</v>
      </c>
      <c r="E64" s="97">
        <f>D64/E21</f>
        <v>0.97544142185517768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1125605.31+3.08</f>
        <v>1125608.3900000001</v>
      </c>
      <c r="E69" s="95">
        <f>D69/E21</f>
        <v>2.377191401365835E-2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71.91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239395.02</v>
      </c>
      <c r="E72" s="150">
        <f>D72/E21</f>
        <v>5.0558239271279951E-3</v>
      </c>
    </row>
    <row r="73" spans="2:5">
      <c r="B73" s="24" t="s">
        <v>62</v>
      </c>
      <c r="C73" s="25" t="s">
        <v>65</v>
      </c>
      <c r="D73" s="26">
        <f>E17</f>
        <v>202218.11000000002</v>
      </c>
      <c r="E73" s="27">
        <f>D73/E21</f>
        <v>4.2706784754194182E-3</v>
      </c>
    </row>
    <row r="74" spans="2:5">
      <c r="B74" s="151" t="s">
        <v>64</v>
      </c>
      <c r="C74" s="152" t="s">
        <v>66</v>
      </c>
      <c r="D74" s="153">
        <f>D58+D71+D72-D73</f>
        <v>47350347.530000001</v>
      </c>
      <c r="E74" s="70">
        <f>E58+E72-E73</f>
        <v>0.99999848132054447</v>
      </c>
    </row>
    <row r="75" spans="2:5">
      <c r="B75" s="15" t="s">
        <v>4</v>
      </c>
      <c r="C75" s="16" t="s">
        <v>67</v>
      </c>
      <c r="D75" s="94">
        <f>D74</f>
        <v>47350347.530000001</v>
      </c>
      <c r="E75" s="95">
        <f>E74</f>
        <v>0.99999848132054447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66"/>
      <c r="C4" s="166"/>
      <c r="D4" s="166"/>
      <c r="E4" s="166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127</v>
      </c>
      <c r="C6" s="338"/>
      <c r="D6" s="338"/>
      <c r="E6" s="338"/>
    </row>
    <row r="7" spans="2:7" ht="14.25">
      <c r="B7" s="165"/>
      <c r="C7" s="165"/>
      <c r="D7" s="165"/>
      <c r="E7" s="165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7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2775927.2</v>
      </c>
      <c r="E11" s="9">
        <f>E12</f>
        <v>2657924.13</v>
      </c>
    </row>
    <row r="12" spans="2:7">
      <c r="B12" s="137" t="s">
        <v>4</v>
      </c>
      <c r="C12" s="6" t="s">
        <v>5</v>
      </c>
      <c r="D12" s="90">
        <v>2775927.2</v>
      </c>
      <c r="E12" s="101">
        <v>2657924.13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2775927.2</v>
      </c>
      <c r="E21" s="181">
        <f>E11</f>
        <v>2657924.13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7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2699220.87</v>
      </c>
      <c r="E26" s="123">
        <v>2775927.2</v>
      </c>
      <c r="G26" s="84"/>
    </row>
    <row r="27" spans="2:10">
      <c r="B27" s="10" t="s">
        <v>17</v>
      </c>
      <c r="C27" s="11" t="s">
        <v>228</v>
      </c>
      <c r="D27" s="182">
        <v>95014.82</v>
      </c>
      <c r="E27" s="180">
        <f>E28-E32</f>
        <v>-74651.949999999953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1831578.83</v>
      </c>
      <c r="E28" s="81">
        <f>SUM(E29:E31)</f>
        <v>383057.95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1528645.99</v>
      </c>
      <c r="E29" s="105">
        <v>338033.82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302932.84000000003</v>
      </c>
      <c r="E31" s="105">
        <v>45024.13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1736564.01</v>
      </c>
      <c r="E32" s="81">
        <f>SUM(E33:E39)</f>
        <v>457709.89999999997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46847.06</v>
      </c>
      <c r="E33" s="105">
        <v>311185.61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1161.06</v>
      </c>
      <c r="E35" s="105">
        <v>1900.92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56759.49</v>
      </c>
      <c r="E37" s="105">
        <v>53090.43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1631796.4</v>
      </c>
      <c r="E39" s="184">
        <v>91532.94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-18308.490000000002</v>
      </c>
      <c r="E40" s="128">
        <v>-43351.12</v>
      </c>
      <c r="G40" s="84"/>
    </row>
    <row r="41" spans="2:10" ht="13.5" thickBot="1">
      <c r="B41" s="129" t="s">
        <v>37</v>
      </c>
      <c r="C41" s="130" t="s">
        <v>38</v>
      </c>
      <c r="D41" s="131">
        <v>2775927.1999999997</v>
      </c>
      <c r="E41" s="181">
        <f>E26+E27+E40</f>
        <v>2657924.13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7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9637.3209999999999</v>
      </c>
      <c r="E47" s="185">
        <v>9983.1949999999997</v>
      </c>
      <c r="G47" s="79"/>
    </row>
    <row r="48" spans="2:10">
      <c r="B48" s="154" t="s">
        <v>6</v>
      </c>
      <c r="C48" s="23" t="s">
        <v>41</v>
      </c>
      <c r="D48" s="264">
        <v>9983.1949999999997</v>
      </c>
      <c r="E48" s="185">
        <v>9696.9140000000007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280.08</v>
      </c>
      <c r="E50" s="185">
        <v>278.06</v>
      </c>
    </row>
    <row r="51" spans="2:5">
      <c r="B51" s="133" t="s">
        <v>6</v>
      </c>
      <c r="C51" s="16" t="s">
        <v>231</v>
      </c>
      <c r="D51" s="267">
        <v>272.41000000000003</v>
      </c>
      <c r="E51" s="85">
        <v>272.52</v>
      </c>
    </row>
    <row r="52" spans="2:5">
      <c r="B52" s="133" t="s">
        <v>8</v>
      </c>
      <c r="C52" s="16" t="s">
        <v>232</v>
      </c>
      <c r="D52" s="267">
        <v>286.26</v>
      </c>
      <c r="E52" s="85">
        <v>283.82</v>
      </c>
    </row>
    <row r="53" spans="2:5" ht="14.25" customHeight="1" thickBot="1">
      <c r="B53" s="134" t="s">
        <v>9</v>
      </c>
      <c r="C53" s="18" t="s">
        <v>41</v>
      </c>
      <c r="D53" s="268">
        <v>278.06</v>
      </c>
      <c r="E53" s="187">
        <v>274.10000000000002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2657924.13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2657924.13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2657924.13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2657924.13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128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1226011.1200000001</v>
      </c>
      <c r="E11" s="9">
        <f>E12</f>
        <v>2109098.0699999998</v>
      </c>
    </row>
    <row r="12" spans="2:7">
      <c r="B12" s="137" t="s">
        <v>4</v>
      </c>
      <c r="C12" s="6" t="s">
        <v>5</v>
      </c>
      <c r="D12" s="90">
        <v>1226011.1200000001</v>
      </c>
      <c r="E12" s="101">
        <v>2109098.0699999998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31.8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31.8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1226011.1200000001</v>
      </c>
      <c r="E21" s="181">
        <f>E11-E17</f>
        <v>2109066.27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709069.1</v>
      </c>
      <c r="E26" s="123">
        <v>1226011.1200000001</v>
      </c>
      <c r="G26" s="84"/>
    </row>
    <row r="27" spans="2:10">
      <c r="B27" s="10" t="s">
        <v>17</v>
      </c>
      <c r="C27" s="11" t="s">
        <v>228</v>
      </c>
      <c r="D27" s="182">
        <v>502371.37</v>
      </c>
      <c r="E27" s="180">
        <f>E28-E32</f>
        <v>864227.58000000007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795586.26</v>
      </c>
      <c r="E28" s="81">
        <f>SUM(E29:E31)</f>
        <v>1626715.53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546089.91</v>
      </c>
      <c r="E29" s="105">
        <v>117482.42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249496.35</v>
      </c>
      <c r="E31" s="105">
        <v>1509233.11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293214.89</v>
      </c>
      <c r="E32" s="81">
        <f>SUM(E33:E39)</f>
        <v>762487.95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53467.77</v>
      </c>
      <c r="E33" s="105">
        <v>194669.6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1396.54</v>
      </c>
      <c r="E35" s="105">
        <v>3841.59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18655.57</v>
      </c>
      <c r="E37" s="105">
        <v>30862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219695.01</v>
      </c>
      <c r="E39" s="184">
        <v>533114.76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14570.65</v>
      </c>
      <c r="E40" s="128">
        <v>18827.57</v>
      </c>
      <c r="G40" s="84"/>
    </row>
    <row r="41" spans="2:10" ht="13.5" thickBot="1">
      <c r="B41" s="129" t="s">
        <v>37</v>
      </c>
      <c r="C41" s="130" t="s">
        <v>38</v>
      </c>
      <c r="D41" s="131">
        <v>1226011.1199999999</v>
      </c>
      <c r="E41" s="181">
        <f>E26+E27+E40</f>
        <v>2109066.27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2747.2649999999999</v>
      </c>
      <c r="E47" s="185">
        <v>4678.8959999999997</v>
      </c>
      <c r="G47" s="79"/>
    </row>
    <row r="48" spans="2:10">
      <c r="B48" s="154" t="s">
        <v>6</v>
      </c>
      <c r="C48" s="23" t="s">
        <v>41</v>
      </c>
      <c r="D48" s="264">
        <v>4678.8959999999997</v>
      </c>
      <c r="E48" s="185">
        <v>7959.0410000000002</v>
      </c>
      <c r="G48" s="200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258.10000000000002</v>
      </c>
      <c r="E50" s="185">
        <v>262.02999999999997</v>
      </c>
    </row>
    <row r="51" spans="2:5">
      <c r="B51" s="133" t="s">
        <v>6</v>
      </c>
      <c r="C51" s="16" t="s">
        <v>231</v>
      </c>
      <c r="D51" s="267">
        <v>258.18</v>
      </c>
      <c r="E51" s="185">
        <v>262.03000000000003</v>
      </c>
    </row>
    <row r="52" spans="2:5">
      <c r="B52" s="133" t="s">
        <v>8</v>
      </c>
      <c r="C52" s="16" t="s">
        <v>232</v>
      </c>
      <c r="D52" s="267">
        <v>262.02999999999997</v>
      </c>
      <c r="E52" s="85">
        <v>264.99</v>
      </c>
    </row>
    <row r="53" spans="2:5" ht="13.5" customHeight="1" thickBot="1">
      <c r="B53" s="134" t="s">
        <v>9</v>
      </c>
      <c r="C53" s="18" t="s">
        <v>41</v>
      </c>
      <c r="D53" s="268">
        <v>262.02999999999997</v>
      </c>
      <c r="E53" s="187">
        <v>264.99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2109098.0699999998</v>
      </c>
      <c r="E58" s="33">
        <f>D58/E21</f>
        <v>1.0000150777623502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2109098.0699999998</v>
      </c>
      <c r="E64" s="97">
        <f>E58</f>
        <v>1.0000150777623502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31.8</v>
      </c>
      <c r="E73" s="27">
        <f>D73/E21</f>
        <v>1.5077762350255594E-5</v>
      </c>
    </row>
    <row r="74" spans="2:5">
      <c r="B74" s="162" t="s">
        <v>64</v>
      </c>
      <c r="C74" s="152" t="s">
        <v>66</v>
      </c>
      <c r="D74" s="153">
        <f>D58-D73</f>
        <v>2109066.27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2109066.27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129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231061.05</v>
      </c>
      <c r="E11" s="9">
        <f>E12</f>
        <v>221682.71</v>
      </c>
    </row>
    <row r="12" spans="2:7">
      <c r="B12" s="137" t="s">
        <v>4</v>
      </c>
      <c r="C12" s="6" t="s">
        <v>5</v>
      </c>
      <c r="D12" s="90">
        <v>231061.05</v>
      </c>
      <c r="E12" s="101">
        <v>221682.71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231061.05</v>
      </c>
      <c r="E21" s="181">
        <f>E11</f>
        <v>221682.71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195445.45</v>
      </c>
      <c r="E26" s="123">
        <v>231061.05</v>
      </c>
      <c r="G26" s="84"/>
    </row>
    <row r="27" spans="2:10">
      <c r="B27" s="10" t="s">
        <v>17</v>
      </c>
      <c r="C27" s="11" t="s">
        <v>228</v>
      </c>
      <c r="D27" s="182">
        <v>63385.08</v>
      </c>
      <c r="E27" s="180">
        <f>E28-E32</f>
        <v>-4275.1200000000026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95076.42</v>
      </c>
      <c r="E28" s="81">
        <f>SUM(E29:E31)</f>
        <v>27775.1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94690.99</v>
      </c>
      <c r="E29" s="105">
        <v>8213.25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385.43</v>
      </c>
      <c r="E31" s="105">
        <v>19561.849999999999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31691.34</v>
      </c>
      <c r="E32" s="81">
        <f>SUM(E33:E39)</f>
        <v>32050.22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12106.76</v>
      </c>
      <c r="E33" s="105">
        <v>2341.4499999999998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397.83</v>
      </c>
      <c r="E35" s="105">
        <v>679.25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3869.07</v>
      </c>
      <c r="E37" s="105">
        <v>4100.79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15317.68</v>
      </c>
      <c r="E39" s="184">
        <v>24928.73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-27769.48</v>
      </c>
      <c r="E40" s="128">
        <v>-5103.22</v>
      </c>
      <c r="G40" s="84"/>
    </row>
    <row r="41" spans="2:10" ht="13.5" thickBot="1">
      <c r="B41" s="129" t="s">
        <v>37</v>
      </c>
      <c r="C41" s="130" t="s">
        <v>38</v>
      </c>
      <c r="D41" s="131">
        <v>231061.05000000002</v>
      </c>
      <c r="E41" s="181">
        <f>E26+E27+E40</f>
        <v>221682.71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799.46600000000001</v>
      </c>
      <c r="E47" s="185">
        <v>1070.173</v>
      </c>
      <c r="G47" s="79"/>
    </row>
    <row r="48" spans="2:10">
      <c r="B48" s="154" t="s">
        <v>6</v>
      </c>
      <c r="C48" s="23" t="s">
        <v>41</v>
      </c>
      <c r="D48" s="264">
        <v>1070.173</v>
      </c>
      <c r="E48" s="185">
        <v>1049.038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244.47</v>
      </c>
      <c r="E50" s="185">
        <v>215.91</v>
      </c>
    </row>
    <row r="51" spans="2:5">
      <c r="B51" s="133" t="s">
        <v>6</v>
      </c>
      <c r="C51" s="16" t="s">
        <v>231</v>
      </c>
      <c r="D51" s="267">
        <v>212.66</v>
      </c>
      <c r="E51" s="85">
        <v>208.6</v>
      </c>
    </row>
    <row r="52" spans="2:5">
      <c r="B52" s="133" t="s">
        <v>8</v>
      </c>
      <c r="C52" s="16" t="s">
        <v>232</v>
      </c>
      <c r="D52" s="267">
        <v>259.06</v>
      </c>
      <c r="E52" s="85">
        <v>230.86</v>
      </c>
    </row>
    <row r="53" spans="2:5" ht="13.5" thickBot="1">
      <c r="B53" s="134" t="s">
        <v>9</v>
      </c>
      <c r="C53" s="18" t="s">
        <v>41</v>
      </c>
      <c r="D53" s="268">
        <v>215.91</v>
      </c>
      <c r="E53" s="187">
        <v>211.32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221682.71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24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221682.71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221682.71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221682.71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77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</f>
        <v>27589233.719999999</v>
      </c>
      <c r="E11" s="9">
        <f>E12</f>
        <v>29956217.23</v>
      </c>
    </row>
    <row r="12" spans="2:7">
      <c r="B12" s="272" t="s">
        <v>4</v>
      </c>
      <c r="C12" s="273" t="s">
        <v>5</v>
      </c>
      <c r="D12" s="90">
        <v>27589233.719999999</v>
      </c>
      <c r="E12" s="300">
        <v>29956217.23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27589233.719999999</v>
      </c>
      <c r="E21" s="181">
        <f>E11</f>
        <v>29956217.23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26905724.010000002</v>
      </c>
      <c r="E26" s="123">
        <v>27589233.719999999</v>
      </c>
      <c r="G26" s="84"/>
    </row>
    <row r="27" spans="2:10">
      <c r="B27" s="10" t="s">
        <v>17</v>
      </c>
      <c r="C27" s="11" t="s">
        <v>228</v>
      </c>
      <c r="D27" s="182">
        <v>2056804.57</v>
      </c>
      <c r="E27" s="180">
        <f>E28-E32</f>
        <v>-1375714.9499999997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4393018.88</v>
      </c>
      <c r="E28" s="81">
        <f>SUM(E29:E31)</f>
        <v>3862178.65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4393018.88</v>
      </c>
      <c r="E29" s="105">
        <v>3862178.65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2336214.31</v>
      </c>
      <c r="E32" s="81">
        <f>SUM(E33:E39)</f>
        <v>5237893.5999999996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2336214.31</v>
      </c>
      <c r="E33" s="105">
        <v>5237893.5999999996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-1373294.8599999999</v>
      </c>
      <c r="E40" s="128">
        <v>3742698.46</v>
      </c>
      <c r="G40" s="84"/>
    </row>
    <row r="41" spans="2:10" ht="13.5" thickBot="1">
      <c r="B41" s="129" t="s">
        <v>37</v>
      </c>
      <c r="C41" s="130" t="s">
        <v>38</v>
      </c>
      <c r="D41" s="131">
        <v>27589233.720000003</v>
      </c>
      <c r="E41" s="181">
        <f>E26+E27+E40</f>
        <v>29956217.23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1663136.5404000001</v>
      </c>
      <c r="E47" s="185">
        <v>1788802.2483000001</v>
      </c>
      <c r="G47" s="79"/>
    </row>
    <row r="48" spans="2:10">
      <c r="B48" s="154" t="s">
        <v>6</v>
      </c>
      <c r="C48" s="23" t="s">
        <v>41</v>
      </c>
      <c r="D48" s="264">
        <v>1788802.2483000001</v>
      </c>
      <c r="E48" s="185">
        <v>1707714.6018000001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16.161999999999999</v>
      </c>
      <c r="E50" s="185">
        <v>15.423299999999999</v>
      </c>
    </row>
    <row r="51" spans="2:5">
      <c r="B51" s="133" t="s">
        <v>6</v>
      </c>
      <c r="C51" s="16" t="s">
        <v>231</v>
      </c>
      <c r="D51" s="267">
        <v>14.7774</v>
      </c>
      <c r="E51" s="85">
        <v>15.141200000000001</v>
      </c>
    </row>
    <row r="52" spans="2:5">
      <c r="B52" s="133" t="s">
        <v>8</v>
      </c>
      <c r="C52" s="16" t="s">
        <v>232</v>
      </c>
      <c r="D52" s="267">
        <v>20.075500000000002</v>
      </c>
      <c r="E52" s="85">
        <v>20.031099999999999</v>
      </c>
    </row>
    <row r="53" spans="2:5" ht="13.5" customHeight="1" thickBot="1">
      <c r="B53" s="134" t="s">
        <v>9</v>
      </c>
      <c r="C53" s="18" t="s">
        <v>41</v>
      </c>
      <c r="D53" s="268">
        <v>15.423299999999999</v>
      </c>
      <c r="E53" s="187">
        <v>17.541699999999999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29956217.23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29956217.23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29956217.23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29956217.23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H46" sqref="H4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78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</f>
        <v>40134178.359999999</v>
      </c>
      <c r="E11" s="9">
        <f>E12</f>
        <v>43546174.25</v>
      </c>
    </row>
    <row r="12" spans="2:7">
      <c r="B12" s="272" t="s">
        <v>4</v>
      </c>
      <c r="C12" s="273" t="s">
        <v>5</v>
      </c>
      <c r="D12" s="90">
        <v>40134178.359999999</v>
      </c>
      <c r="E12" s="101">
        <v>43546174.25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32608.9</v>
      </c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>
        <v>32608.9</v>
      </c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40134178.359999999</v>
      </c>
      <c r="E21" s="181">
        <f>E11-E17</f>
        <v>43513565.350000001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35492816.789999999</v>
      </c>
      <c r="E26" s="123">
        <v>40134178.359999999</v>
      </c>
      <c r="G26" s="84"/>
    </row>
    <row r="27" spans="2:10">
      <c r="B27" s="10" t="s">
        <v>17</v>
      </c>
      <c r="C27" s="11" t="s">
        <v>228</v>
      </c>
      <c r="D27" s="182">
        <v>3443405.2</v>
      </c>
      <c r="E27" s="180">
        <f>E28-E32</f>
        <v>-642011.22999999952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5628260.2999999998</v>
      </c>
      <c r="E28" s="81">
        <f>SUM(E29:E31)</f>
        <v>5125609.37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5628260.2999999998</v>
      </c>
      <c r="E29" s="105">
        <v>5125609.37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2184855.1</v>
      </c>
      <c r="E32" s="81">
        <f>SUM(E33:E39)</f>
        <v>5767620.5999999996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2184855.1</v>
      </c>
      <c r="E33" s="105">
        <v>5767620.5999999996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1197956.3700000001</v>
      </c>
      <c r="E40" s="128">
        <v>4021398.22</v>
      </c>
      <c r="G40" s="84"/>
    </row>
    <row r="41" spans="2:10" ht="13.5" thickBot="1">
      <c r="B41" s="129" t="s">
        <v>37</v>
      </c>
      <c r="C41" s="130" t="s">
        <v>38</v>
      </c>
      <c r="D41" s="131">
        <v>40134178.359999999</v>
      </c>
      <c r="E41" s="181">
        <f>E26+E27+E40</f>
        <v>43513565.350000001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872295.1361</v>
      </c>
      <c r="E47" s="185">
        <v>951858.89280000003</v>
      </c>
      <c r="G47" s="79"/>
    </row>
    <row r="48" spans="2:10">
      <c r="B48" s="154" t="s">
        <v>6</v>
      </c>
      <c r="C48" s="23" t="s">
        <v>41</v>
      </c>
      <c r="D48" s="264">
        <v>951858.89280000003</v>
      </c>
      <c r="E48" s="185">
        <v>937434.75760000001</v>
      </c>
      <c r="G48" s="313"/>
    </row>
    <row r="49" spans="2:7">
      <c r="B49" s="151" t="s">
        <v>23</v>
      </c>
      <c r="C49" s="155" t="s">
        <v>230</v>
      </c>
      <c r="D49" s="266"/>
      <c r="E49" s="185"/>
      <c r="G49" s="313"/>
    </row>
    <row r="50" spans="2:7">
      <c r="B50" s="133" t="s">
        <v>4</v>
      </c>
      <c r="C50" s="16" t="s">
        <v>40</v>
      </c>
      <c r="D50" s="263">
        <v>40.647399999999998</v>
      </c>
      <c r="E50" s="185">
        <v>42.164000000000001</v>
      </c>
    </row>
    <row r="51" spans="2:7">
      <c r="B51" s="133" t="s">
        <v>6</v>
      </c>
      <c r="C51" s="16" t="s">
        <v>231</v>
      </c>
      <c r="D51" s="267">
        <v>40.290799999999997</v>
      </c>
      <c r="E51" s="85">
        <v>42.1496</v>
      </c>
    </row>
    <row r="52" spans="2:7">
      <c r="B52" s="133" t="s">
        <v>8</v>
      </c>
      <c r="C52" s="16" t="s">
        <v>232</v>
      </c>
      <c r="D52" s="267">
        <v>47.176299999999998</v>
      </c>
      <c r="E52" s="85">
        <v>48.196899999999999</v>
      </c>
    </row>
    <row r="53" spans="2:7" ht="12.75" customHeight="1" thickBot="1">
      <c r="B53" s="134" t="s">
        <v>9</v>
      </c>
      <c r="C53" s="18" t="s">
        <v>41</v>
      </c>
      <c r="D53" s="268">
        <v>42.164000000000001</v>
      </c>
      <c r="E53" s="187">
        <v>46.417700000000004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6.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D64</f>
        <v>43546174.25</v>
      </c>
      <c r="E58" s="33">
        <f>D58/E21</f>
        <v>1.0007493961880096</v>
      </c>
    </row>
    <row r="59" spans="2:7" ht="25.5">
      <c r="B59" s="154" t="s">
        <v>4</v>
      </c>
      <c r="C59" s="23" t="s">
        <v>44</v>
      </c>
      <c r="D59" s="96">
        <v>0</v>
      </c>
      <c r="E59" s="97">
        <v>0</v>
      </c>
    </row>
    <row r="60" spans="2:7" ht="25.5">
      <c r="B60" s="133" t="s">
        <v>6</v>
      </c>
      <c r="C60" s="16" t="s">
        <v>45</v>
      </c>
      <c r="D60" s="94">
        <v>0</v>
      </c>
      <c r="E60" s="95">
        <v>0</v>
      </c>
    </row>
    <row r="61" spans="2:7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7">
      <c r="B62" s="133" t="s">
        <v>9</v>
      </c>
      <c r="C62" s="16" t="s">
        <v>47</v>
      </c>
      <c r="D62" s="94">
        <v>0</v>
      </c>
      <c r="E62" s="95">
        <v>0</v>
      </c>
    </row>
    <row r="63" spans="2:7">
      <c r="B63" s="133" t="s">
        <v>29</v>
      </c>
      <c r="C63" s="16" t="s">
        <v>48</v>
      </c>
      <c r="D63" s="94">
        <v>0</v>
      </c>
      <c r="E63" s="95">
        <v>0</v>
      </c>
    </row>
    <row r="64" spans="2:7">
      <c r="B64" s="154" t="s">
        <v>31</v>
      </c>
      <c r="C64" s="23" t="s">
        <v>49</v>
      </c>
      <c r="D64" s="96">
        <f>E12</f>
        <v>43546174.25</v>
      </c>
      <c r="E64" s="97">
        <f>E58</f>
        <v>1.0007493961880096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32608.9</v>
      </c>
      <c r="E73" s="27">
        <f>D73/E21</f>
        <v>7.4939618800967775E-4</v>
      </c>
    </row>
    <row r="74" spans="2:5">
      <c r="B74" s="162" t="s">
        <v>64</v>
      </c>
      <c r="C74" s="152" t="s">
        <v>66</v>
      </c>
      <c r="D74" s="153">
        <f>D58-D73</f>
        <v>43513565.350000001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43513565.350000001</v>
      </c>
      <c r="E76" s="95">
        <f>E74</f>
        <v>0.99999999999999989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I60" sqref="I60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79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</f>
        <v>35414157.43</v>
      </c>
      <c r="E11" s="9">
        <f>E12</f>
        <v>39249421.530000001</v>
      </c>
    </row>
    <row r="12" spans="2:7">
      <c r="B12" s="272" t="s">
        <v>4</v>
      </c>
      <c r="C12" s="273" t="s">
        <v>5</v>
      </c>
      <c r="D12" s="90">
        <v>35414157.43</v>
      </c>
      <c r="E12" s="101">
        <v>39249421.530000001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33436.19</v>
      </c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>
        <v>33436.19</v>
      </c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35414157.43</v>
      </c>
      <c r="E21" s="181">
        <f>E11-E17</f>
        <v>39215985.340000004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31357605.699999999</v>
      </c>
      <c r="E26" s="123">
        <v>35414157.43</v>
      </c>
      <c r="G26" s="84"/>
    </row>
    <row r="27" spans="2:10">
      <c r="B27" s="10" t="s">
        <v>17</v>
      </c>
      <c r="C27" s="11" t="s">
        <v>228</v>
      </c>
      <c r="D27" s="182">
        <v>2788836.05</v>
      </c>
      <c r="E27" s="180">
        <f>E28-E32</f>
        <v>-60238.990000000224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4841434.6399999997</v>
      </c>
      <c r="E28" s="81">
        <f>SUM(E29:E31)</f>
        <v>4434107.22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4841434.6399999997</v>
      </c>
      <c r="E29" s="105">
        <v>4434107.22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2052598.59</v>
      </c>
      <c r="E32" s="81">
        <f>SUM(E33:E39)</f>
        <v>4494346.21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2052598.59</v>
      </c>
      <c r="E33" s="105">
        <v>4494346.21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1267715.6800000002</v>
      </c>
      <c r="E40" s="128">
        <v>3862066.9</v>
      </c>
      <c r="G40" s="84"/>
    </row>
    <row r="41" spans="2:10" ht="13.5" thickBot="1">
      <c r="B41" s="129" t="s">
        <v>37</v>
      </c>
      <c r="C41" s="130" t="s">
        <v>38</v>
      </c>
      <c r="D41" s="131">
        <v>35414157.43</v>
      </c>
      <c r="E41" s="181">
        <f>E26+E27+E40</f>
        <v>39215985.339999996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752963.23499999999</v>
      </c>
      <c r="E47" s="185">
        <v>815196.11970000004</v>
      </c>
      <c r="G47" s="311"/>
    </row>
    <row r="48" spans="2:10">
      <c r="B48" s="154" t="s">
        <v>6</v>
      </c>
      <c r="C48" s="23" t="s">
        <v>41</v>
      </c>
      <c r="D48" s="264">
        <v>815196.11970000004</v>
      </c>
      <c r="E48" s="185">
        <v>813398.71070000005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41.603900000000003</v>
      </c>
      <c r="E50" s="185">
        <v>43.442500000000003</v>
      </c>
    </row>
    <row r="51" spans="2:5">
      <c r="B51" s="133" t="s">
        <v>6</v>
      </c>
      <c r="C51" s="16" t="s">
        <v>231</v>
      </c>
      <c r="D51" s="267">
        <v>41.342599999999997</v>
      </c>
      <c r="E51" s="85">
        <v>43.399000000000001</v>
      </c>
    </row>
    <row r="52" spans="2:5">
      <c r="B52" s="133" t="s">
        <v>8</v>
      </c>
      <c r="C52" s="16" t="s">
        <v>232</v>
      </c>
      <c r="D52" s="267">
        <v>48.818100000000001</v>
      </c>
      <c r="E52" s="85">
        <v>49.981400000000001</v>
      </c>
    </row>
    <row r="53" spans="2:5" ht="13.5" customHeight="1" thickBot="1">
      <c r="B53" s="134" t="s">
        <v>9</v>
      </c>
      <c r="C53" s="18" t="s">
        <v>41</v>
      </c>
      <c r="D53" s="268">
        <v>43.442500000000003</v>
      </c>
      <c r="E53" s="187">
        <v>48.212499999999999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39249421.530000001</v>
      </c>
      <c r="E58" s="33">
        <f>D58/E21</f>
        <v>1.0008526163428029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39249421.530000001</v>
      </c>
      <c r="E64" s="97">
        <f>E58</f>
        <v>1.0008526163428029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33436.19</v>
      </c>
      <c r="E73" s="27">
        <f>D73/E21</f>
        <v>8.5261634280282502E-4</v>
      </c>
    </row>
    <row r="74" spans="2:5">
      <c r="B74" s="162" t="s">
        <v>64</v>
      </c>
      <c r="C74" s="152" t="s">
        <v>66</v>
      </c>
      <c r="D74" s="153">
        <f>D58-D73</f>
        <v>39215985.340000004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39215985.340000004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H37" sqref="H37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80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</f>
        <v>31637157.859999999</v>
      </c>
      <c r="E11" s="9">
        <f>E12</f>
        <v>34166961.960000001</v>
      </c>
    </row>
    <row r="12" spans="2:7">
      <c r="B12" s="137" t="s">
        <v>4</v>
      </c>
      <c r="C12" s="6" t="s">
        <v>5</v>
      </c>
      <c r="D12" s="90">
        <v>31637157.859999999</v>
      </c>
      <c r="E12" s="101">
        <v>34166961.960000001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157976.24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157976.24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31637157.859999999</v>
      </c>
      <c r="E21" s="181">
        <f>E11-E17</f>
        <v>34008985.719999999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27775193.23</v>
      </c>
      <c r="E26" s="123">
        <f>D21</f>
        <v>31637157.859999999</v>
      </c>
      <c r="G26" s="84"/>
    </row>
    <row r="27" spans="2:10">
      <c r="B27" s="10" t="s">
        <v>17</v>
      </c>
      <c r="C27" s="11" t="s">
        <v>228</v>
      </c>
      <c r="D27" s="182">
        <v>2796404.0410000002</v>
      </c>
      <c r="E27" s="180">
        <f>E28-E32</f>
        <v>-887042.56000000006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4325730.17</v>
      </c>
      <c r="E28" s="81">
        <f>SUM(E29:E31)</f>
        <v>3979194.15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4325730.17</v>
      </c>
      <c r="E29" s="105">
        <v>3979194.15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1529326.13</v>
      </c>
      <c r="E32" s="81">
        <f>SUM(E33:E39)</f>
        <v>4866236.71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1529326.13</v>
      </c>
      <c r="E33" s="105">
        <v>4866236.71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1065560.5900000001</v>
      </c>
      <c r="E40" s="128">
        <v>3258870.42</v>
      </c>
      <c r="G40" s="84"/>
    </row>
    <row r="41" spans="2:10" ht="13.5" thickBot="1">
      <c r="B41" s="129" t="s">
        <v>37</v>
      </c>
      <c r="C41" s="130" t="s">
        <v>38</v>
      </c>
      <c r="D41" s="131">
        <v>31637157.861000001</v>
      </c>
      <c r="E41" s="181">
        <f>E26+E27+E40</f>
        <v>34008985.719999999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660985.20570000005</v>
      </c>
      <c r="E47" s="185">
        <v>722989.61270000006</v>
      </c>
      <c r="G47" s="311"/>
    </row>
    <row r="48" spans="2:10">
      <c r="B48" s="154" t="s">
        <v>6</v>
      </c>
      <c r="C48" s="23" t="s">
        <v>41</v>
      </c>
      <c r="D48" s="264">
        <v>722989.61270000006</v>
      </c>
      <c r="E48" s="185">
        <v>704661.04854999995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41.978700000000003</v>
      </c>
      <c r="E50" s="185">
        <v>43.758800000000001</v>
      </c>
    </row>
    <row r="51" spans="2:5">
      <c r="B51" s="133" t="s">
        <v>6</v>
      </c>
      <c r="C51" s="16" t="s">
        <v>231</v>
      </c>
      <c r="D51" s="267">
        <v>41.646799999999999</v>
      </c>
      <c r="E51" s="185">
        <v>43.700099999999999</v>
      </c>
    </row>
    <row r="52" spans="2:5">
      <c r="B52" s="133" t="s">
        <v>8</v>
      </c>
      <c r="C52" s="16" t="s">
        <v>232</v>
      </c>
      <c r="D52" s="267">
        <v>49.1952</v>
      </c>
      <c r="E52" s="85">
        <v>50.312100000000001</v>
      </c>
    </row>
    <row r="53" spans="2:5" ht="13.5" customHeight="1" thickBot="1">
      <c r="B53" s="134" t="s">
        <v>9</v>
      </c>
      <c r="C53" s="18" t="s">
        <v>41</v>
      </c>
      <c r="D53" s="268">
        <v>43.758800000000001</v>
      </c>
      <c r="E53" s="187">
        <v>48.262900000000002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34166961.960000001</v>
      </c>
      <c r="E58" s="33">
        <f>D58/E21</f>
        <v>1.0046451323570964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34166961.960000001</v>
      </c>
      <c r="E64" s="97">
        <f>E58</f>
        <v>1.0046451323570964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157976.24</v>
      </c>
      <c r="E73" s="27">
        <f>D73/E21</f>
        <v>4.6451323570963583E-3</v>
      </c>
    </row>
    <row r="74" spans="2:5">
      <c r="B74" s="162" t="s">
        <v>64</v>
      </c>
      <c r="C74" s="152" t="s">
        <v>66</v>
      </c>
      <c r="D74" s="153">
        <f>D58-D73</f>
        <v>34008985.719999999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34008985.719999999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38" sqref="G3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81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</f>
        <v>23647586.289999999</v>
      </c>
      <c r="E11" s="9">
        <f>E12</f>
        <v>26714345.370000001</v>
      </c>
    </row>
    <row r="12" spans="2:7">
      <c r="B12" s="272" t="s">
        <v>4</v>
      </c>
      <c r="C12" s="273" t="s">
        <v>5</v>
      </c>
      <c r="D12" s="90">
        <v>23647586.289999999</v>
      </c>
      <c r="E12" s="101">
        <v>26714345.370000001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10054.450000000001</v>
      </c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>
        <v>10054.450000000001</v>
      </c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23647586.289999999</v>
      </c>
      <c r="E21" s="181">
        <f>E11-E17</f>
        <v>26704290.920000002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22704343.640000001</v>
      </c>
      <c r="E26" s="123">
        <v>23647586.289999999</v>
      </c>
      <c r="G26" s="84"/>
    </row>
    <row r="27" spans="2:10">
      <c r="B27" s="10" t="s">
        <v>17</v>
      </c>
      <c r="C27" s="11" t="s">
        <v>228</v>
      </c>
      <c r="D27" s="182">
        <v>2411131.9700000002</v>
      </c>
      <c r="E27" s="180">
        <f>E28-E32</f>
        <v>-277051.45999999996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3690408.43</v>
      </c>
      <c r="E28" s="81">
        <f>SUM(E29:E31)</f>
        <v>3372806.7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3690408.43</v>
      </c>
      <c r="E29" s="105">
        <v>3372806.7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1279276.46</v>
      </c>
      <c r="E32" s="81">
        <f>SUM(E33:E39)</f>
        <v>3649858.16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1279276.46</v>
      </c>
      <c r="E33" s="105">
        <v>3649858.16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-1467889.3199999998</v>
      </c>
      <c r="E40" s="128">
        <v>3333756.09</v>
      </c>
      <c r="G40" s="84"/>
    </row>
    <row r="41" spans="2:10" ht="13.5" thickBot="1">
      <c r="B41" s="129" t="s">
        <v>37</v>
      </c>
      <c r="C41" s="130" t="s">
        <v>38</v>
      </c>
      <c r="D41" s="131">
        <v>23647586.289999999</v>
      </c>
      <c r="E41" s="104">
        <f>E26+E27+E40</f>
        <v>26704290.919999998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1256431.4016</v>
      </c>
      <c r="E47" s="185">
        <v>1385062.4245</v>
      </c>
      <c r="G47" s="79"/>
    </row>
    <row r="48" spans="2:10">
      <c r="B48" s="154" t="s">
        <v>6</v>
      </c>
      <c r="C48" s="23" t="s">
        <v>41</v>
      </c>
      <c r="D48" s="264">
        <v>1385062.4245</v>
      </c>
      <c r="E48" s="185">
        <v>1370680.9146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18.042100000000001</v>
      </c>
      <c r="E50" s="185">
        <v>17.0733</v>
      </c>
    </row>
    <row r="51" spans="2:5">
      <c r="B51" s="133" t="s">
        <v>6</v>
      </c>
      <c r="C51" s="16" t="s">
        <v>231</v>
      </c>
      <c r="D51" s="267">
        <v>16.397500000000001</v>
      </c>
      <c r="E51" s="185">
        <v>16.745699999999999</v>
      </c>
    </row>
    <row r="52" spans="2:5">
      <c r="B52" s="133" t="s">
        <v>8</v>
      </c>
      <c r="C52" s="16" t="s">
        <v>232</v>
      </c>
      <c r="D52" s="267">
        <v>22.585599999999999</v>
      </c>
      <c r="E52" s="85">
        <v>22.456399999999999</v>
      </c>
    </row>
    <row r="53" spans="2:5" ht="12.75" customHeight="1" thickBot="1">
      <c r="B53" s="134" t="s">
        <v>9</v>
      </c>
      <c r="C53" s="18" t="s">
        <v>41</v>
      </c>
      <c r="D53" s="268">
        <v>17.0733</v>
      </c>
      <c r="E53" s="187">
        <v>19.482500000000002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26714345.370000001</v>
      </c>
      <c r="E58" s="33">
        <f>D58/E21</f>
        <v>1.0003765106525435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26714345.370000001</v>
      </c>
      <c r="E64" s="97">
        <f>E58</f>
        <v>1.0003765106525435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10054.450000000001</v>
      </c>
      <c r="E73" s="27">
        <f>D73/E21</f>
        <v>3.7651065254347524E-4</v>
      </c>
    </row>
    <row r="74" spans="2:5">
      <c r="B74" s="162" t="s">
        <v>64</v>
      </c>
      <c r="C74" s="152" t="s">
        <v>66</v>
      </c>
      <c r="D74" s="153">
        <f>D58-D73</f>
        <v>26704290.920000002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26704290.920000002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38" sqref="G3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82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f>D12</f>
        <v>16957293.050000001</v>
      </c>
      <c r="E11" s="9">
        <f>E12</f>
        <v>19613477.460000001</v>
      </c>
    </row>
    <row r="12" spans="2:7">
      <c r="B12" s="137" t="s">
        <v>4</v>
      </c>
      <c r="C12" s="6" t="s">
        <v>5</v>
      </c>
      <c r="D12" s="90">
        <v>16957293.050000001</v>
      </c>
      <c r="E12" s="101">
        <v>19613477.460000001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9909.39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9909.39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16957293.050000001</v>
      </c>
      <c r="E21" s="181">
        <f>E11-E17</f>
        <v>19603568.07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16179619.23</v>
      </c>
      <c r="E26" s="123">
        <v>16957293.050000001</v>
      </c>
      <c r="G26" s="84"/>
    </row>
    <row r="27" spans="2:10">
      <c r="B27" s="10" t="s">
        <v>17</v>
      </c>
      <c r="C27" s="11" t="s">
        <v>228</v>
      </c>
      <c r="D27" s="182">
        <v>1688567.9</v>
      </c>
      <c r="E27" s="180">
        <f>E28-E32</f>
        <v>77754.14000000013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2757808.28</v>
      </c>
      <c r="E28" s="81">
        <f>SUM(E29:E31)</f>
        <v>2529247.83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2757808.28</v>
      </c>
      <c r="E29" s="105">
        <v>2529247.83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1069240.3799999999</v>
      </c>
      <c r="E32" s="81">
        <f>SUM(E33:E39)</f>
        <v>2451493.69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1069240.3799999999</v>
      </c>
      <c r="E33" s="105">
        <v>2451493.69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-910894.07999999996</v>
      </c>
      <c r="E40" s="128">
        <v>2568520.88</v>
      </c>
      <c r="G40" s="84"/>
    </row>
    <row r="41" spans="2:10" ht="13.5" thickBot="1">
      <c r="B41" s="129" t="s">
        <v>37</v>
      </c>
      <c r="C41" s="130" t="s">
        <v>38</v>
      </c>
      <c r="D41" s="131">
        <v>16957293.050000001</v>
      </c>
      <c r="E41" s="181">
        <f>E26+E27+E40</f>
        <v>19603568.07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981880.25580000004</v>
      </c>
      <c r="E47" s="185">
        <v>1077953.9155999999</v>
      </c>
      <c r="G47" s="311"/>
    </row>
    <row r="48" spans="2:10">
      <c r="B48" s="154" t="s">
        <v>6</v>
      </c>
      <c r="C48" s="23" t="s">
        <v>41</v>
      </c>
      <c r="D48" s="264">
        <v>1077953.9155999999</v>
      </c>
      <c r="E48" s="185">
        <v>1082633.4169099999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16.456299999999999</v>
      </c>
      <c r="E50" s="185">
        <v>15.731</v>
      </c>
    </row>
    <row r="51" spans="2:5">
      <c r="B51" s="133" t="s">
        <v>6</v>
      </c>
      <c r="C51" s="16" t="s">
        <v>231</v>
      </c>
      <c r="D51" s="267">
        <v>15.121600000000001</v>
      </c>
      <c r="E51" s="185">
        <v>15.432</v>
      </c>
    </row>
    <row r="52" spans="2:5">
      <c r="B52" s="133" t="s">
        <v>8</v>
      </c>
      <c r="C52" s="16" t="s">
        <v>232</v>
      </c>
      <c r="D52" s="267">
        <v>21.2651</v>
      </c>
      <c r="E52" s="85">
        <v>20.9084</v>
      </c>
    </row>
    <row r="53" spans="2:5" ht="13.5" customHeight="1" thickBot="1">
      <c r="B53" s="134" t="s">
        <v>9</v>
      </c>
      <c r="C53" s="18" t="s">
        <v>41</v>
      </c>
      <c r="D53" s="268">
        <v>15.731</v>
      </c>
      <c r="E53" s="187">
        <v>18.107299999999999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19613477.460000001</v>
      </c>
      <c r="E58" s="33">
        <f>D58/E21</f>
        <v>1.000505489100995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19613477.460000001</v>
      </c>
      <c r="E64" s="97">
        <f>E58</f>
        <v>1.000505489100995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9909.39</v>
      </c>
      <c r="E73" s="27">
        <f>D73/E21</f>
        <v>5.0548910099507203E-4</v>
      </c>
    </row>
    <row r="74" spans="2:5">
      <c r="B74" s="162" t="s">
        <v>64</v>
      </c>
      <c r="C74" s="152" t="s">
        <v>66</v>
      </c>
      <c r="D74" s="153">
        <f>D58-D73</f>
        <v>19603568.07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19603568.07</v>
      </c>
      <c r="E76" s="95">
        <f>E74</f>
        <v>0.99999999999999989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83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f>D12</f>
        <v>20420985.219999999</v>
      </c>
      <c r="E11" s="9">
        <f>E12</f>
        <v>23806378.309999999</v>
      </c>
    </row>
    <row r="12" spans="2:7">
      <c r="B12" s="272" t="s">
        <v>4</v>
      </c>
      <c r="C12" s="273" t="s">
        <v>5</v>
      </c>
      <c r="D12" s="90">
        <v>20420985.219999999</v>
      </c>
      <c r="E12" s="101">
        <v>23806378.309999999</v>
      </c>
    </row>
    <row r="13" spans="2:7">
      <c r="B13" s="272" t="s">
        <v>6</v>
      </c>
      <c r="C13" s="274" t="s">
        <v>7</v>
      </c>
      <c r="D13" s="90"/>
      <c r="E13" s="101"/>
    </row>
    <row r="14" spans="2:7">
      <c r="B14" s="272" t="s">
        <v>8</v>
      </c>
      <c r="C14" s="274" t="s">
        <v>10</v>
      </c>
      <c r="D14" s="90"/>
      <c r="E14" s="101"/>
      <c r="G14" s="71"/>
    </row>
    <row r="15" spans="2:7">
      <c r="B15" s="272" t="s">
        <v>223</v>
      </c>
      <c r="C15" s="274" t="s">
        <v>11</v>
      </c>
      <c r="D15" s="90"/>
      <c r="E15" s="101"/>
    </row>
    <row r="16" spans="2:7">
      <c r="B16" s="275" t="s">
        <v>224</v>
      </c>
      <c r="C16" s="276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272" t="s">
        <v>4</v>
      </c>
      <c r="C18" s="273" t="s">
        <v>11</v>
      </c>
      <c r="D18" s="90"/>
      <c r="E18" s="102"/>
    </row>
    <row r="19" spans="2:10" ht="13.5" customHeight="1">
      <c r="B19" s="272" t="s">
        <v>6</v>
      </c>
      <c r="C19" s="274" t="s">
        <v>225</v>
      </c>
      <c r="D19" s="90"/>
      <c r="E19" s="101"/>
    </row>
    <row r="20" spans="2:10" ht="13.5" thickBot="1">
      <c r="B20" s="277" t="s">
        <v>8</v>
      </c>
      <c r="C20" s="278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20420985.219999999</v>
      </c>
      <c r="E21" s="181">
        <f>E11</f>
        <v>23806378.309999999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54"/>
      <c r="D23" s="354"/>
      <c r="E23" s="354"/>
      <c r="G23" s="79"/>
    </row>
    <row r="24" spans="2:10" ht="15.75" customHeight="1" thickBot="1">
      <c r="B24" s="339" t="s">
        <v>222</v>
      </c>
      <c r="C24" s="355"/>
      <c r="D24" s="355"/>
      <c r="E24" s="355"/>
    </row>
    <row r="25" spans="2:10" ht="13.5" thickBot="1">
      <c r="B25" s="260"/>
      <c r="C25" s="279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19866797.370000001</v>
      </c>
      <c r="E26" s="123">
        <f>D21</f>
        <v>20420985.219999999</v>
      </c>
      <c r="G26" s="84"/>
    </row>
    <row r="27" spans="2:10">
      <c r="B27" s="10" t="s">
        <v>17</v>
      </c>
      <c r="C27" s="11" t="s">
        <v>228</v>
      </c>
      <c r="D27" s="182">
        <v>1615931.74</v>
      </c>
      <c r="E27" s="180">
        <f>E28-E32</f>
        <v>210131.79999999981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3318871.36</v>
      </c>
      <c r="E28" s="81">
        <f>SUM(E29:E31)</f>
        <v>3092920.21</v>
      </c>
      <c r="F28" s="79"/>
      <c r="G28" s="79"/>
      <c r="H28" s="79"/>
      <c r="I28" s="79"/>
      <c r="J28" s="84"/>
    </row>
    <row r="29" spans="2:10">
      <c r="B29" s="280" t="s">
        <v>4</v>
      </c>
      <c r="C29" s="273" t="s">
        <v>20</v>
      </c>
      <c r="D29" s="183">
        <v>3318871.36</v>
      </c>
      <c r="E29" s="105">
        <v>3092920.21</v>
      </c>
      <c r="F29" s="79"/>
      <c r="G29" s="79"/>
      <c r="H29" s="79"/>
      <c r="I29" s="79"/>
      <c r="J29" s="84"/>
    </row>
    <row r="30" spans="2:10">
      <c r="B30" s="280" t="s">
        <v>6</v>
      </c>
      <c r="C30" s="273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280" t="s">
        <v>8</v>
      </c>
      <c r="C31" s="273" t="s">
        <v>22</v>
      </c>
      <c r="D31" s="183"/>
      <c r="E31" s="105"/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1702939.62</v>
      </c>
      <c r="E32" s="81">
        <f>SUM(E33:E39)</f>
        <v>2882788.41</v>
      </c>
      <c r="F32" s="79"/>
      <c r="G32" s="84"/>
      <c r="H32" s="79"/>
      <c r="I32" s="79"/>
      <c r="J32" s="84"/>
    </row>
    <row r="33" spans="2:10">
      <c r="B33" s="280" t="s">
        <v>4</v>
      </c>
      <c r="C33" s="273" t="s">
        <v>25</v>
      </c>
      <c r="D33" s="183">
        <v>1702939.62</v>
      </c>
      <c r="E33" s="105">
        <v>2882788.41</v>
      </c>
      <c r="F33" s="79"/>
      <c r="G33" s="79"/>
      <c r="H33" s="79"/>
      <c r="I33" s="79"/>
      <c r="J33" s="84"/>
    </row>
    <row r="34" spans="2:10">
      <c r="B34" s="280" t="s">
        <v>6</v>
      </c>
      <c r="C34" s="273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280" t="s">
        <v>8</v>
      </c>
      <c r="C35" s="273" t="s">
        <v>27</v>
      </c>
      <c r="D35" s="183"/>
      <c r="E35" s="105"/>
      <c r="F35" s="79"/>
      <c r="G35" s="79"/>
      <c r="H35" s="79"/>
      <c r="I35" s="79"/>
      <c r="J35" s="84"/>
    </row>
    <row r="36" spans="2:10">
      <c r="B36" s="280" t="s">
        <v>9</v>
      </c>
      <c r="C36" s="273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280" t="s">
        <v>29</v>
      </c>
      <c r="C37" s="273" t="s">
        <v>30</v>
      </c>
      <c r="D37" s="183"/>
      <c r="E37" s="105"/>
      <c r="F37" s="79"/>
      <c r="G37" s="79"/>
      <c r="H37" s="79"/>
      <c r="I37" s="79"/>
      <c r="J37" s="84"/>
    </row>
    <row r="38" spans="2:10">
      <c r="B38" s="280" t="s">
        <v>31</v>
      </c>
      <c r="C38" s="273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281" t="s">
        <v>33</v>
      </c>
      <c r="C39" s="282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-1061743.8900000001</v>
      </c>
      <c r="E40" s="128">
        <v>3175261.29</v>
      </c>
      <c r="G40" s="84"/>
    </row>
    <row r="41" spans="2:10" ht="13.5" thickBot="1">
      <c r="B41" s="129" t="s">
        <v>37</v>
      </c>
      <c r="C41" s="130" t="s">
        <v>38</v>
      </c>
      <c r="D41" s="131">
        <v>20420985.219999999</v>
      </c>
      <c r="E41" s="181">
        <f>E26+E27+E40</f>
        <v>23806378.309999999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301">
        <v>1146884.8062</v>
      </c>
      <c r="E47" s="185">
        <v>1235837.8851999999</v>
      </c>
      <c r="G47" s="79"/>
    </row>
    <row r="48" spans="2:10">
      <c r="B48" s="154" t="s">
        <v>6</v>
      </c>
      <c r="C48" s="23" t="s">
        <v>41</v>
      </c>
      <c r="D48" s="302">
        <v>1235837.8851999999</v>
      </c>
      <c r="E48" s="185">
        <v>1249265.5083000001</v>
      </c>
      <c r="G48" s="79"/>
    </row>
    <row r="49" spans="2:5">
      <c r="B49" s="151" t="s">
        <v>23</v>
      </c>
      <c r="C49" s="155" t="s">
        <v>230</v>
      </c>
      <c r="D49" s="303"/>
      <c r="E49" s="185"/>
    </row>
    <row r="50" spans="2:5">
      <c r="B50" s="133" t="s">
        <v>4</v>
      </c>
      <c r="C50" s="16" t="s">
        <v>40</v>
      </c>
      <c r="D50" s="302">
        <v>17.299299999999999</v>
      </c>
      <c r="E50" s="185">
        <v>16.524000000000001</v>
      </c>
    </row>
    <row r="51" spans="2:5">
      <c r="B51" s="133" t="s">
        <v>6</v>
      </c>
      <c r="C51" s="16" t="s">
        <v>231</v>
      </c>
      <c r="D51" s="302">
        <v>15.745699999999999</v>
      </c>
      <c r="E51" s="85">
        <v>16.154700000000002</v>
      </c>
    </row>
    <row r="52" spans="2:5">
      <c r="B52" s="133" t="s">
        <v>8</v>
      </c>
      <c r="C52" s="16" t="s">
        <v>232</v>
      </c>
      <c r="D52" s="302">
        <v>22.263100000000001</v>
      </c>
      <c r="E52" s="85">
        <v>21.9284</v>
      </c>
    </row>
    <row r="53" spans="2:5" ht="13.5" customHeight="1" thickBot="1">
      <c r="B53" s="134" t="s">
        <v>9</v>
      </c>
      <c r="C53" s="18" t="s">
        <v>41</v>
      </c>
      <c r="D53" s="304">
        <v>16.524000000000001</v>
      </c>
      <c r="E53" s="187">
        <v>19.0563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23806378.309999999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23806378.309999999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23806378.309999999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v>0</v>
      </c>
      <c r="E75" s="95">
        <v>0</v>
      </c>
    </row>
    <row r="76" spans="2:5">
      <c r="B76" s="133" t="s">
        <v>6</v>
      </c>
      <c r="C76" s="16" t="s">
        <v>236</v>
      </c>
      <c r="D76" s="94">
        <f>D74</f>
        <v>23806378.309999999</v>
      </c>
      <c r="E76" s="95">
        <f>E74</f>
        <v>1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81"/>
  <sheetViews>
    <sheetView topLeftCell="A49" zoomScaleNormal="10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4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09"/>
      <c r="C4" s="109"/>
      <c r="D4" s="109"/>
      <c r="E4" s="109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91</v>
      </c>
      <c r="C6" s="338"/>
      <c r="D6" s="338"/>
      <c r="E6" s="338"/>
    </row>
    <row r="7" spans="2:7" ht="14.25">
      <c r="B7" s="113"/>
      <c r="C7" s="113"/>
      <c r="D7" s="113"/>
      <c r="E7" s="113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10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26061540.140000001</v>
      </c>
      <c r="E11" s="9">
        <f>E12+E13+E14</f>
        <v>41858008.600000001</v>
      </c>
    </row>
    <row r="12" spans="2:7">
      <c r="B12" s="137" t="s">
        <v>4</v>
      </c>
      <c r="C12" s="6" t="s">
        <v>5</v>
      </c>
      <c r="D12" s="90">
        <v>25854394.330000002</v>
      </c>
      <c r="E12" s="101">
        <f>41198057.35+526635.82+1.44</f>
        <v>41724694.609999999</v>
      </c>
    </row>
    <row r="13" spans="2:7">
      <c r="B13" s="137" t="s">
        <v>6</v>
      </c>
      <c r="C13" s="72" t="s">
        <v>7</v>
      </c>
      <c r="D13" s="90">
        <v>0.63</v>
      </c>
      <c r="E13" s="101">
        <v>37.67</v>
      </c>
    </row>
    <row r="14" spans="2:7">
      <c r="B14" s="137" t="s">
        <v>8</v>
      </c>
      <c r="C14" s="72" t="s">
        <v>10</v>
      </c>
      <c r="D14" s="90">
        <v>207145.18</v>
      </c>
      <c r="E14" s="101">
        <f>E15</f>
        <v>133276.32</v>
      </c>
    </row>
    <row r="15" spans="2:7">
      <c r="B15" s="137" t="s">
        <v>223</v>
      </c>
      <c r="C15" s="72" t="s">
        <v>11</v>
      </c>
      <c r="D15" s="90">
        <v>207145.18</v>
      </c>
      <c r="E15" s="101">
        <f>96414.57+2323.75+34538</f>
        <v>133276.32</v>
      </c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>
        <v>32170.66</v>
      </c>
      <c r="E17" s="117">
        <f>SUM(E18:E19)</f>
        <v>258194.4</v>
      </c>
    </row>
    <row r="18" spans="2:10">
      <c r="B18" s="137" t="s">
        <v>4</v>
      </c>
      <c r="C18" s="6" t="s">
        <v>11</v>
      </c>
      <c r="D18" s="90">
        <v>32170.66</v>
      </c>
      <c r="E18" s="102">
        <v>52785.69</v>
      </c>
    </row>
    <row r="19" spans="2:10" ht="13.5" customHeight="1">
      <c r="B19" s="137" t="s">
        <v>6</v>
      </c>
      <c r="C19" s="72" t="s">
        <v>225</v>
      </c>
      <c r="D19" s="90"/>
      <c r="E19" s="101">
        <v>205408.71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D11-D17</f>
        <v>26029369.48</v>
      </c>
      <c r="E21" s="104">
        <f>E11-E17</f>
        <v>41599814.200000003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10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21619817.210000001</v>
      </c>
      <c r="E26" s="123">
        <v>26029369.48</v>
      </c>
      <c r="G26" s="84"/>
    </row>
    <row r="27" spans="2:10">
      <c r="B27" s="10" t="s">
        <v>17</v>
      </c>
      <c r="C27" s="11" t="s">
        <v>228</v>
      </c>
      <c r="D27" s="182">
        <v>4757747.7300000004</v>
      </c>
      <c r="E27" s="180">
        <f>E28-E32</f>
        <v>15511326.189999998</v>
      </c>
      <c r="F27" s="79"/>
      <c r="G27" s="84"/>
      <c r="H27" s="79"/>
      <c r="I27" s="84"/>
      <c r="J27" s="84"/>
    </row>
    <row r="28" spans="2:10">
      <c r="B28" s="10" t="s">
        <v>18</v>
      </c>
      <c r="C28" s="11" t="s">
        <v>19</v>
      </c>
      <c r="D28" s="182">
        <v>12335550.760000002</v>
      </c>
      <c r="E28" s="81">
        <f>SUM(E29:E31)</f>
        <v>22400101.369999997</v>
      </c>
      <c r="F28" s="79"/>
      <c r="G28" s="79"/>
      <c r="H28" s="79"/>
      <c r="I28" s="84"/>
      <c r="J28" s="84"/>
    </row>
    <row r="29" spans="2:10">
      <c r="B29" s="135" t="s">
        <v>4</v>
      </c>
      <c r="C29" s="6" t="s">
        <v>20</v>
      </c>
      <c r="D29" s="183">
        <v>8314766.0999999996</v>
      </c>
      <c r="E29" s="105">
        <v>20110605.469999999</v>
      </c>
      <c r="F29" s="79"/>
      <c r="G29" s="79"/>
      <c r="H29" s="79"/>
      <c r="I29" s="84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84"/>
      <c r="J30" s="84"/>
    </row>
    <row r="31" spans="2:10">
      <c r="B31" s="135" t="s">
        <v>8</v>
      </c>
      <c r="C31" s="6" t="s">
        <v>22</v>
      </c>
      <c r="D31" s="183">
        <v>4020784.66</v>
      </c>
      <c r="E31" s="105">
        <v>2289495.9</v>
      </c>
      <c r="F31" s="79"/>
      <c r="G31" s="79"/>
      <c r="H31" s="79"/>
      <c r="I31" s="84"/>
      <c r="J31" s="84"/>
    </row>
    <row r="32" spans="2:10">
      <c r="B32" s="116" t="s">
        <v>23</v>
      </c>
      <c r="C32" s="12" t="s">
        <v>24</v>
      </c>
      <c r="D32" s="182">
        <v>7577803.0300000003</v>
      </c>
      <c r="E32" s="81">
        <f>SUM(E33:E39)</f>
        <v>6888775.1799999997</v>
      </c>
      <c r="F32" s="79"/>
      <c r="G32" s="84"/>
      <c r="H32" s="79"/>
      <c r="I32" s="84"/>
      <c r="J32" s="84"/>
    </row>
    <row r="33" spans="2:10">
      <c r="B33" s="135" t="s">
        <v>4</v>
      </c>
      <c r="C33" s="6" t="s">
        <v>25</v>
      </c>
      <c r="D33" s="183">
        <v>3120733.94</v>
      </c>
      <c r="E33" s="105">
        <v>5093595.3899999997</v>
      </c>
      <c r="F33" s="79"/>
      <c r="G33" s="79"/>
      <c r="H33" s="79"/>
      <c r="I33" s="84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84"/>
      <c r="J34" s="84"/>
    </row>
    <row r="35" spans="2:10">
      <c r="B35" s="135" t="s">
        <v>8</v>
      </c>
      <c r="C35" s="6" t="s">
        <v>27</v>
      </c>
      <c r="D35" s="183">
        <v>766482.22</v>
      </c>
      <c r="E35" s="105">
        <v>1077080.18</v>
      </c>
      <c r="F35" s="79"/>
      <c r="G35" s="79"/>
      <c r="H35" s="79"/>
      <c r="I35" s="84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84"/>
      <c r="J36" s="84"/>
    </row>
    <row r="37" spans="2:10" ht="25.5">
      <c r="B37" s="135" t="s">
        <v>29</v>
      </c>
      <c r="C37" s="6" t="s">
        <v>30</v>
      </c>
      <c r="D37" s="183"/>
      <c r="E37" s="105"/>
      <c r="F37" s="79"/>
      <c r="G37" s="79"/>
      <c r="H37" s="79"/>
      <c r="I37" s="84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84"/>
      <c r="J38" s="84"/>
    </row>
    <row r="39" spans="2:10">
      <c r="B39" s="136" t="s">
        <v>33</v>
      </c>
      <c r="C39" s="13" t="s">
        <v>34</v>
      </c>
      <c r="D39" s="124">
        <v>3690586.87</v>
      </c>
      <c r="E39" s="184">
        <v>718099.61</v>
      </c>
      <c r="F39" s="79"/>
      <c r="G39" s="79"/>
      <c r="H39" s="79"/>
      <c r="I39" s="84"/>
      <c r="J39" s="84"/>
    </row>
    <row r="40" spans="2:10" ht="13.5" thickBot="1">
      <c r="B40" s="125" t="s">
        <v>35</v>
      </c>
      <c r="C40" s="126" t="s">
        <v>36</v>
      </c>
      <c r="D40" s="127">
        <v>-348195.46</v>
      </c>
      <c r="E40" s="128">
        <f>59004.13+114.4</f>
        <v>59118.53</v>
      </c>
      <c r="G40" s="84"/>
    </row>
    <row r="41" spans="2:10" ht="13.5" thickBot="1">
      <c r="B41" s="129" t="s">
        <v>37</v>
      </c>
      <c r="C41" s="130" t="s">
        <v>38</v>
      </c>
      <c r="D41" s="131">
        <v>26029369.48</v>
      </c>
      <c r="E41" s="181">
        <f>E26+E27+E40</f>
        <v>41599814.200000003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7.25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10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1818432.3367999999</v>
      </c>
      <c r="E47" s="83">
        <v>2217390.1268000002</v>
      </c>
      <c r="G47" s="311"/>
    </row>
    <row r="48" spans="2:10">
      <c r="B48" s="154" t="s">
        <v>6</v>
      </c>
      <c r="C48" s="23" t="s">
        <v>41</v>
      </c>
      <c r="D48" s="264">
        <v>2217390.1268000002</v>
      </c>
      <c r="E48" s="83">
        <v>3526684.0403750357</v>
      </c>
      <c r="G48" s="315"/>
    </row>
    <row r="49" spans="2:7">
      <c r="B49" s="151" t="s">
        <v>23</v>
      </c>
      <c r="C49" s="155" t="s">
        <v>230</v>
      </c>
      <c r="D49" s="266"/>
      <c r="E49" s="156"/>
    </row>
    <row r="50" spans="2:7">
      <c r="B50" s="133" t="s">
        <v>4</v>
      </c>
      <c r="C50" s="16" t="s">
        <v>40</v>
      </c>
      <c r="D50" s="263">
        <v>11.8892613007782</v>
      </c>
      <c r="E50" s="83">
        <v>11.7387414895564</v>
      </c>
      <c r="G50" s="315"/>
    </row>
    <row r="51" spans="2:7">
      <c r="B51" s="133" t="s">
        <v>6</v>
      </c>
      <c r="C51" s="16" t="s">
        <v>231</v>
      </c>
      <c r="D51" s="314">
        <v>11.5604</v>
      </c>
      <c r="E51" s="85">
        <v>11.6492</v>
      </c>
    </row>
    <row r="52" spans="2:7" ht="12" customHeight="1">
      <c r="B52" s="133" t="s">
        <v>8</v>
      </c>
      <c r="C52" s="16" t="s">
        <v>232</v>
      </c>
      <c r="D52" s="314">
        <v>12.0785</v>
      </c>
      <c r="E52" s="85">
        <v>11.977600000000001</v>
      </c>
    </row>
    <row r="53" spans="2:7" ht="13.5" thickBot="1">
      <c r="B53" s="134" t="s">
        <v>9</v>
      </c>
      <c r="C53" s="18" t="s">
        <v>41</v>
      </c>
      <c r="D53" s="268">
        <v>11.7387414895564</v>
      </c>
      <c r="E53" s="187">
        <v>11.7957304152419</v>
      </c>
    </row>
    <row r="54" spans="2:7">
      <c r="B54" s="140"/>
      <c r="C54" s="141"/>
      <c r="D54" s="142"/>
      <c r="E54" s="142"/>
    </row>
    <row r="55" spans="2:7" ht="13.5">
      <c r="B55" s="341" t="s">
        <v>62</v>
      </c>
      <c r="C55" s="342"/>
      <c r="D55" s="342"/>
      <c r="E55" s="342"/>
    </row>
    <row r="56" spans="2:7" ht="16.5" customHeight="1" thickBot="1">
      <c r="B56" s="339" t="s">
        <v>233</v>
      </c>
      <c r="C56" s="343"/>
      <c r="D56" s="343"/>
      <c r="E56" s="343"/>
    </row>
    <row r="57" spans="2:7" ht="23.25" thickBot="1">
      <c r="B57" s="334" t="s">
        <v>42</v>
      </c>
      <c r="C57" s="335"/>
      <c r="D57" s="19" t="s">
        <v>257</v>
      </c>
      <c r="E57" s="20" t="s">
        <v>234</v>
      </c>
    </row>
    <row r="58" spans="2:7">
      <c r="B58" s="21" t="s">
        <v>18</v>
      </c>
      <c r="C58" s="157" t="s">
        <v>43</v>
      </c>
      <c r="D58" s="158">
        <f>SUM(D59:D70)</f>
        <v>41724694.609999999</v>
      </c>
      <c r="E58" s="33">
        <f>D58/E21</f>
        <v>1.0030019463404236</v>
      </c>
    </row>
    <row r="59" spans="2:7" ht="25.5">
      <c r="B59" s="22" t="s">
        <v>4</v>
      </c>
      <c r="C59" s="23" t="s">
        <v>44</v>
      </c>
      <c r="D59" s="96">
        <v>0</v>
      </c>
      <c r="E59" s="97">
        <v>0</v>
      </c>
    </row>
    <row r="60" spans="2:7" ht="24" customHeight="1">
      <c r="B60" s="15" t="s">
        <v>6</v>
      </c>
      <c r="C60" s="16" t="s">
        <v>45</v>
      </c>
      <c r="D60" s="94">
        <v>0</v>
      </c>
      <c r="E60" s="95">
        <v>0</v>
      </c>
    </row>
    <row r="61" spans="2:7">
      <c r="B61" s="15" t="s">
        <v>8</v>
      </c>
      <c r="C61" s="16" t="s">
        <v>46</v>
      </c>
      <c r="D61" s="94">
        <v>0</v>
      </c>
      <c r="E61" s="95">
        <v>0</v>
      </c>
    </row>
    <row r="62" spans="2:7">
      <c r="B62" s="15" t="s">
        <v>9</v>
      </c>
      <c r="C62" s="16" t="s">
        <v>47</v>
      </c>
      <c r="D62" s="94">
        <v>0</v>
      </c>
      <c r="E62" s="95">
        <v>0</v>
      </c>
    </row>
    <row r="63" spans="2:7">
      <c r="B63" s="15" t="s">
        <v>29</v>
      </c>
      <c r="C63" s="16" t="s">
        <v>48</v>
      </c>
      <c r="D63" s="94">
        <v>0</v>
      </c>
      <c r="E63" s="95">
        <v>0</v>
      </c>
    </row>
    <row r="64" spans="2:7">
      <c r="B64" s="22" t="s">
        <v>31</v>
      </c>
      <c r="C64" s="23" t="s">
        <v>49</v>
      </c>
      <c r="D64" s="96">
        <v>41198057.350000001</v>
      </c>
      <c r="E64" s="97">
        <f>D64/E21</f>
        <v>0.99034234027901014</v>
      </c>
    </row>
    <row r="65" spans="2:5">
      <c r="B65" s="22" t="s">
        <v>33</v>
      </c>
      <c r="C65" s="23" t="s">
        <v>235</v>
      </c>
      <c r="D65" s="96">
        <v>0</v>
      </c>
      <c r="E65" s="97">
        <v>0</v>
      </c>
    </row>
    <row r="66" spans="2:5">
      <c r="B66" s="22" t="s">
        <v>50</v>
      </c>
      <c r="C66" s="23" t="s">
        <v>51</v>
      </c>
      <c r="D66" s="96">
        <v>0</v>
      </c>
      <c r="E66" s="97">
        <v>0</v>
      </c>
    </row>
    <row r="67" spans="2:5">
      <c r="B67" s="15" t="s">
        <v>52</v>
      </c>
      <c r="C67" s="16" t="s">
        <v>53</v>
      </c>
      <c r="D67" s="94">
        <v>0</v>
      </c>
      <c r="E67" s="95">
        <v>0</v>
      </c>
    </row>
    <row r="68" spans="2:5">
      <c r="B68" s="15" t="s">
        <v>54</v>
      </c>
      <c r="C68" s="16" t="s">
        <v>55</v>
      </c>
      <c r="D68" s="94">
        <v>0</v>
      </c>
      <c r="E68" s="95">
        <v>0</v>
      </c>
    </row>
    <row r="69" spans="2:5">
      <c r="B69" s="15" t="s">
        <v>56</v>
      </c>
      <c r="C69" s="16" t="s">
        <v>57</v>
      </c>
      <c r="D69" s="94">
        <f>526635.82+1.44</f>
        <v>526637.25999999989</v>
      </c>
      <c r="E69" s="95">
        <f>D69/E21</f>
        <v>1.2659606061413607E-2</v>
      </c>
    </row>
    <row r="70" spans="2:5">
      <c r="B70" s="143" t="s">
        <v>58</v>
      </c>
      <c r="C70" s="144" t="s">
        <v>59</v>
      </c>
      <c r="D70" s="145">
        <v>0</v>
      </c>
      <c r="E70" s="146">
        <v>0</v>
      </c>
    </row>
    <row r="71" spans="2:5">
      <c r="B71" s="151" t="s">
        <v>23</v>
      </c>
      <c r="C71" s="152" t="s">
        <v>61</v>
      </c>
      <c r="D71" s="153">
        <f>E13</f>
        <v>37.67</v>
      </c>
      <c r="E71" s="70">
        <v>0</v>
      </c>
    </row>
    <row r="72" spans="2:5">
      <c r="B72" s="147" t="s">
        <v>60</v>
      </c>
      <c r="C72" s="148" t="s">
        <v>63</v>
      </c>
      <c r="D72" s="149">
        <f>E14</f>
        <v>133276.32</v>
      </c>
      <c r="E72" s="150">
        <f>D72/E21</f>
        <v>3.2037720014624488E-3</v>
      </c>
    </row>
    <row r="73" spans="2:5">
      <c r="B73" s="24" t="s">
        <v>62</v>
      </c>
      <c r="C73" s="25" t="s">
        <v>65</v>
      </c>
      <c r="D73" s="26">
        <f>E17</f>
        <v>258194.4</v>
      </c>
      <c r="E73" s="27">
        <f>D73/E21</f>
        <v>6.2066238747768244E-3</v>
      </c>
    </row>
    <row r="74" spans="2:5">
      <c r="B74" s="151" t="s">
        <v>64</v>
      </c>
      <c r="C74" s="152" t="s">
        <v>66</v>
      </c>
      <c r="D74" s="153">
        <f>D58+D71+D72-D73</f>
        <v>41599814.200000003</v>
      </c>
      <c r="E74" s="70">
        <f>E58+E72-E73</f>
        <v>0.99999909446710922</v>
      </c>
    </row>
    <row r="75" spans="2:5">
      <c r="B75" s="15" t="s">
        <v>4</v>
      </c>
      <c r="C75" s="16" t="s">
        <v>67</v>
      </c>
      <c r="D75" s="94">
        <f>D74</f>
        <v>41599814.200000003</v>
      </c>
      <c r="E75" s="95">
        <f>E74</f>
        <v>0.99999909446710922</v>
      </c>
    </row>
    <row r="76" spans="2:5">
      <c r="B76" s="15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7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205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42961.81</v>
      </c>
      <c r="E11" s="9">
        <f>E12</f>
        <v>1772445.02</v>
      </c>
    </row>
    <row r="12" spans="2:7">
      <c r="B12" s="137" t="s">
        <v>4</v>
      </c>
      <c r="C12" s="6" t="s">
        <v>5</v>
      </c>
      <c r="D12" s="90">
        <v>42961.81</v>
      </c>
      <c r="E12" s="101">
        <v>1772445.02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42961.81</v>
      </c>
      <c r="E21" s="181">
        <f>E11</f>
        <v>1772445.02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27499.040000000001</v>
      </c>
      <c r="E26" s="123">
        <v>42961.81</v>
      </c>
      <c r="G26" s="84"/>
    </row>
    <row r="27" spans="2:10">
      <c r="B27" s="10" t="s">
        <v>17</v>
      </c>
      <c r="C27" s="11" t="s">
        <v>228</v>
      </c>
      <c r="D27" s="182">
        <v>20127.61</v>
      </c>
      <c r="E27" s="180">
        <f>E28-E32</f>
        <v>1552904.6600000001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43378.74</v>
      </c>
      <c r="E28" s="81">
        <f>SUM(E29:E31)</f>
        <v>1574435.36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33907.06</v>
      </c>
      <c r="E29" s="105">
        <v>11641.09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9471.68</v>
      </c>
      <c r="E31" s="105">
        <v>1562794.27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23251.13</v>
      </c>
      <c r="E32" s="81">
        <f>SUM(E33:E39)</f>
        <v>21530.699999999997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21363.05</v>
      </c>
      <c r="E33" s="105">
        <v>3320.94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1192.32</v>
      </c>
      <c r="E35" s="105">
        <v>2175.71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692.07</v>
      </c>
      <c r="E37" s="105">
        <v>13192.02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3.69</v>
      </c>
      <c r="E39" s="184">
        <v>2842.03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-4664.84</v>
      </c>
      <c r="E40" s="128">
        <v>176578.55</v>
      </c>
      <c r="G40" s="84"/>
    </row>
    <row r="41" spans="2:10" ht="13.5" thickBot="1">
      <c r="B41" s="129" t="s">
        <v>37</v>
      </c>
      <c r="C41" s="130" t="s">
        <v>38</v>
      </c>
      <c r="D41" s="131">
        <v>42961.81</v>
      </c>
      <c r="E41" s="181">
        <f>E26+E27+E40</f>
        <v>1772445.0200000003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97.262559999999993</v>
      </c>
      <c r="E47" s="185">
        <v>160.54488000000001</v>
      </c>
      <c r="G47" s="79"/>
    </row>
    <row r="48" spans="2:10">
      <c r="B48" s="154" t="s">
        <v>6</v>
      </c>
      <c r="C48" s="23" t="s">
        <v>41</v>
      </c>
      <c r="D48" s="264">
        <v>160.54488000000001</v>
      </c>
      <c r="E48" s="185">
        <v>6025.0357700000004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282.73</v>
      </c>
      <c r="E50" s="185">
        <v>267.60000000000002</v>
      </c>
    </row>
    <row r="51" spans="2:5">
      <c r="B51" s="133" t="s">
        <v>6</v>
      </c>
      <c r="C51" s="16" t="s">
        <v>231</v>
      </c>
      <c r="D51" s="267">
        <v>254.91</v>
      </c>
      <c r="E51" s="85">
        <v>244.94</v>
      </c>
    </row>
    <row r="52" spans="2:5">
      <c r="B52" s="133" t="s">
        <v>8</v>
      </c>
      <c r="C52" s="16" t="s">
        <v>232</v>
      </c>
      <c r="D52" s="267">
        <v>315.2</v>
      </c>
      <c r="E52" s="85">
        <v>294.18</v>
      </c>
    </row>
    <row r="53" spans="2:5" ht="13.5" customHeight="1" thickBot="1">
      <c r="B53" s="134" t="s">
        <v>9</v>
      </c>
      <c r="C53" s="18" t="s">
        <v>41</v>
      </c>
      <c r="D53" s="268">
        <v>267.60000000000002</v>
      </c>
      <c r="E53" s="187">
        <v>294.18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8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1772445.02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1772445.02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1772445.02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1772445.02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206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1112866.8899999999</v>
      </c>
      <c r="E11" s="9">
        <f>E12</f>
        <v>1551458.15</v>
      </c>
    </row>
    <row r="12" spans="2:7">
      <c r="B12" s="137" t="s">
        <v>4</v>
      </c>
      <c r="C12" s="6" t="s">
        <v>5</v>
      </c>
      <c r="D12" s="90">
        <v>1112866.8899999999</v>
      </c>
      <c r="E12" s="101">
        <v>1551458.15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1112866.8899999999</v>
      </c>
      <c r="E21" s="181">
        <f>E11</f>
        <v>1551458.15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1224898.02</v>
      </c>
      <c r="E26" s="123">
        <v>1112866.8899999999</v>
      </c>
      <c r="G26" s="84"/>
    </row>
    <row r="27" spans="2:10">
      <c r="B27" s="10" t="s">
        <v>17</v>
      </c>
      <c r="C27" s="11" t="s">
        <v>228</v>
      </c>
      <c r="D27" s="182">
        <v>-107757.29</v>
      </c>
      <c r="E27" s="180">
        <f>E28-E32</f>
        <v>415787.6100000001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701299.77</v>
      </c>
      <c r="E28" s="81">
        <f>SUM(E29:E31)</f>
        <v>1310124.28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434602.35</v>
      </c>
      <c r="E29" s="105">
        <v>326698.77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266697.42</v>
      </c>
      <c r="E31" s="105">
        <v>983425.51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809057.06</v>
      </c>
      <c r="E32" s="81">
        <f>SUM(E33:E39)</f>
        <v>894336.66999999993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17438.41</v>
      </c>
      <c r="E33" s="105">
        <v>563873.35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1129.06</v>
      </c>
      <c r="E35" s="105">
        <v>2589.89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20282.669999999998</v>
      </c>
      <c r="E37" s="105">
        <v>17315.23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770206.92</v>
      </c>
      <c r="E39" s="184">
        <v>310558.2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-4273.84</v>
      </c>
      <c r="E40" s="128">
        <v>22803.65</v>
      </c>
      <c r="G40" s="84"/>
    </row>
    <row r="41" spans="2:10" ht="13.5" thickBot="1">
      <c r="B41" s="129" t="s">
        <v>37</v>
      </c>
      <c r="C41" s="130" t="s">
        <v>38</v>
      </c>
      <c r="D41" s="131">
        <v>1112866.8899999999</v>
      </c>
      <c r="E41" s="181">
        <f>E26+E27+E40</f>
        <v>1551458.15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4330.86312</v>
      </c>
      <c r="E47" s="185">
        <v>3936.9826699999999</v>
      </c>
      <c r="G47" s="79"/>
    </row>
    <row r="48" spans="2:10">
      <c r="B48" s="154" t="s">
        <v>6</v>
      </c>
      <c r="C48" s="23" t="s">
        <v>41</v>
      </c>
      <c r="D48" s="264">
        <v>3936.9826699999999</v>
      </c>
      <c r="E48" s="185">
        <v>5400.1328000000003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282.83</v>
      </c>
      <c r="E50" s="185">
        <v>282.67</v>
      </c>
    </row>
    <row r="51" spans="2:5">
      <c r="B51" s="133" t="s">
        <v>6</v>
      </c>
      <c r="C51" s="16" t="s">
        <v>231</v>
      </c>
      <c r="D51" s="267">
        <v>275.73</v>
      </c>
      <c r="E51" s="85">
        <v>281.72000000000003</v>
      </c>
    </row>
    <row r="52" spans="2:5">
      <c r="B52" s="133" t="s">
        <v>8</v>
      </c>
      <c r="C52" s="16" t="s">
        <v>232</v>
      </c>
      <c r="D52" s="267">
        <v>288.91000000000003</v>
      </c>
      <c r="E52" s="85">
        <v>294.95</v>
      </c>
    </row>
    <row r="53" spans="2:5" ht="12.75" customHeight="1" thickBot="1">
      <c r="B53" s="134" t="s">
        <v>9</v>
      </c>
      <c r="C53" s="18" t="s">
        <v>41</v>
      </c>
      <c r="D53" s="268">
        <v>282.67</v>
      </c>
      <c r="E53" s="187">
        <v>287.3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1551458.15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1551458.15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1551458.15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1551458.15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E41" sqref="E4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207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2435740.5299999998</v>
      </c>
      <c r="E11" s="9" t="s">
        <v>260</v>
      </c>
    </row>
    <row r="12" spans="2:7">
      <c r="B12" s="137" t="s">
        <v>4</v>
      </c>
      <c r="C12" s="6" t="s">
        <v>5</v>
      </c>
      <c r="D12" s="90">
        <v>2435740.5299999998</v>
      </c>
      <c r="E12" s="101" t="s">
        <v>260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2435740.5299999998</v>
      </c>
      <c r="E21" s="104" t="str">
        <f>E11</f>
        <v>-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3208631.2</v>
      </c>
      <c r="E26" s="123">
        <v>2435740.5299999998</v>
      </c>
      <c r="G26" s="84"/>
    </row>
    <row r="27" spans="2:10">
      <c r="B27" s="10" t="s">
        <v>17</v>
      </c>
      <c r="C27" s="11" t="s">
        <v>228</v>
      </c>
      <c r="D27" s="182">
        <v>-639125.34</v>
      </c>
      <c r="E27" s="180">
        <f>E28-E32</f>
        <v>-2396528.56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460989.13</v>
      </c>
      <c r="E28" s="81">
        <f>SUM(E29:E31)</f>
        <v>40888.11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400721.28</v>
      </c>
      <c r="E29" s="105">
        <v>3595.61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60267.85</v>
      </c>
      <c r="E31" s="105">
        <v>37292.5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1100114.47</v>
      </c>
      <c r="E32" s="81">
        <f>SUM(E33:E39)</f>
        <v>2437416.67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899157.64</v>
      </c>
      <c r="E33" s="105">
        <v>73882.16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1254.99</v>
      </c>
      <c r="E35" s="105">
        <v>996.74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49413.49</v>
      </c>
      <c r="E37" s="105">
        <v>17875.79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150288.35</v>
      </c>
      <c r="E39" s="184">
        <v>2344661.98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-133765.32999999999</v>
      </c>
      <c r="E40" s="128">
        <v>-39211.97</v>
      </c>
      <c r="G40" s="84"/>
    </row>
    <row r="41" spans="2:10" ht="13.5" thickBot="1">
      <c r="B41" s="129" t="s">
        <v>37</v>
      </c>
      <c r="C41" s="130" t="s">
        <v>38</v>
      </c>
      <c r="D41" s="131">
        <v>2435740.5300000003</v>
      </c>
      <c r="E41" s="181" t="s">
        <v>260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43430.308649999999</v>
      </c>
      <c r="E47" s="185">
        <v>34926.018519999998</v>
      </c>
      <c r="G47" s="79"/>
    </row>
    <row r="48" spans="2:10">
      <c r="B48" s="154" t="s">
        <v>6</v>
      </c>
      <c r="C48" s="23" t="s">
        <v>41</v>
      </c>
      <c r="D48" s="264">
        <v>34926.018519999998</v>
      </c>
      <c r="E48" s="185"/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73.88</v>
      </c>
      <c r="E50" s="185">
        <v>69.739999999999995</v>
      </c>
    </row>
    <row r="51" spans="2:5">
      <c r="B51" s="133" t="s">
        <v>6</v>
      </c>
      <c r="C51" s="16" t="s">
        <v>231</v>
      </c>
      <c r="D51" s="267">
        <v>66.290000000000006</v>
      </c>
      <c r="E51" s="85">
        <v>63.82</v>
      </c>
    </row>
    <row r="52" spans="2:5">
      <c r="B52" s="133" t="s">
        <v>8</v>
      </c>
      <c r="C52" s="16" t="s">
        <v>232</v>
      </c>
      <c r="D52" s="267">
        <v>82.39</v>
      </c>
      <c r="E52" s="85">
        <v>72.81</v>
      </c>
    </row>
    <row r="53" spans="2:5" ht="13.5" customHeight="1" thickBot="1">
      <c r="B53" s="134" t="s">
        <v>9</v>
      </c>
      <c r="C53" s="18" t="s">
        <v>41</v>
      </c>
      <c r="D53" s="268">
        <v>69.739999999999995</v>
      </c>
      <c r="E53" s="187"/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4.25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0</v>
      </c>
      <c r="E58" s="33">
        <v>0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v>0</v>
      </c>
      <c r="E64" s="97">
        <v>0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v>0</v>
      </c>
      <c r="E74" s="70">
        <f>E58+E72-E73</f>
        <v>0</v>
      </c>
    </row>
    <row r="75" spans="2:5">
      <c r="B75" s="133" t="s">
        <v>4</v>
      </c>
      <c r="C75" s="16" t="s">
        <v>67</v>
      </c>
      <c r="D75" s="94">
        <v>0</v>
      </c>
      <c r="E75" s="95">
        <f>E74</f>
        <v>0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G43" sqref="G43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186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165318.57999999999</v>
      </c>
      <c r="E11" s="9">
        <f>E12</f>
        <v>127450.86</v>
      </c>
    </row>
    <row r="12" spans="2:7">
      <c r="B12" s="137" t="s">
        <v>4</v>
      </c>
      <c r="C12" s="6" t="s">
        <v>5</v>
      </c>
      <c r="D12" s="90">
        <v>165318.57999999999</v>
      </c>
      <c r="E12" s="101">
        <v>127450.86</v>
      </c>
    </row>
    <row r="13" spans="2:7">
      <c r="B13" s="137" t="s">
        <v>6</v>
      </c>
      <c r="C13" s="72" t="s">
        <v>7</v>
      </c>
      <c r="D13" s="90"/>
      <c r="E13" s="248"/>
    </row>
    <row r="14" spans="2:7">
      <c r="B14" s="137" t="s">
        <v>8</v>
      </c>
      <c r="C14" s="72" t="s">
        <v>10</v>
      </c>
      <c r="D14" s="90"/>
      <c r="E14" s="248"/>
      <c r="G14" s="71"/>
    </row>
    <row r="15" spans="2:7">
      <c r="B15" s="137" t="s">
        <v>223</v>
      </c>
      <c r="C15" s="72" t="s">
        <v>11</v>
      </c>
      <c r="D15" s="90"/>
      <c r="E15" s="248"/>
    </row>
    <row r="16" spans="2:7">
      <c r="B16" s="138" t="s">
        <v>224</v>
      </c>
      <c r="C16" s="115" t="s">
        <v>12</v>
      </c>
      <c r="D16" s="91"/>
      <c r="E16" s="249"/>
    </row>
    <row r="17" spans="2:10">
      <c r="B17" s="10" t="s">
        <v>13</v>
      </c>
      <c r="C17" s="12" t="s">
        <v>65</v>
      </c>
      <c r="D17" s="160"/>
      <c r="E17" s="117">
        <f>E19</f>
        <v>540.75</v>
      </c>
    </row>
    <row r="18" spans="2:10">
      <c r="B18" s="137" t="s">
        <v>4</v>
      </c>
      <c r="C18" s="6" t="s">
        <v>11</v>
      </c>
      <c r="D18" s="90"/>
      <c r="E18" s="249"/>
    </row>
    <row r="19" spans="2:10" ht="13.5" customHeight="1">
      <c r="B19" s="137" t="s">
        <v>6</v>
      </c>
      <c r="C19" s="72" t="s">
        <v>225</v>
      </c>
      <c r="D19" s="90"/>
      <c r="E19" s="101">
        <v>540.75</v>
      </c>
    </row>
    <row r="20" spans="2:10" ht="13.5" thickBot="1">
      <c r="B20" s="139" t="s">
        <v>8</v>
      </c>
      <c r="C20" s="73" t="s">
        <v>14</v>
      </c>
      <c r="D20" s="92"/>
      <c r="E20" s="250"/>
    </row>
    <row r="21" spans="2:10" ht="13.5" thickBot="1">
      <c r="B21" s="346" t="s">
        <v>227</v>
      </c>
      <c r="C21" s="347"/>
      <c r="D21" s="93">
        <f>D11</f>
        <v>165318.57999999999</v>
      </c>
      <c r="E21" s="181">
        <f>E11-E17</f>
        <v>126910.11</v>
      </c>
      <c r="F21" s="89"/>
      <c r="G21" s="193"/>
      <c r="H21" s="212"/>
    </row>
    <row r="22" spans="2:10">
      <c r="B22" s="3"/>
      <c r="C22" s="7"/>
      <c r="D22" s="8"/>
      <c r="E22" s="8"/>
      <c r="G22" s="84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  <c r="G24" s="7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  <c r="G25" s="79"/>
    </row>
    <row r="26" spans="2:10">
      <c r="B26" s="120" t="s">
        <v>15</v>
      </c>
      <c r="C26" s="121" t="s">
        <v>16</v>
      </c>
      <c r="D26" s="122"/>
      <c r="E26" s="123">
        <v>165318.57999999999</v>
      </c>
      <c r="G26" s="79"/>
    </row>
    <row r="27" spans="2:10">
      <c r="B27" s="10" t="s">
        <v>17</v>
      </c>
      <c r="C27" s="11" t="s">
        <v>228</v>
      </c>
      <c r="D27" s="182">
        <v>187086.4</v>
      </c>
      <c r="E27" s="180">
        <f>E28-E32</f>
        <v>-42460.43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218309.43</v>
      </c>
      <c r="E28" s="81">
        <f>SUM(E29:E31)</f>
        <v>34940.239999999998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5569.22</v>
      </c>
      <c r="E29" s="105">
        <v>5294.3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212740.21</v>
      </c>
      <c r="E31" s="105">
        <v>29645.94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31223.03</v>
      </c>
      <c r="E32" s="81">
        <f>SUM(E33:E39)</f>
        <v>77400.67</v>
      </c>
      <c r="F32" s="79"/>
      <c r="G32" s="79"/>
      <c r="H32" s="79"/>
      <c r="I32" s="79"/>
      <c r="J32" s="84"/>
    </row>
    <row r="33" spans="2:10">
      <c r="B33" s="135" t="s">
        <v>4</v>
      </c>
      <c r="C33" s="6" t="s">
        <v>25</v>
      </c>
      <c r="D33" s="183">
        <v>97.47</v>
      </c>
      <c r="E33" s="105">
        <v>13793.8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358.47</v>
      </c>
      <c r="E35" s="105">
        <v>604.94000000000005</v>
      </c>
      <c r="F35" s="79"/>
      <c r="G35" s="84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84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2351.67</v>
      </c>
      <c r="E37" s="105">
        <v>2349.67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28415.42</v>
      </c>
      <c r="E39" s="184">
        <v>60652.26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-21767.82</v>
      </c>
      <c r="E40" s="128">
        <v>4051.96</v>
      </c>
      <c r="G40" s="84"/>
    </row>
    <row r="41" spans="2:10" ht="13.5" thickBot="1">
      <c r="B41" s="129" t="s">
        <v>37</v>
      </c>
      <c r="C41" s="130" t="s">
        <v>38</v>
      </c>
      <c r="D41" s="131">
        <v>165318.57999999999</v>
      </c>
      <c r="E41" s="181">
        <f>E26+E27+E40</f>
        <v>126910.11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1097.80585</v>
      </c>
      <c r="G47" s="79"/>
    </row>
    <row r="48" spans="2:10">
      <c r="B48" s="154" t="s">
        <v>6</v>
      </c>
      <c r="C48" s="23" t="s">
        <v>41</v>
      </c>
      <c r="D48" s="264">
        <v>1097.80585</v>
      </c>
      <c r="E48" s="185">
        <v>813.83933000000002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150.59</v>
      </c>
    </row>
    <row r="51" spans="2:5">
      <c r="B51" s="133" t="s">
        <v>6</v>
      </c>
      <c r="C51" s="16" t="s">
        <v>231</v>
      </c>
      <c r="D51" s="267">
        <v>144.08000000000001</v>
      </c>
      <c r="E51" s="85">
        <v>140.22999999999999</v>
      </c>
    </row>
    <row r="52" spans="2:5">
      <c r="B52" s="133" t="s">
        <v>8</v>
      </c>
      <c r="C52" s="16" t="s">
        <v>232</v>
      </c>
      <c r="D52" s="267">
        <v>178.76</v>
      </c>
      <c r="E52" s="85">
        <v>163.79</v>
      </c>
    </row>
    <row r="53" spans="2:5" ht="13.5" customHeight="1" thickBot="1">
      <c r="B53" s="134" t="s">
        <v>9</v>
      </c>
      <c r="C53" s="18" t="s">
        <v>41</v>
      </c>
      <c r="D53" s="268">
        <v>150.59</v>
      </c>
      <c r="E53" s="187">
        <v>155.94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127450.86</v>
      </c>
      <c r="E58" s="33">
        <f>D58/E21</f>
        <v>1.0042608898534562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127450.86</v>
      </c>
      <c r="E64" s="97">
        <f>E58</f>
        <v>1.0042608898534562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540.75</v>
      </c>
      <c r="E73" s="27">
        <f>D73/E21</f>
        <v>4.2608898534561195E-3</v>
      </c>
    </row>
    <row r="74" spans="2:5">
      <c r="B74" s="162" t="s">
        <v>64</v>
      </c>
      <c r="C74" s="152" t="s">
        <v>66</v>
      </c>
      <c r="D74" s="153">
        <f>D58-D73</f>
        <v>126910.11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126910.11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187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51142</v>
      </c>
      <c r="E11" s="9">
        <f>E12</f>
        <v>56145.38</v>
      </c>
    </row>
    <row r="12" spans="2:7">
      <c r="B12" s="137" t="s">
        <v>4</v>
      </c>
      <c r="C12" s="6" t="s">
        <v>5</v>
      </c>
      <c r="D12" s="90">
        <v>51142</v>
      </c>
      <c r="E12" s="101">
        <v>56145.38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51142</v>
      </c>
      <c r="E21" s="181">
        <f>E11</f>
        <v>56145.38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/>
      <c r="E26" s="123">
        <v>51142</v>
      </c>
      <c r="G26" s="84"/>
    </row>
    <row r="27" spans="2:10">
      <c r="B27" s="10" t="s">
        <v>17</v>
      </c>
      <c r="C27" s="11" t="s">
        <v>228</v>
      </c>
      <c r="D27" s="182">
        <v>53497.78</v>
      </c>
      <c r="E27" s="180">
        <f>E28-E32</f>
        <v>-3088.58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55995.96</v>
      </c>
      <c r="E28" s="81">
        <f>SUM(E29:E31)</f>
        <v>1561.22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55995.96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1561.22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2498.1800000000003</v>
      </c>
      <c r="E32" s="81">
        <f>SUM(E33:E39)</f>
        <v>4649.8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2249.63</v>
      </c>
      <c r="E33" s="105">
        <v>3774.8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29.52</v>
      </c>
      <c r="E35" s="105">
        <v>74.930000000000007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219.03</v>
      </c>
      <c r="E37" s="105">
        <v>800.07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/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-2355.7800000000002</v>
      </c>
      <c r="E40" s="128">
        <v>8091.96</v>
      </c>
      <c r="G40" s="84"/>
    </row>
    <row r="41" spans="2:10" ht="13.5" thickBot="1">
      <c r="B41" s="129" t="s">
        <v>37</v>
      </c>
      <c r="C41" s="130" t="s">
        <v>38</v>
      </c>
      <c r="D41" s="131">
        <v>51142</v>
      </c>
      <c r="E41" s="181">
        <f>E26+E27+E40</f>
        <v>56145.38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/>
      <c r="E47" s="185">
        <v>291.65667000000002</v>
      </c>
      <c r="G47" s="79"/>
    </row>
    <row r="48" spans="2:10">
      <c r="B48" s="154" t="s">
        <v>6</v>
      </c>
      <c r="C48" s="23" t="s">
        <v>41</v>
      </c>
      <c r="D48" s="264">
        <v>291.65667000000002</v>
      </c>
      <c r="E48" s="185">
        <v>275.98002000000002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/>
      <c r="E50" s="185">
        <v>175.35</v>
      </c>
    </row>
    <row r="51" spans="2:5">
      <c r="B51" s="133" t="s">
        <v>6</v>
      </c>
      <c r="C51" s="16" t="s">
        <v>231</v>
      </c>
      <c r="D51" s="267">
        <v>167.24</v>
      </c>
      <c r="E51" s="85">
        <v>161.01</v>
      </c>
    </row>
    <row r="52" spans="2:5">
      <c r="B52" s="133" t="s">
        <v>8</v>
      </c>
      <c r="C52" s="16" t="s">
        <v>232</v>
      </c>
      <c r="D52" s="267">
        <v>190.1</v>
      </c>
      <c r="E52" s="85">
        <v>203.44</v>
      </c>
    </row>
    <row r="53" spans="2:5" ht="14.25" customHeight="1" thickBot="1">
      <c r="B53" s="134" t="s">
        <v>9</v>
      </c>
      <c r="C53" s="18" t="s">
        <v>41</v>
      </c>
      <c r="D53" s="268">
        <v>175.35</v>
      </c>
      <c r="E53" s="187">
        <v>203.44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56145.38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56145.38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56145.38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56145.38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211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16003026.24</v>
      </c>
      <c r="E11" s="9">
        <f>E12</f>
        <v>8888225.0800000001</v>
      </c>
    </row>
    <row r="12" spans="2:7">
      <c r="B12" s="137" t="s">
        <v>4</v>
      </c>
      <c r="C12" s="6" t="s">
        <v>5</v>
      </c>
      <c r="D12" s="90">
        <v>16003026.24</v>
      </c>
      <c r="E12" s="101">
        <v>8888225.0800000001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16003026.24</v>
      </c>
      <c r="E21" s="181">
        <f>E11</f>
        <v>8888225.0800000001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10332593.869999999</v>
      </c>
      <c r="E26" s="123">
        <v>16003026.24</v>
      </c>
      <c r="G26" s="84"/>
    </row>
    <row r="27" spans="2:10">
      <c r="B27" s="10" t="s">
        <v>17</v>
      </c>
      <c r="C27" s="11" t="s">
        <v>228</v>
      </c>
      <c r="D27" s="182">
        <v>5657381.7400000002</v>
      </c>
      <c r="E27" s="180">
        <f>E28-E32</f>
        <v>-6395909.1399999997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12079965.960000001</v>
      </c>
      <c r="E28" s="81">
        <f>SUM(E29:E31)</f>
        <v>441780.45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6501334.4000000004</v>
      </c>
      <c r="E29" s="105">
        <v>7000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5578631.5599999996</v>
      </c>
      <c r="E31" s="105">
        <v>434780.45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6422584.2199999997</v>
      </c>
      <c r="E32" s="81">
        <f>SUM(E33:E39)</f>
        <v>6837689.5899999999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1399885.52</v>
      </c>
      <c r="E33" s="105">
        <v>2476075.4900000002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15457.47</v>
      </c>
      <c r="E35" s="105">
        <v>71942.36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236900.72</v>
      </c>
      <c r="E37" s="105">
        <v>167035.01999999999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4770340.51</v>
      </c>
      <c r="E39" s="184">
        <v>4122636.72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13050.63</v>
      </c>
      <c r="E40" s="128">
        <v>-718892.02</v>
      </c>
      <c r="G40" s="84"/>
    </row>
    <row r="41" spans="2:10" ht="13.5" thickBot="1">
      <c r="B41" s="129" t="s">
        <v>37</v>
      </c>
      <c r="C41" s="130" t="s">
        <v>38</v>
      </c>
      <c r="D41" s="131">
        <v>16003026.24</v>
      </c>
      <c r="E41" s="181">
        <f>E26+E27+E40</f>
        <v>8888225.0800000019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68971.322820000001</v>
      </c>
      <c r="E47" s="185">
        <v>101891.16415</v>
      </c>
      <c r="G47" s="79"/>
    </row>
    <row r="48" spans="2:10">
      <c r="B48" s="154" t="s">
        <v>6</v>
      </c>
      <c r="C48" s="23" t="s">
        <v>41</v>
      </c>
      <c r="D48" s="264">
        <v>101891.16415</v>
      </c>
      <c r="E48" s="185">
        <v>56946.598409999999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149.81</v>
      </c>
      <c r="E50" s="185">
        <v>157.06</v>
      </c>
    </row>
    <row r="51" spans="2:5">
      <c r="B51" s="133" t="s">
        <v>6</v>
      </c>
      <c r="C51" s="16" t="s">
        <v>231</v>
      </c>
      <c r="D51" s="267">
        <v>145.5</v>
      </c>
      <c r="E51" s="85">
        <v>127.85000000000001</v>
      </c>
    </row>
    <row r="52" spans="2:5">
      <c r="B52" s="133" t="s">
        <v>8</v>
      </c>
      <c r="C52" s="16" t="s">
        <v>232</v>
      </c>
      <c r="D52" s="267">
        <v>181.49</v>
      </c>
      <c r="E52" s="85">
        <v>157.06</v>
      </c>
    </row>
    <row r="53" spans="2:5" ht="12.75" customHeight="1" thickBot="1">
      <c r="B53" s="134" t="s">
        <v>9</v>
      </c>
      <c r="C53" s="18" t="s">
        <v>41</v>
      </c>
      <c r="D53" s="268">
        <v>157.06</v>
      </c>
      <c r="E53" s="187">
        <v>156.08000000000001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8888225.0800000001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8888225.0800000001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8888225.0800000001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8888225.0800000001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G25" sqref="G2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209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17566935.25</v>
      </c>
      <c r="E11" s="9">
        <f>E12</f>
        <v>16734149.279999999</v>
      </c>
    </row>
    <row r="12" spans="2:7">
      <c r="B12" s="137" t="s">
        <v>4</v>
      </c>
      <c r="C12" s="6" t="s">
        <v>5</v>
      </c>
      <c r="D12" s="90">
        <v>17566935.25</v>
      </c>
      <c r="E12" s="101">
        <v>16734149.279999999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17566935.25</v>
      </c>
      <c r="E21" s="181">
        <f>E11</f>
        <v>16734149.279999999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18645677.16</v>
      </c>
      <c r="E26" s="123">
        <v>17566935.25</v>
      </c>
      <c r="G26" s="84"/>
    </row>
    <row r="27" spans="2:10">
      <c r="B27" s="10" t="s">
        <v>17</v>
      </c>
      <c r="C27" s="11" t="s">
        <v>228</v>
      </c>
      <c r="D27" s="182">
        <v>137226.47</v>
      </c>
      <c r="E27" s="180">
        <f>E28-E32</f>
        <v>-3625125.6600000011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8102539.8700000001</v>
      </c>
      <c r="E28" s="81">
        <f>SUM(E29:E31)</f>
        <v>8024705.8899999997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6956894.0899999999</v>
      </c>
      <c r="E29" s="105">
        <v>1256785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1145645.78</v>
      </c>
      <c r="E31" s="105">
        <v>6767920.8899999997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7965313.3999999994</v>
      </c>
      <c r="E32" s="81">
        <f>SUM(E33:E39)</f>
        <v>11649831.550000001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1773517</v>
      </c>
      <c r="E33" s="105">
        <v>4476463.7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14758.98</v>
      </c>
      <c r="E35" s="105">
        <v>51727.18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296411.90999999997</v>
      </c>
      <c r="E37" s="105">
        <v>290777.77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5880625.5099999998</v>
      </c>
      <c r="E39" s="184">
        <v>6830862.9000000004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-1215968.3799999999</v>
      </c>
      <c r="E40" s="128">
        <v>2792339.69</v>
      </c>
      <c r="G40" s="84"/>
    </row>
    <row r="41" spans="2:10" ht="13.5" thickBot="1">
      <c r="B41" s="129" t="s">
        <v>37</v>
      </c>
      <c r="C41" s="130" t="s">
        <v>38</v>
      </c>
      <c r="D41" s="131">
        <v>17566935.25</v>
      </c>
      <c r="E41" s="181">
        <f>E26+E27+E40</f>
        <v>16734149.279999999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119088.44067</v>
      </c>
      <c r="E47" s="185">
        <v>119340.59275</v>
      </c>
      <c r="G47" s="79"/>
    </row>
    <row r="48" spans="2:10">
      <c r="B48" s="154" t="s">
        <v>6</v>
      </c>
      <c r="C48" s="23" t="s">
        <v>41</v>
      </c>
      <c r="D48" s="264">
        <v>119340.59275</v>
      </c>
      <c r="E48" s="185">
        <v>98021.024380000003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156.57</v>
      </c>
      <c r="E50" s="185">
        <v>147.19999999999999</v>
      </c>
    </row>
    <row r="51" spans="2:5">
      <c r="B51" s="133" t="s">
        <v>6</v>
      </c>
      <c r="C51" s="16" t="s">
        <v>231</v>
      </c>
      <c r="D51" s="267">
        <v>145.46</v>
      </c>
      <c r="E51" s="185">
        <v>139.85</v>
      </c>
    </row>
    <row r="52" spans="2:5">
      <c r="B52" s="133" t="s">
        <v>8</v>
      </c>
      <c r="C52" s="16" t="s">
        <v>232</v>
      </c>
      <c r="D52" s="267">
        <v>162</v>
      </c>
      <c r="E52" s="85">
        <v>171.14</v>
      </c>
    </row>
    <row r="53" spans="2:5" ht="13.5" customHeight="1" thickBot="1">
      <c r="B53" s="134" t="s">
        <v>9</v>
      </c>
      <c r="C53" s="18" t="s">
        <v>41</v>
      </c>
      <c r="D53" s="268">
        <v>147.19999999999999</v>
      </c>
      <c r="E53" s="187">
        <v>170.72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16734149.279999999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16734149.279999999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16734149.279999999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16734149.279999999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H45" sqref="H4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210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  <c r="G10" s="79"/>
    </row>
    <row r="11" spans="2:7">
      <c r="B11" s="114" t="s">
        <v>3</v>
      </c>
      <c r="C11" s="159" t="s">
        <v>226</v>
      </c>
      <c r="D11" s="74">
        <v>29965977.789999999</v>
      </c>
      <c r="E11" s="9">
        <f>E12</f>
        <v>18684137.129999999</v>
      </c>
    </row>
    <row r="12" spans="2:7">
      <c r="B12" s="137" t="s">
        <v>4</v>
      </c>
      <c r="C12" s="6" t="s">
        <v>5</v>
      </c>
      <c r="D12" s="90">
        <v>29965977.789999999</v>
      </c>
      <c r="E12" s="101">
        <v>18684137.129999999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>
        <f>E19</f>
        <v>410560.61</v>
      </c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>
        <v>410560.61</v>
      </c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29965977.789999999</v>
      </c>
      <c r="E21" s="181">
        <f>E11-E17</f>
        <v>18273576.52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13202157.41</v>
      </c>
      <c r="E26" s="123">
        <v>29965977.789999999</v>
      </c>
      <c r="G26" s="84"/>
    </row>
    <row r="27" spans="2:10">
      <c r="B27" s="10" t="s">
        <v>17</v>
      </c>
      <c r="C27" s="11" t="s">
        <v>228</v>
      </c>
      <c r="D27" s="182">
        <v>17522011.59</v>
      </c>
      <c r="E27" s="180">
        <f>E28-E32</f>
        <v>-13195832.539999999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34339509.829999998</v>
      </c>
      <c r="E28" s="81">
        <f>SUM(E29:E31)</f>
        <v>3369502.81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21667816.280000001</v>
      </c>
      <c r="E29" s="105">
        <v>86775</v>
      </c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12671693.550000001</v>
      </c>
      <c r="E31" s="105">
        <v>3282727.81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16817498.239999998</v>
      </c>
      <c r="E32" s="81">
        <f>SUM(E33:E39)</f>
        <v>16565335.35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1888712.58</v>
      </c>
      <c r="E33" s="105">
        <v>11769796.529999999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14311.66</v>
      </c>
      <c r="E35" s="105">
        <v>40861.85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428323.1</v>
      </c>
      <c r="E37" s="105">
        <v>360013.46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14486150.9</v>
      </c>
      <c r="E39" s="184">
        <v>4394663.51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-758191.21</v>
      </c>
      <c r="E40" s="128">
        <v>1503431.27</v>
      </c>
      <c r="G40" s="84"/>
    </row>
    <row r="41" spans="2:10" ht="13.5" thickBot="1">
      <c r="B41" s="129" t="s">
        <v>37</v>
      </c>
      <c r="C41" s="130" t="s">
        <v>38</v>
      </c>
      <c r="D41" s="131">
        <v>29965977.789999999</v>
      </c>
      <c r="E41" s="181">
        <f>E26+E27+E40</f>
        <v>18273576.52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70577.127170000007</v>
      </c>
      <c r="E47" s="185">
        <v>151572.97820000001</v>
      </c>
      <c r="G47" s="79"/>
    </row>
    <row r="48" spans="2:10">
      <c r="B48" s="154" t="s">
        <v>6</v>
      </c>
      <c r="C48" s="23" t="s">
        <v>41</v>
      </c>
      <c r="D48" s="264">
        <v>151572.97820000001</v>
      </c>
      <c r="E48" s="185">
        <v>82986.269400000005</v>
      </c>
      <c r="G48" s="311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187.06</v>
      </c>
      <c r="E50" s="185">
        <v>197.7</v>
      </c>
    </row>
    <row r="51" spans="2:5">
      <c r="B51" s="133" t="s">
        <v>6</v>
      </c>
      <c r="C51" s="16" t="s">
        <v>231</v>
      </c>
      <c r="D51" s="267">
        <v>180.67</v>
      </c>
      <c r="E51" s="85">
        <v>164.93</v>
      </c>
    </row>
    <row r="52" spans="2:5">
      <c r="B52" s="133" t="s">
        <v>8</v>
      </c>
      <c r="C52" s="16" t="s">
        <v>232</v>
      </c>
      <c r="D52" s="267">
        <v>220.1</v>
      </c>
      <c r="E52" s="85">
        <v>225.13</v>
      </c>
    </row>
    <row r="53" spans="2:5" ht="13.5" customHeight="1" thickBot="1">
      <c r="B53" s="134" t="s">
        <v>9</v>
      </c>
      <c r="C53" s="18" t="s">
        <v>41</v>
      </c>
      <c r="D53" s="268">
        <v>197.7</v>
      </c>
      <c r="E53" s="187">
        <v>220.2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6.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18684137.129999999</v>
      </c>
      <c r="E58" s="33">
        <f>D58/E21</f>
        <v>1.0224674468925472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3.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E12</f>
        <v>18684137.129999999</v>
      </c>
      <c r="E64" s="97">
        <f>E58</f>
        <v>1.0224674468925472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f>E17</f>
        <v>410560.61</v>
      </c>
      <c r="E73" s="27">
        <f>D73/E21</f>
        <v>2.2467446892547337E-2</v>
      </c>
    </row>
    <row r="74" spans="2:5">
      <c r="B74" s="162" t="s">
        <v>64</v>
      </c>
      <c r="C74" s="152" t="s">
        <v>66</v>
      </c>
      <c r="D74" s="153">
        <f>D58-D73</f>
        <v>18273576.52</v>
      </c>
      <c r="E74" s="70">
        <f>E58+E72-E73</f>
        <v>0.99999999999999989</v>
      </c>
    </row>
    <row r="75" spans="2:5">
      <c r="B75" s="133" t="s">
        <v>4</v>
      </c>
      <c r="C75" s="16" t="s">
        <v>67</v>
      </c>
      <c r="D75" s="94">
        <f>D74</f>
        <v>18273576.52</v>
      </c>
      <c r="E75" s="95">
        <f>E74</f>
        <v>0.99999999999999989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dimension ref="A1:J81"/>
  <sheetViews>
    <sheetView zoomScaleNormal="100" workbookViewId="0">
      <selection activeCell="J78" sqref="J7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212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9542962.4499999993</v>
      </c>
      <c r="E11" s="9">
        <f>E12</f>
        <v>6086818.46</v>
      </c>
    </row>
    <row r="12" spans="2:7">
      <c r="B12" s="137" t="s">
        <v>4</v>
      </c>
      <c r="C12" s="6" t="s">
        <v>5</v>
      </c>
      <c r="D12" s="90">
        <v>9542962.4499999993</v>
      </c>
      <c r="E12" s="101">
        <v>6086818.46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9542962.4499999993</v>
      </c>
      <c r="E21" s="181">
        <f>E11</f>
        <v>6086818.46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321114.34999999998</v>
      </c>
      <c r="E26" s="123">
        <v>9542962.4499999993</v>
      </c>
      <c r="G26" s="84"/>
    </row>
    <row r="27" spans="2:10">
      <c r="B27" s="10" t="s">
        <v>17</v>
      </c>
      <c r="C27" s="11" t="s">
        <v>228</v>
      </c>
      <c r="D27" s="182">
        <v>9200626.0600000005</v>
      </c>
      <c r="E27" s="108">
        <f>E28-E32</f>
        <v>-2571283.5900000003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10724560.35</v>
      </c>
      <c r="E28" s="81">
        <f>SUM(E29:E31)</f>
        <v>1655255.27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6140404.79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>
        <v>4584155.5599999996</v>
      </c>
      <c r="E31" s="105">
        <v>1655255.27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1523934.29</v>
      </c>
      <c r="E32" s="81">
        <f>SUM(E33:E39)</f>
        <v>4226538.8600000003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389703.24</v>
      </c>
      <c r="E33" s="105">
        <v>1290020.94</v>
      </c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2389.48</v>
      </c>
      <c r="E35" s="105">
        <v>18008.04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82833.38</v>
      </c>
      <c r="E37" s="105">
        <v>89382.05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1049008.19</v>
      </c>
      <c r="E39" s="106">
        <v>2829127.83</v>
      </c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21222.04</v>
      </c>
      <c r="E40" s="128">
        <v>-884860.4</v>
      </c>
      <c r="G40" s="84"/>
    </row>
    <row r="41" spans="2:10" ht="13.5" thickBot="1">
      <c r="B41" s="129" t="s">
        <v>37</v>
      </c>
      <c r="C41" s="130" t="s">
        <v>38</v>
      </c>
      <c r="D41" s="131">
        <v>9542962.4499999993</v>
      </c>
      <c r="E41" s="104">
        <f>E26+E27+E40</f>
        <v>6086818.459999999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1835.6734300000001</v>
      </c>
      <c r="E47" s="185">
        <v>50047.00258</v>
      </c>
      <c r="G47" s="79"/>
    </row>
    <row r="48" spans="2:10">
      <c r="B48" s="154" t="s">
        <v>6</v>
      </c>
      <c r="C48" s="23" t="s">
        <v>41</v>
      </c>
      <c r="D48" s="264">
        <v>50047.00258</v>
      </c>
      <c r="E48" s="185">
        <v>34178.328130000002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174.93</v>
      </c>
      <c r="E50" s="185">
        <v>190.68</v>
      </c>
    </row>
    <row r="51" spans="2:5">
      <c r="B51" s="133" t="s">
        <v>6</v>
      </c>
      <c r="C51" s="16" t="s">
        <v>231</v>
      </c>
      <c r="D51" s="267">
        <v>167.36</v>
      </c>
      <c r="E51" s="85">
        <v>139.80000000000001</v>
      </c>
    </row>
    <row r="52" spans="2:5">
      <c r="B52" s="133" t="s">
        <v>8</v>
      </c>
      <c r="C52" s="16" t="s">
        <v>232</v>
      </c>
      <c r="D52" s="267">
        <v>207.67</v>
      </c>
      <c r="E52" s="85">
        <v>190.68</v>
      </c>
    </row>
    <row r="53" spans="2:5" ht="12.75" customHeight="1" thickBot="1">
      <c r="B53" s="134" t="s">
        <v>9</v>
      </c>
      <c r="C53" s="18" t="s">
        <v>41</v>
      </c>
      <c r="D53" s="268">
        <v>190.68</v>
      </c>
      <c r="E53" s="187">
        <v>178.09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7.2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6086818.46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 ht="12.75" customHeight="1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6086818.46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6086818.46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6086818.46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>
  <dimension ref="A1:J81"/>
  <sheetViews>
    <sheetView workbookViewId="0">
      <selection activeCell="I81" sqref="I8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0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336" t="s">
        <v>0</v>
      </c>
      <c r="C2" s="336"/>
      <c r="D2" s="336"/>
      <c r="E2" s="336"/>
    </row>
    <row r="3" spans="2:7" ht="15.75">
      <c r="B3" s="336" t="s">
        <v>258</v>
      </c>
      <c r="C3" s="336"/>
      <c r="D3" s="336"/>
      <c r="E3" s="336"/>
    </row>
    <row r="4" spans="2:7" ht="15">
      <c r="B4" s="170"/>
      <c r="C4" s="170"/>
      <c r="D4" s="170"/>
      <c r="E4" s="170"/>
    </row>
    <row r="5" spans="2:7" ht="21" customHeight="1">
      <c r="B5" s="337" t="s">
        <v>1</v>
      </c>
      <c r="C5" s="337"/>
      <c r="D5" s="337"/>
      <c r="E5" s="337"/>
    </row>
    <row r="6" spans="2:7" ht="14.25">
      <c r="B6" s="338" t="s">
        <v>214</v>
      </c>
      <c r="C6" s="338"/>
      <c r="D6" s="338"/>
      <c r="E6" s="338"/>
    </row>
    <row r="7" spans="2:7" ht="14.25">
      <c r="B7" s="168"/>
      <c r="C7" s="168"/>
      <c r="D7" s="168"/>
      <c r="E7" s="168"/>
    </row>
    <row r="8" spans="2:7" ht="13.5">
      <c r="B8" s="340" t="s">
        <v>18</v>
      </c>
      <c r="C8" s="342"/>
      <c r="D8" s="342"/>
      <c r="E8" s="342"/>
    </row>
    <row r="9" spans="2:7" ht="16.5" thickBot="1">
      <c r="B9" s="339" t="s">
        <v>220</v>
      </c>
      <c r="C9" s="339"/>
      <c r="D9" s="339"/>
      <c r="E9" s="339"/>
    </row>
    <row r="10" spans="2:7" ht="13.5" thickBot="1">
      <c r="B10" s="169"/>
      <c r="C10" s="88" t="s">
        <v>2</v>
      </c>
      <c r="D10" s="75" t="s">
        <v>215</v>
      </c>
      <c r="E10" s="30" t="s">
        <v>259</v>
      </c>
    </row>
    <row r="11" spans="2:7">
      <c r="B11" s="114" t="s">
        <v>3</v>
      </c>
      <c r="C11" s="159" t="s">
        <v>226</v>
      </c>
      <c r="D11" s="74">
        <v>65904.72</v>
      </c>
      <c r="E11" s="9">
        <f>E12</f>
        <v>1347168.74</v>
      </c>
    </row>
    <row r="12" spans="2:7">
      <c r="B12" s="137" t="s">
        <v>4</v>
      </c>
      <c r="C12" s="6" t="s">
        <v>5</v>
      </c>
      <c r="D12" s="90">
        <v>65904.72</v>
      </c>
      <c r="E12" s="101">
        <v>1347168.74</v>
      </c>
    </row>
    <row r="13" spans="2:7">
      <c r="B13" s="137" t="s">
        <v>6</v>
      </c>
      <c r="C13" s="72" t="s">
        <v>7</v>
      </c>
      <c r="D13" s="90"/>
      <c r="E13" s="101"/>
    </row>
    <row r="14" spans="2:7">
      <c r="B14" s="137" t="s">
        <v>8</v>
      </c>
      <c r="C14" s="72" t="s">
        <v>10</v>
      </c>
      <c r="D14" s="90"/>
      <c r="E14" s="101"/>
      <c r="G14" s="71"/>
    </row>
    <row r="15" spans="2:7">
      <c r="B15" s="137" t="s">
        <v>223</v>
      </c>
      <c r="C15" s="72" t="s">
        <v>11</v>
      </c>
      <c r="D15" s="90"/>
      <c r="E15" s="101"/>
    </row>
    <row r="16" spans="2:7">
      <c r="B16" s="138" t="s">
        <v>224</v>
      </c>
      <c r="C16" s="115" t="s">
        <v>12</v>
      </c>
      <c r="D16" s="91"/>
      <c r="E16" s="102"/>
    </row>
    <row r="17" spans="2:10">
      <c r="B17" s="10" t="s">
        <v>13</v>
      </c>
      <c r="C17" s="12" t="s">
        <v>65</v>
      </c>
      <c r="D17" s="160"/>
      <c r="E17" s="117"/>
    </row>
    <row r="18" spans="2:10">
      <c r="B18" s="137" t="s">
        <v>4</v>
      </c>
      <c r="C18" s="6" t="s">
        <v>11</v>
      </c>
      <c r="D18" s="90"/>
      <c r="E18" s="102"/>
    </row>
    <row r="19" spans="2:10" ht="13.5" customHeight="1">
      <c r="B19" s="137" t="s">
        <v>6</v>
      </c>
      <c r="C19" s="72" t="s">
        <v>225</v>
      </c>
      <c r="D19" s="90"/>
      <c r="E19" s="101"/>
    </row>
    <row r="20" spans="2:10" ht="13.5" thickBot="1">
      <c r="B20" s="139" t="s">
        <v>8</v>
      </c>
      <c r="C20" s="73" t="s">
        <v>14</v>
      </c>
      <c r="D20" s="92"/>
      <c r="E20" s="103"/>
    </row>
    <row r="21" spans="2:10" ht="13.5" thickBot="1">
      <c r="B21" s="346" t="s">
        <v>227</v>
      </c>
      <c r="C21" s="347"/>
      <c r="D21" s="93">
        <f>D11</f>
        <v>65904.72</v>
      </c>
      <c r="E21" s="181">
        <f>E11</f>
        <v>1347168.74</v>
      </c>
      <c r="F21" s="89"/>
      <c r="G21" s="89"/>
      <c r="H21" s="212"/>
    </row>
    <row r="22" spans="2:10">
      <c r="B22" s="3"/>
      <c r="C22" s="7"/>
      <c r="D22" s="8"/>
      <c r="E22" s="8"/>
      <c r="G22" s="79"/>
    </row>
    <row r="23" spans="2:10" ht="13.5">
      <c r="B23" s="340" t="s">
        <v>221</v>
      </c>
      <c r="C23" s="348"/>
      <c r="D23" s="348"/>
      <c r="E23" s="348"/>
      <c r="G23" s="79"/>
    </row>
    <row r="24" spans="2:10" ht="15.75" customHeight="1" thickBot="1">
      <c r="B24" s="339" t="s">
        <v>222</v>
      </c>
      <c r="C24" s="349"/>
      <c r="D24" s="349"/>
      <c r="E24" s="349"/>
    </row>
    <row r="25" spans="2:10" ht="13.5" thickBot="1">
      <c r="B25" s="169"/>
      <c r="C25" s="5" t="s">
        <v>2</v>
      </c>
      <c r="D25" s="75" t="s">
        <v>215</v>
      </c>
      <c r="E25" s="30" t="s">
        <v>259</v>
      </c>
    </row>
    <row r="26" spans="2:10">
      <c r="B26" s="120" t="s">
        <v>15</v>
      </c>
      <c r="C26" s="121" t="s">
        <v>16</v>
      </c>
      <c r="D26" s="122">
        <v>1257136.43</v>
      </c>
      <c r="E26" s="123">
        <f>D21</f>
        <v>65904.72</v>
      </c>
      <c r="G26" s="84"/>
    </row>
    <row r="27" spans="2:10">
      <c r="B27" s="10" t="s">
        <v>17</v>
      </c>
      <c r="C27" s="11" t="s">
        <v>228</v>
      </c>
      <c r="D27" s="182">
        <v>-1237806.9700000002</v>
      </c>
      <c r="E27" s="180">
        <f>E28-E32</f>
        <v>1328036.8</v>
      </c>
      <c r="F27" s="79"/>
      <c r="G27" s="84"/>
      <c r="H27" s="79"/>
      <c r="I27" s="79"/>
      <c r="J27" s="84"/>
    </row>
    <row r="28" spans="2:10">
      <c r="B28" s="10" t="s">
        <v>18</v>
      </c>
      <c r="C28" s="11" t="s">
        <v>19</v>
      </c>
      <c r="D28" s="182">
        <v>104000</v>
      </c>
      <c r="E28" s="81">
        <f>SUM(E29:E31)</f>
        <v>1338636.96</v>
      </c>
      <c r="F28" s="79"/>
      <c r="G28" s="79"/>
      <c r="H28" s="79"/>
      <c r="I28" s="79"/>
      <c r="J28" s="84"/>
    </row>
    <row r="29" spans="2:10">
      <c r="B29" s="135" t="s">
        <v>4</v>
      </c>
      <c r="C29" s="6" t="s">
        <v>20</v>
      </c>
      <c r="D29" s="183">
        <v>104000</v>
      </c>
      <c r="E29" s="105"/>
      <c r="F29" s="79"/>
      <c r="G29" s="79"/>
      <c r="H29" s="79"/>
      <c r="I29" s="79"/>
      <c r="J29" s="84"/>
    </row>
    <row r="30" spans="2:10">
      <c r="B30" s="135" t="s">
        <v>6</v>
      </c>
      <c r="C30" s="6" t="s">
        <v>21</v>
      </c>
      <c r="D30" s="183"/>
      <c r="E30" s="105"/>
      <c r="F30" s="79"/>
      <c r="G30" s="79"/>
      <c r="H30" s="79"/>
      <c r="I30" s="79"/>
      <c r="J30" s="84"/>
    </row>
    <row r="31" spans="2:10">
      <c r="B31" s="135" t="s">
        <v>8</v>
      </c>
      <c r="C31" s="6" t="s">
        <v>22</v>
      </c>
      <c r="D31" s="183"/>
      <c r="E31" s="105">
        <v>1338636.96</v>
      </c>
      <c r="F31" s="79"/>
      <c r="G31" s="79"/>
      <c r="H31" s="79"/>
      <c r="I31" s="79"/>
      <c r="J31" s="84"/>
    </row>
    <row r="32" spans="2:10">
      <c r="B32" s="116" t="s">
        <v>23</v>
      </c>
      <c r="C32" s="12" t="s">
        <v>24</v>
      </c>
      <c r="D32" s="182">
        <v>1341806.9700000002</v>
      </c>
      <c r="E32" s="81">
        <f>SUM(E33:E39)</f>
        <v>10600.16</v>
      </c>
      <c r="F32" s="79"/>
      <c r="G32" s="84"/>
      <c r="H32" s="79"/>
      <c r="I32" s="79"/>
      <c r="J32" s="84"/>
    </row>
    <row r="33" spans="2:10">
      <c r="B33" s="135" t="s">
        <v>4</v>
      </c>
      <c r="C33" s="6" t="s">
        <v>25</v>
      </c>
      <c r="D33" s="183">
        <v>341690.03</v>
      </c>
      <c r="E33" s="105"/>
      <c r="F33" s="79"/>
      <c r="G33" s="79"/>
      <c r="H33" s="79"/>
      <c r="I33" s="79"/>
      <c r="J33" s="84"/>
    </row>
    <row r="34" spans="2:10">
      <c r="B34" s="135" t="s">
        <v>6</v>
      </c>
      <c r="C34" s="6" t="s">
        <v>26</v>
      </c>
      <c r="D34" s="183"/>
      <c r="E34" s="105"/>
      <c r="F34" s="79"/>
      <c r="G34" s="79"/>
      <c r="H34" s="79"/>
      <c r="I34" s="79"/>
      <c r="J34" s="84"/>
    </row>
    <row r="35" spans="2:10">
      <c r="B35" s="135" t="s">
        <v>8</v>
      </c>
      <c r="C35" s="6" t="s">
        <v>27</v>
      </c>
      <c r="D35" s="183">
        <v>314.7</v>
      </c>
      <c r="E35" s="105">
        <v>2429.56</v>
      </c>
      <c r="F35" s="79"/>
      <c r="G35" s="79"/>
      <c r="H35" s="79"/>
      <c r="I35" s="79"/>
      <c r="J35" s="84"/>
    </row>
    <row r="36" spans="2:10">
      <c r="B36" s="135" t="s">
        <v>9</v>
      </c>
      <c r="C36" s="6" t="s">
        <v>28</v>
      </c>
      <c r="D36" s="183"/>
      <c r="E36" s="105"/>
      <c r="F36" s="79"/>
      <c r="G36" s="79"/>
      <c r="H36" s="79"/>
      <c r="I36" s="79"/>
      <c r="J36" s="84"/>
    </row>
    <row r="37" spans="2:10" ht="25.5">
      <c r="B37" s="135" t="s">
        <v>29</v>
      </c>
      <c r="C37" s="6" t="s">
        <v>30</v>
      </c>
      <c r="D37" s="183">
        <v>9480.7000000000007</v>
      </c>
      <c r="E37" s="105">
        <v>8170.6</v>
      </c>
      <c r="F37" s="79"/>
      <c r="G37" s="79"/>
      <c r="H37" s="79"/>
      <c r="I37" s="79"/>
      <c r="J37" s="84"/>
    </row>
    <row r="38" spans="2:10">
      <c r="B38" s="135" t="s">
        <v>31</v>
      </c>
      <c r="C38" s="6" t="s">
        <v>32</v>
      </c>
      <c r="D38" s="183"/>
      <c r="E38" s="105"/>
      <c r="F38" s="79"/>
      <c r="G38" s="79"/>
      <c r="H38" s="79"/>
      <c r="I38" s="79"/>
      <c r="J38" s="84"/>
    </row>
    <row r="39" spans="2:10">
      <c r="B39" s="136" t="s">
        <v>33</v>
      </c>
      <c r="C39" s="13" t="s">
        <v>34</v>
      </c>
      <c r="D39" s="124">
        <v>990321.54</v>
      </c>
      <c r="E39" s="184"/>
      <c r="F39" s="79"/>
      <c r="G39" s="79"/>
      <c r="H39" s="79"/>
      <c r="I39" s="79"/>
      <c r="J39" s="84"/>
    </row>
    <row r="40" spans="2:10" ht="13.5" thickBot="1">
      <c r="B40" s="125" t="s">
        <v>35</v>
      </c>
      <c r="C40" s="126" t="s">
        <v>36</v>
      </c>
      <c r="D40" s="127">
        <v>46575.26</v>
      </c>
      <c r="E40" s="128">
        <v>-46772.78</v>
      </c>
      <c r="G40" s="84"/>
    </row>
    <row r="41" spans="2:10" ht="13.5" thickBot="1">
      <c r="B41" s="129" t="s">
        <v>37</v>
      </c>
      <c r="C41" s="130" t="s">
        <v>38</v>
      </c>
      <c r="D41" s="131">
        <v>65904.719999999739</v>
      </c>
      <c r="E41" s="181">
        <f>E26+E27+E40</f>
        <v>1347168.74</v>
      </c>
      <c r="F41" s="89"/>
      <c r="G41" s="84"/>
    </row>
    <row r="42" spans="2:10">
      <c r="B42" s="118"/>
      <c r="C42" s="118"/>
      <c r="D42" s="119"/>
      <c r="E42" s="119"/>
      <c r="F42" s="89"/>
      <c r="G42" s="71"/>
    </row>
    <row r="43" spans="2:10" ht="13.5">
      <c r="B43" s="341" t="s">
        <v>60</v>
      </c>
      <c r="C43" s="342"/>
      <c r="D43" s="342"/>
      <c r="E43" s="342"/>
      <c r="G43" s="79"/>
    </row>
    <row r="44" spans="2:10" ht="18" customHeight="1" thickBot="1">
      <c r="B44" s="339" t="s">
        <v>256</v>
      </c>
      <c r="C44" s="343"/>
      <c r="D44" s="343"/>
      <c r="E44" s="343"/>
      <c r="G44" s="79"/>
    </row>
    <row r="45" spans="2:10" ht="13.5" thickBot="1">
      <c r="B45" s="169"/>
      <c r="C45" s="31" t="s">
        <v>39</v>
      </c>
      <c r="D45" s="75" t="s">
        <v>215</v>
      </c>
      <c r="E45" s="30" t="s">
        <v>259</v>
      </c>
      <c r="G45" s="79"/>
    </row>
    <row r="46" spans="2:10">
      <c r="B46" s="14" t="s">
        <v>18</v>
      </c>
      <c r="C46" s="32" t="s">
        <v>229</v>
      </c>
      <c r="D46" s="132"/>
      <c r="E46" s="29"/>
      <c r="G46" s="79"/>
    </row>
    <row r="47" spans="2:10">
      <c r="B47" s="133" t="s">
        <v>4</v>
      </c>
      <c r="C47" s="16" t="s">
        <v>40</v>
      </c>
      <c r="D47" s="263">
        <v>10941.135200000001</v>
      </c>
      <c r="E47" s="185">
        <v>627.12644999999998</v>
      </c>
      <c r="G47" s="79"/>
    </row>
    <row r="48" spans="2:10">
      <c r="B48" s="154" t="s">
        <v>6</v>
      </c>
      <c r="C48" s="23" t="s">
        <v>41</v>
      </c>
      <c r="D48" s="264">
        <v>627.12644999999998</v>
      </c>
      <c r="E48" s="185">
        <v>12668.504209999999</v>
      </c>
      <c r="G48" s="79"/>
    </row>
    <row r="49" spans="2:5">
      <c r="B49" s="151" t="s">
        <v>23</v>
      </c>
      <c r="C49" s="155" t="s">
        <v>230</v>
      </c>
      <c r="D49" s="266"/>
      <c r="E49" s="185"/>
    </row>
    <row r="50" spans="2:5">
      <c r="B50" s="133" t="s">
        <v>4</v>
      </c>
      <c r="C50" s="16" t="s">
        <v>40</v>
      </c>
      <c r="D50" s="263">
        <v>114.9</v>
      </c>
      <c r="E50" s="185">
        <v>105.09</v>
      </c>
    </row>
    <row r="51" spans="2:5">
      <c r="B51" s="133" t="s">
        <v>6</v>
      </c>
      <c r="C51" s="16" t="s">
        <v>231</v>
      </c>
      <c r="D51" s="267">
        <v>96.87</v>
      </c>
      <c r="E51" s="85">
        <v>92.95</v>
      </c>
    </row>
    <row r="52" spans="2:5">
      <c r="B52" s="133" t="s">
        <v>8</v>
      </c>
      <c r="C52" s="16" t="s">
        <v>232</v>
      </c>
      <c r="D52" s="267">
        <v>129.59</v>
      </c>
      <c r="E52" s="85">
        <v>114.73</v>
      </c>
    </row>
    <row r="53" spans="2:5" ht="13.5" customHeight="1" thickBot="1">
      <c r="B53" s="134" t="s">
        <v>9</v>
      </c>
      <c r="C53" s="18" t="s">
        <v>41</v>
      </c>
      <c r="D53" s="268">
        <v>105.09</v>
      </c>
      <c r="E53" s="187">
        <v>106.34</v>
      </c>
    </row>
    <row r="54" spans="2:5">
      <c r="B54" s="140"/>
      <c r="C54" s="141"/>
      <c r="D54" s="142"/>
      <c r="E54" s="142"/>
    </row>
    <row r="55" spans="2:5" ht="13.5">
      <c r="B55" s="341" t="s">
        <v>62</v>
      </c>
      <c r="C55" s="342"/>
      <c r="D55" s="342"/>
      <c r="E55" s="342"/>
    </row>
    <row r="56" spans="2:5" ht="15.75" customHeight="1" thickBot="1">
      <c r="B56" s="339" t="s">
        <v>233</v>
      </c>
      <c r="C56" s="343"/>
      <c r="D56" s="343"/>
      <c r="E56" s="343"/>
    </row>
    <row r="57" spans="2:5" ht="23.25" thickBot="1">
      <c r="B57" s="334" t="s">
        <v>42</v>
      </c>
      <c r="C57" s="335"/>
      <c r="D57" s="19" t="s">
        <v>257</v>
      </c>
      <c r="E57" s="20" t="s">
        <v>234</v>
      </c>
    </row>
    <row r="58" spans="2:5">
      <c r="B58" s="21" t="s">
        <v>18</v>
      </c>
      <c r="C58" s="157" t="s">
        <v>43</v>
      </c>
      <c r="D58" s="158">
        <f>D64</f>
        <v>1347168.74</v>
      </c>
      <c r="E58" s="33">
        <f>D58/E21</f>
        <v>1</v>
      </c>
    </row>
    <row r="59" spans="2:5" ht="25.5">
      <c r="B59" s="154" t="s">
        <v>4</v>
      </c>
      <c r="C59" s="23" t="s">
        <v>44</v>
      </c>
      <c r="D59" s="96">
        <v>0</v>
      </c>
      <c r="E59" s="97">
        <v>0</v>
      </c>
    </row>
    <row r="60" spans="2:5" ht="25.5">
      <c r="B60" s="133" t="s">
        <v>6</v>
      </c>
      <c r="C60" s="16" t="s">
        <v>45</v>
      </c>
      <c r="D60" s="94">
        <v>0</v>
      </c>
      <c r="E60" s="95">
        <v>0</v>
      </c>
    </row>
    <row r="61" spans="2:5">
      <c r="B61" s="133" t="s">
        <v>8</v>
      </c>
      <c r="C61" s="16" t="s">
        <v>46</v>
      </c>
      <c r="D61" s="94">
        <v>0</v>
      </c>
      <c r="E61" s="95">
        <v>0</v>
      </c>
    </row>
    <row r="62" spans="2:5">
      <c r="B62" s="133" t="s">
        <v>9</v>
      </c>
      <c r="C62" s="16" t="s">
        <v>47</v>
      </c>
      <c r="D62" s="94">
        <v>0</v>
      </c>
      <c r="E62" s="95">
        <v>0</v>
      </c>
    </row>
    <row r="63" spans="2:5">
      <c r="B63" s="133" t="s">
        <v>29</v>
      </c>
      <c r="C63" s="16" t="s">
        <v>48</v>
      </c>
      <c r="D63" s="94">
        <v>0</v>
      </c>
      <c r="E63" s="95">
        <v>0</v>
      </c>
    </row>
    <row r="64" spans="2:5">
      <c r="B64" s="154" t="s">
        <v>31</v>
      </c>
      <c r="C64" s="23" t="s">
        <v>49</v>
      </c>
      <c r="D64" s="96">
        <f>E21</f>
        <v>1347168.74</v>
      </c>
      <c r="E64" s="97">
        <f>E58</f>
        <v>1</v>
      </c>
    </row>
    <row r="65" spans="2:5">
      <c r="B65" s="154" t="s">
        <v>33</v>
      </c>
      <c r="C65" s="23" t="s">
        <v>235</v>
      </c>
      <c r="D65" s="96">
        <v>0</v>
      </c>
      <c r="E65" s="97">
        <v>0</v>
      </c>
    </row>
    <row r="66" spans="2:5">
      <c r="B66" s="154" t="s">
        <v>50</v>
      </c>
      <c r="C66" s="23" t="s">
        <v>51</v>
      </c>
      <c r="D66" s="96">
        <v>0</v>
      </c>
      <c r="E66" s="97">
        <v>0</v>
      </c>
    </row>
    <row r="67" spans="2:5">
      <c r="B67" s="133" t="s">
        <v>52</v>
      </c>
      <c r="C67" s="16" t="s">
        <v>53</v>
      </c>
      <c r="D67" s="94">
        <v>0</v>
      </c>
      <c r="E67" s="95">
        <v>0</v>
      </c>
    </row>
    <row r="68" spans="2:5">
      <c r="B68" s="133" t="s">
        <v>54</v>
      </c>
      <c r="C68" s="16" t="s">
        <v>55</v>
      </c>
      <c r="D68" s="94">
        <v>0</v>
      </c>
      <c r="E68" s="95">
        <v>0</v>
      </c>
    </row>
    <row r="69" spans="2:5">
      <c r="B69" s="133" t="s">
        <v>56</v>
      </c>
      <c r="C69" s="16" t="s">
        <v>57</v>
      </c>
      <c r="D69" s="94">
        <v>0</v>
      </c>
      <c r="E69" s="95">
        <v>0</v>
      </c>
    </row>
    <row r="70" spans="2:5">
      <c r="B70" s="161" t="s">
        <v>58</v>
      </c>
      <c r="C70" s="144" t="s">
        <v>59</v>
      </c>
      <c r="D70" s="145">
        <v>0</v>
      </c>
      <c r="E70" s="146">
        <v>0</v>
      </c>
    </row>
    <row r="71" spans="2:5">
      <c r="B71" s="162" t="s">
        <v>23</v>
      </c>
      <c r="C71" s="152" t="s">
        <v>61</v>
      </c>
      <c r="D71" s="153">
        <v>0</v>
      </c>
      <c r="E71" s="70">
        <v>0</v>
      </c>
    </row>
    <row r="72" spans="2:5">
      <c r="B72" s="163" t="s">
        <v>60</v>
      </c>
      <c r="C72" s="148" t="s">
        <v>63</v>
      </c>
      <c r="D72" s="149">
        <f>E14</f>
        <v>0</v>
      </c>
      <c r="E72" s="150">
        <v>0</v>
      </c>
    </row>
    <row r="73" spans="2:5">
      <c r="B73" s="164" t="s">
        <v>62</v>
      </c>
      <c r="C73" s="25" t="s">
        <v>65</v>
      </c>
      <c r="D73" s="26">
        <v>0</v>
      </c>
      <c r="E73" s="27">
        <v>0</v>
      </c>
    </row>
    <row r="74" spans="2:5">
      <c r="B74" s="162" t="s">
        <v>64</v>
      </c>
      <c r="C74" s="152" t="s">
        <v>66</v>
      </c>
      <c r="D74" s="153">
        <f>D58</f>
        <v>1347168.74</v>
      </c>
      <c r="E74" s="70">
        <f>E58+E72-E73</f>
        <v>1</v>
      </c>
    </row>
    <row r="75" spans="2:5">
      <c r="B75" s="133" t="s">
        <v>4</v>
      </c>
      <c r="C75" s="16" t="s">
        <v>67</v>
      </c>
      <c r="D75" s="94">
        <f>D74</f>
        <v>1347168.74</v>
      </c>
      <c r="E75" s="95">
        <f>E74</f>
        <v>1</v>
      </c>
    </row>
    <row r="76" spans="2:5">
      <c r="B76" s="133" t="s">
        <v>6</v>
      </c>
      <c r="C76" s="16" t="s">
        <v>236</v>
      </c>
      <c r="D76" s="94">
        <v>0</v>
      </c>
      <c r="E76" s="95">
        <v>0</v>
      </c>
    </row>
    <row r="77" spans="2:5" ht="13.5" thickBot="1">
      <c r="B77" s="134" t="s">
        <v>8</v>
      </c>
      <c r="C77" s="18" t="s">
        <v>237</v>
      </c>
      <c r="D77" s="98">
        <v>0</v>
      </c>
      <c r="E77" s="99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177</vt:i4>
      </vt:variant>
      <vt:variant>
        <vt:lpstr>Zakresy nazwane</vt:lpstr>
      </vt:variant>
      <vt:variant>
        <vt:i4>70</vt:i4>
      </vt:variant>
    </vt:vector>
  </HeadingPairs>
  <TitlesOfParts>
    <vt:vector size="247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ŚS</vt:lpstr>
      <vt:lpstr>Fundusz Pieniężny</vt:lpstr>
      <vt:lpstr>Fundusz Polskich Obl. Skarb.</vt:lpstr>
      <vt:lpstr>Fundusz Selektywny</vt:lpstr>
      <vt:lpstr>Fundusz Akcji Glob.</vt:lpstr>
      <vt:lpstr>Fundusz Obligacji Glob.</vt:lpstr>
      <vt:lpstr>Fundusz Energetyczny</vt:lpstr>
      <vt:lpstr>Portfel Aktywnej Alokacji</vt:lpstr>
      <vt:lpstr>Portfel Dynamiczny</vt:lpstr>
      <vt:lpstr>Portfel Stabilnego Wzrostu</vt:lpstr>
      <vt:lpstr>Portfel ARR</vt:lpstr>
      <vt:lpstr>Portfel ARW</vt:lpstr>
      <vt:lpstr>Portfel OZ</vt:lpstr>
      <vt:lpstr>Portfel OR</vt:lpstr>
      <vt:lpstr>Portfel SA</vt:lpstr>
      <vt:lpstr>Fundusz Konserwatywny</vt:lpstr>
      <vt:lpstr>Fundusz Zrównoważony</vt:lpstr>
      <vt:lpstr>Fundusz Aktywny</vt:lpstr>
      <vt:lpstr>Fundusz Międzynarodowy</vt:lpstr>
      <vt:lpstr>Fundusz Azjatycki</vt:lpstr>
      <vt:lpstr>Aktywny - Surowce i Nowe Gosp.</vt:lpstr>
      <vt:lpstr>Zabezpieczony - Dalekiego Wsch.</vt:lpstr>
      <vt:lpstr>Zaabezpieczony - Europy Wsch.</vt:lpstr>
      <vt:lpstr>Strategii Multiobligacyjnych</vt:lpstr>
      <vt:lpstr>Zabezpieczony - Rynku Polskiego</vt:lpstr>
      <vt:lpstr>INDEKS1</vt:lpstr>
      <vt:lpstr>INDEKS2</vt:lpstr>
      <vt:lpstr>Allianz Akcji</vt:lpstr>
      <vt:lpstr>Allianz Stabilnego Wzrostu</vt:lpstr>
      <vt:lpstr>Allianz Obligacji Plus</vt:lpstr>
      <vt:lpstr>Allianz Aktywnej Alokacji</vt:lpstr>
      <vt:lpstr>Allianz Akcji Małych i ŚS</vt:lpstr>
      <vt:lpstr>Allianz Pieniężny</vt:lpstr>
      <vt:lpstr>Allianz Polskich Obl.Skarb.</vt:lpstr>
      <vt:lpstr>Allianz Selektywny</vt:lpstr>
      <vt:lpstr>Allianz Akcji Glob.</vt:lpstr>
      <vt:lpstr>Allianz Surowców i Energii</vt:lpstr>
      <vt:lpstr>Allianz Akcji Azjatyckich</vt:lpstr>
      <vt:lpstr>Allianz Dyn.Multistrategia</vt:lpstr>
      <vt:lpstr>Allianz Def.Multistrategia</vt:lpstr>
      <vt:lpstr>Allianz Zbal.Multistrategia</vt:lpstr>
      <vt:lpstr>Allianz GSD</vt:lpstr>
      <vt:lpstr>Allianz SAOG</vt:lpstr>
      <vt:lpstr>Altus ASZD</vt:lpstr>
      <vt:lpstr>Altus ASZRP</vt:lpstr>
      <vt:lpstr>Aviva Dł.Pap.Korp.</vt:lpstr>
      <vt:lpstr>Aviva MS</vt:lpstr>
      <vt:lpstr>Aviva Obligacji Dyn.</vt:lpstr>
      <vt:lpstr>Aviva PA</vt:lpstr>
      <vt:lpstr>Franklin EDF</vt:lpstr>
      <vt:lpstr>Franklin GFS</vt:lpstr>
      <vt:lpstr>Franklin NR</vt:lpstr>
      <vt:lpstr>Franklin USO</vt:lpstr>
      <vt:lpstr>GS EMDP</vt:lpstr>
      <vt:lpstr>Inwestor Akcji</vt:lpstr>
      <vt:lpstr>Investor Akcji Sp.Dyw.</vt:lpstr>
      <vt:lpstr>Investor TOP 25 MS</vt:lpstr>
      <vt:lpstr>Investor Zrównoważony</vt:lpstr>
      <vt:lpstr>Investor Ameryka Łacińska</vt:lpstr>
      <vt:lpstr>Investor BRIC</vt:lpstr>
      <vt:lpstr>Investor Gold</vt:lpstr>
      <vt:lpstr>Investor Got.</vt:lpstr>
      <vt:lpstr>Investor Indie i Chiny</vt:lpstr>
      <vt:lpstr>Investor Turcja</vt:lpstr>
      <vt:lpstr>Investor ASW</vt:lpstr>
      <vt:lpstr>Investor OK</vt:lpstr>
      <vt:lpstr>Investor PL</vt:lpstr>
      <vt:lpstr>Investor ZE</vt:lpstr>
      <vt:lpstr>Ipopema A</vt:lpstr>
      <vt:lpstr>JPM EMO</vt:lpstr>
      <vt:lpstr>JPM GH</vt:lpstr>
      <vt:lpstr>JPM GSB</vt:lpstr>
      <vt:lpstr>Legg Mason Akcji</vt:lpstr>
      <vt:lpstr>Legg Mason Obligacji</vt:lpstr>
      <vt:lpstr>Legg Mason Pieniężny</vt:lpstr>
      <vt:lpstr>Legg Mason Strateg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NN Akcji</vt:lpstr>
      <vt:lpstr>NN Obligacji</vt:lpstr>
      <vt:lpstr>NN Selektywny</vt:lpstr>
      <vt:lpstr>NN AŚ</vt:lpstr>
      <vt:lpstr>NN ŚMS</vt:lpstr>
      <vt:lpstr>NN Eur.SD</vt:lpstr>
      <vt:lpstr>NN Glob. Długu Korp.</vt:lpstr>
      <vt:lpstr>NN Glob.SD</vt:lpstr>
      <vt:lpstr>NN J</vt:lpstr>
      <vt:lpstr>NN NA</vt:lpstr>
      <vt:lpstr>NN ORW</vt:lpstr>
      <vt:lpstr>NN Sp.Dyw.USA</vt:lpstr>
      <vt:lpstr>NN SGA</vt:lpstr>
      <vt:lpstr>NN SDRW</vt:lpstr>
      <vt:lpstr>Noble AMiŚS</vt:lpstr>
      <vt:lpstr>Noble A</vt:lpstr>
      <vt:lpstr>Pioneer ARW</vt:lpstr>
      <vt:lpstr>Pioneer AGD</vt:lpstr>
      <vt:lpstr>Pioneer OS</vt:lpstr>
      <vt:lpstr>Pioneer G</vt:lpstr>
      <vt:lpstr>Pioneer WDRE</vt:lpstr>
      <vt:lpstr>Pioneer Surowców i Energii</vt:lpstr>
      <vt:lpstr>Pioneer AP</vt:lpstr>
      <vt:lpstr>Pioneer DS</vt:lpstr>
      <vt:lpstr>Pioneer OP</vt:lpstr>
      <vt:lpstr>Pioneer P</vt:lpstr>
      <vt:lpstr>Pioneer P+</vt:lpstr>
      <vt:lpstr>Pioneer Stab.Inwest.</vt:lpstr>
      <vt:lpstr>Pioneer DA2</vt:lpstr>
      <vt:lpstr>Pioneer AS</vt:lpstr>
      <vt:lpstr>Pioneer AA</vt:lpstr>
      <vt:lpstr>Pioneer AE</vt:lpstr>
      <vt:lpstr>Pioneer SG</vt:lpstr>
      <vt:lpstr>Pioneer AMIŚSRR</vt:lpstr>
      <vt:lpstr>PKO Akcji Nowa Europa</vt:lpstr>
      <vt:lpstr>PKO Obligacji Dług.</vt:lpstr>
      <vt:lpstr>PKO Stabilnego Wzrostu</vt:lpstr>
      <vt:lpstr>PKO Zrównoważony</vt:lpstr>
      <vt:lpstr>PZU ASD</vt:lpstr>
      <vt:lpstr>PZU AK</vt:lpstr>
      <vt:lpstr>PZU AMiŚS</vt:lpstr>
      <vt:lpstr>PZU EME</vt:lpstr>
      <vt:lpstr>PZU Zrówn.</vt:lpstr>
      <vt:lpstr>PZU ARR</vt:lpstr>
      <vt:lpstr>PZU PDP</vt:lpstr>
      <vt:lpstr>PZU S+</vt:lpstr>
      <vt:lpstr>Quercus A</vt:lpstr>
      <vt:lpstr>Quercus G</vt:lpstr>
      <vt:lpstr>Quercus LEV</vt:lpstr>
      <vt:lpstr>Quercus OK</vt:lpstr>
      <vt:lpstr>Quercus R</vt:lpstr>
      <vt:lpstr>Quercus SEL</vt:lpstr>
      <vt:lpstr>Quercus Short</vt:lpstr>
      <vt:lpstr>Quercus Stab.</vt:lpstr>
      <vt:lpstr>Quercus T</vt:lpstr>
      <vt:lpstr>Schroder ISF ACB</vt:lpstr>
      <vt:lpstr>Schroder ISF AO</vt:lpstr>
      <vt:lpstr>Schroder ISF EMDAR</vt:lpstr>
      <vt:lpstr>Schroder ISF EE</vt:lpstr>
      <vt:lpstr>Schroder ISF FME</vt:lpstr>
      <vt:lpstr>Schroder ISF GDG</vt:lpstr>
      <vt:lpstr>Schroder ISF GHIB</vt:lpstr>
      <vt:lpstr>Skarbiec K</vt:lpstr>
      <vt:lpstr>Skarbiec L</vt:lpstr>
      <vt:lpstr>Skarbiec MIŚS</vt:lpstr>
      <vt:lpstr>Skarbiec SW</vt:lpstr>
      <vt:lpstr>Skarbiec MN</vt:lpstr>
      <vt:lpstr>Skarbiec A</vt:lpstr>
      <vt:lpstr>Skarbiec Brands</vt:lpstr>
      <vt:lpstr>Templeton AG</vt:lpstr>
      <vt:lpstr>Templeton BRIC</vt:lpstr>
      <vt:lpstr>Templeton GB</vt:lpstr>
      <vt:lpstr>Templeton GTR</vt:lpstr>
      <vt:lpstr>Templeton LA</vt:lpstr>
      <vt:lpstr>UniAkcje Dyw.</vt:lpstr>
      <vt:lpstr>Uni Akcje MIŚS</vt:lpstr>
      <vt:lpstr>UniAkcje Nowa Europa</vt:lpstr>
      <vt:lpstr>UniAkcje Wzrostu</vt:lpstr>
      <vt:lpstr>UniKorona Akcje</vt:lpstr>
      <vt:lpstr>UniKorona Obligacje</vt:lpstr>
      <vt:lpstr>UniKorona Pieniężny</vt:lpstr>
      <vt:lpstr>UniKorona Zrównoważony</vt:lpstr>
      <vt:lpstr>UniLokata</vt:lpstr>
      <vt:lpstr>UniObligacje Nowa Europa</vt:lpstr>
      <vt:lpstr>UniStabilny Wzrost</vt:lpstr>
      <vt:lpstr>UniObligacje Zamienne</vt:lpstr>
      <vt:lpstr>UniObligacje Aktywny</vt:lpstr>
      <vt:lpstr>dodatkowedane</vt:lpstr>
      <vt:lpstr>'Aktywny - Surowce i Nowe Gosp.'!Obszar_wydruku</vt:lpstr>
      <vt:lpstr>'Allianz Akcji'!Obszar_wydruku</vt:lpstr>
      <vt:lpstr>'Allianz Obligacji Plus'!Obszar_wydruku</vt:lpstr>
      <vt:lpstr>'Aviva Dł.Pap.Korp.'!Obszar_wydruku</vt:lpstr>
      <vt:lpstr>'Aviva MS'!Obszar_wydruku</vt:lpstr>
      <vt:lpstr>'Aviva Obligacji Dyn.'!Obszar_wydruku</vt:lpstr>
      <vt:lpstr>'Aviva PA'!Obszar_wydruku</vt:lpstr>
      <vt:lpstr>'Franklin EDF'!Obszar_wydruku</vt:lpstr>
      <vt:lpstr>'Franklin NR'!Obszar_wydruku</vt:lpstr>
      <vt:lpstr>'Fundusz Akcji Glob.'!Obszar_wydruku</vt:lpstr>
      <vt:lpstr>'Fundusz Akcji Małych i ŚS'!Obszar_wydruku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Energetyczny'!Obszar_wydruku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Zrównoważony'!Obszar_wydruku</vt:lpstr>
      <vt:lpstr>INDEKS1!Obszar_wydruku</vt:lpstr>
      <vt:lpstr>INDEKS2!Obszar_wydruku</vt:lpstr>
      <vt:lpstr>'Investor Akcji Sp.Dyw.'!Obszar_wydruku</vt:lpstr>
      <vt:lpstr>'Investor Ameryka Łacińska'!Obszar_wydruku</vt:lpstr>
      <vt:lpstr>'Inwestor Akcji'!Obszar_wydruku</vt:lpstr>
      <vt:lpstr>'NN Eur.SD'!Obszar_wydruku</vt:lpstr>
      <vt:lpstr>'NN Glob. Długu Korp.'!Obszar_wydruku</vt:lpstr>
      <vt:lpstr>'NN Glob.SD'!Obszar_wydruku</vt:lpstr>
      <vt:lpstr>'Noble A'!Obszar_wydruku</vt:lpstr>
      <vt:lpstr>'Pioneer AGD'!Obszar_wydruku</vt:lpstr>
      <vt:lpstr>'Pioneer DA2'!Obszar_wydruku</vt:lpstr>
      <vt:lpstr>'Pioneer DS'!Obszar_wydruku</vt:lpstr>
      <vt:lpstr>'Pioneer G'!Obszar_wydruku</vt:lpstr>
      <vt:lpstr>'Pioneer OP'!Obszar_wydruku</vt:lpstr>
      <vt:lpstr>'Pioneer P'!Obszar_wydruku</vt:lpstr>
      <vt:lpstr>'Pioneer P+'!Obszar_wydruku</vt:lpstr>
      <vt:lpstr>'Pioneer Stab.Inwest.'!Obszar_wydruku</vt:lpstr>
      <vt:lpstr>'Portfel Aktywnej Alokacji'!Obszar_wydruku</vt:lpstr>
      <vt:lpstr>'Portfel ARR'!Obszar_wydruku</vt:lpstr>
      <vt:lpstr>'Portfel ARW'!Obszar_wydruku</vt:lpstr>
      <vt:lpstr>'Portfel Dynamiczny'!Obszar_wydruku</vt:lpstr>
      <vt:lpstr>'Portfel OZ'!Obszar_wydruku</vt:lpstr>
      <vt:lpstr>'Portfel Stabilnego Wzrostu'!Obszar_wydruku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LEV'!Obszar_wydruku</vt:lpstr>
      <vt:lpstr>'Quercus R'!Obszar_wydruku</vt:lpstr>
      <vt:lpstr>'Quercus Stab.'!Obszar_wydruku</vt:lpstr>
      <vt:lpstr>'Quercus T'!Obszar_wydruku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'Skarbiec L'!Obszar_wydruku</vt:lpstr>
      <vt:lpstr>'Templeton GTR'!Obszar_wydruku</vt:lpstr>
      <vt:lpstr>'Templeton LA'!Obszar_wydruku</vt:lpstr>
      <vt:lpstr>'UniKorona Obligacje'!Obszar_wydruku</vt:lpstr>
      <vt:lpstr>'UniObligacje Nowa Europa'!Obszar_wydruku</vt:lpstr>
      <vt:lpstr>'Zaabezpieczony - Europy Wsch.'!Obszar_wydruku</vt:lpstr>
      <vt:lpstr>'Zabezpieczony - Dalekiego Wsch.'!Obszar_wydruku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MTrzpiola</cp:lastModifiedBy>
  <cp:lastPrinted>2015-02-02T16:54:01Z</cp:lastPrinted>
  <dcterms:created xsi:type="dcterms:W3CDTF">2012-07-31T14:09:53Z</dcterms:created>
  <dcterms:modified xsi:type="dcterms:W3CDTF">2017-02-09T13:13:24Z</dcterms:modified>
</cp:coreProperties>
</file>