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Ksiegowowsc\Ks_Zamkniecia\Zycie\KNF_internetowe\2020\"/>
    </mc:Choice>
  </mc:AlternateContent>
  <bookViews>
    <workbookView xWindow="0" yWindow="0" windowWidth="20490" windowHeight="7620" tabRatio="929" firstSheet="149" activeTab="154"/>
  </bookViews>
  <sheets>
    <sheet name="Fundusz Gwarantowany" sheetId="1" r:id="rId1"/>
    <sheet name="Fundusz Stabilnego Wzrostu" sheetId="194" r:id="rId2"/>
    <sheet name="Fundusz Dynamiczny" sheetId="4" r:id="rId3"/>
    <sheet name="Fundusz Obligacji" sheetId="5" r:id="rId4"/>
    <sheet name="Fundusz Aktywnej Alokacji" sheetId="10" r:id="rId5"/>
    <sheet name="Fundusz Akcji Plus" sheetId="11" r:id="rId6"/>
    <sheet name="Fundusz Akcji Małych i ŚS" sheetId="16" r:id="rId7"/>
    <sheet name="Fundusz Pieniężny" sheetId="17" r:id="rId8"/>
    <sheet name="Fundusz Polskich Obl. Skarb." sheetId="81" r:id="rId9"/>
    <sheet name="Fundusz Selektywny" sheetId="78" r:id="rId10"/>
    <sheet name="Fundusz Akcji Glob." sheetId="79" r:id="rId11"/>
    <sheet name="Fundusz Obligacji Glob." sheetId="122" r:id="rId12"/>
    <sheet name="Fundusz Energetyczny" sheetId="121" r:id="rId13"/>
    <sheet name="Portfel Aktywnej Alokacji" sheetId="120" r:id="rId14"/>
    <sheet name="Portfel Dynamiczny" sheetId="69" r:id="rId15"/>
    <sheet name="Portfel Stabilnego Wzrostu" sheetId="67" r:id="rId16"/>
    <sheet name="Portfel ARR" sheetId="53" r:id="rId17"/>
    <sheet name="Portfel ARW" sheetId="94" r:id="rId18"/>
    <sheet name="Portfel OZ" sheetId="93" r:id="rId19"/>
    <sheet name="Portfel OR" sheetId="199" r:id="rId20"/>
    <sheet name="Portfel SA" sheetId="217" r:id="rId21"/>
    <sheet name="Fundusz Konserwatywny" sheetId="95" r:id="rId22"/>
    <sheet name="Fundusz Zrównoważony" sheetId="6" r:id="rId23"/>
    <sheet name="Fundusz Aktywny" sheetId="7" r:id="rId24"/>
    <sheet name="Fundusz Międzynarodowy" sheetId="8" r:id="rId25"/>
    <sheet name="Fundusz Azjatycki" sheetId="9" r:id="rId26"/>
    <sheet name="Aktywny - Surowce i Nowe Gosp." sheetId="13" r:id="rId27"/>
    <sheet name="Zabezpieczony - Dalekiego Wsch." sheetId="58" r:id="rId28"/>
    <sheet name="Zaabezpieczony - Europy Wsch." sheetId="61" r:id="rId29"/>
    <sheet name="Strategii Multiobligacyjnych" sheetId="60" r:id="rId30"/>
    <sheet name="Zabezpieczony - Rynku Polskiego" sheetId="84" r:id="rId31"/>
    <sheet name="Allianz Stabilnego Wzrostu" sheetId="28" r:id="rId32"/>
    <sheet name="Allianz Obligacji Plus" sheetId="22" r:id="rId33"/>
    <sheet name="Allianz Aktywnej Alokacji" sheetId="49" r:id="rId34"/>
    <sheet name="Allianz Akcji Małych i ŚS" sheetId="29" r:id="rId35"/>
    <sheet name="Allianz Konserw." sheetId="30" r:id="rId36"/>
    <sheet name="Allianz Polskich Obl.Skarb." sheetId="48" r:id="rId37"/>
    <sheet name="Allianz Selektywny" sheetId="83" r:id="rId38"/>
    <sheet name="Allianz Akcji Glob." sheetId="42" r:id="rId39"/>
    <sheet name="Allianz ARZ" sheetId="188" r:id="rId40"/>
    <sheet name="Allianz Akcji Rynkow Wsch" sheetId="195" r:id="rId41"/>
    <sheet name="Allianz Dyn.Multistrategia" sheetId="196" r:id="rId42"/>
    <sheet name="Allianz Def.Multistrategia" sheetId="209" r:id="rId43"/>
    <sheet name="Allianz Zbal.Multistrategia" sheetId="210" r:id="rId44"/>
    <sheet name="Allianz GSD" sheetId="197" r:id="rId45"/>
    <sheet name="Allianz Obligacji Glob." sheetId="229" r:id="rId46"/>
    <sheet name="Altus ASZD" sheetId="156" r:id="rId47"/>
    <sheet name="Aviva Dł.Pap.Korp." sheetId="112" r:id="rId48"/>
    <sheet name="Franklin EDF" sheetId="96" r:id="rId49"/>
    <sheet name="Franklin GFS" sheetId="151" r:id="rId50"/>
    <sheet name="Franklin USO" sheetId="152" r:id="rId51"/>
    <sheet name="GS EMD" sheetId="211" r:id="rId52"/>
    <sheet name="GS GSMBP" sheetId="218" r:id="rId53"/>
    <sheet name="Inwestor Akcji" sheetId="106" r:id="rId54"/>
    <sheet name="Investor Akcji Sp.Dyw." sheetId="123" r:id="rId55"/>
    <sheet name="Investor TOP 25 MS" sheetId="33" r:id="rId56"/>
    <sheet name="Investor Zrównoważony" sheetId="34" r:id="rId57"/>
    <sheet name="Investor Ameryka Łacińska" sheetId="124" r:id="rId58"/>
    <sheet name="Investor BRIC" sheetId="57" r:id="rId59"/>
    <sheet name="Investor Gold" sheetId="55" r:id="rId60"/>
    <sheet name="Investor Doch" sheetId="43" r:id="rId61"/>
    <sheet name="Investor Indie i Chiny" sheetId="189" r:id="rId62"/>
    <sheet name="Investor OK" sheetId="212" r:id="rId63"/>
    <sheet name="Investor Oszcz." sheetId="202" r:id="rId64"/>
    <sheet name="Investor ZE" sheetId="201" r:id="rId65"/>
    <sheet name="JPM EMO" sheetId="24" r:id="rId66"/>
    <sheet name="JPM GH" sheetId="149" r:id="rId67"/>
    <sheet name="JPM GSB" sheetId="148" r:id="rId68"/>
    <sheet name="JPM GMO" sheetId="224" r:id="rId69"/>
    <sheet name="Esaliens Akcji" sheetId="186" r:id="rId70"/>
    <sheet name="Esaliens Obligacji" sheetId="35" r:id="rId71"/>
    <sheet name="Esaliens Kons" sheetId="153" r:id="rId72"/>
    <sheet name="Esaliens Strateg" sheetId="47" r:id="rId73"/>
    <sheet name="Millenium Master I" sheetId="27" r:id="rId74"/>
    <sheet name="Millenium Master II" sheetId="70" r:id="rId75"/>
    <sheet name="Millenium Master III" sheetId="71" r:id="rId76"/>
    <sheet name="Millenium Master IV" sheetId="72" r:id="rId77"/>
    <sheet name="Millenium Master V" sheetId="73" r:id="rId78"/>
    <sheet name="Millenium Master VI" sheetId="74" r:id="rId79"/>
    <sheet name="Millenium Master VII" sheetId="75" r:id="rId80"/>
    <sheet name="NN Akcji" sheetId="77" r:id="rId81"/>
    <sheet name="NN Obligacji" sheetId="36" r:id="rId82"/>
    <sheet name="NN OI" sheetId="37" r:id="rId83"/>
    <sheet name="NN ŚMS" sheetId="161" r:id="rId84"/>
    <sheet name="NN Eur.SD" sheetId="115" r:id="rId85"/>
    <sheet name="NN Glob. Długu Korp." sheetId="92" r:id="rId86"/>
    <sheet name="NN Glob.SD" sheetId="90" r:id="rId87"/>
    <sheet name="NN J" sheetId="76" r:id="rId88"/>
    <sheet name="NN NA" sheetId="138" r:id="rId89"/>
    <sheet name="NN ORW" sheetId="136" r:id="rId90"/>
    <sheet name="NN Sp.Dyw.USA" sheetId="137" r:id="rId91"/>
    <sheet name="NN SGA" sheetId="163" r:id="rId92"/>
    <sheet name="NN SDRW" sheetId="213" r:id="rId93"/>
    <sheet name="Noble AMiŚS" sheetId="164" r:id="rId94"/>
    <sheet name="Noble AP" sheetId="114" r:id="rId95"/>
    <sheet name="Noble AA" sheetId="226" r:id="rId96"/>
    <sheet name="Pekao ARW" sheetId="193" r:id="rId97"/>
    <sheet name="Pekao AGD" sheetId="88" r:id="rId98"/>
    <sheet name="Pekao OS" sheetId="167" r:id="rId99"/>
    <sheet name="Pekao Spokojna Inw" sheetId="129" r:id="rId100"/>
    <sheet name="Pekao WDRE" sheetId="168" r:id="rId101"/>
    <sheet name="Pekao Surowców i Energii" sheetId="169" r:id="rId102"/>
    <sheet name="Pekao AP" sheetId="46" r:id="rId103"/>
    <sheet name="Pekao DS" sheetId="89" r:id="rId104"/>
    <sheet name="Pekao OP" sheetId="128" r:id="rId105"/>
    <sheet name="Pekao Kons." sheetId="85" r:id="rId106"/>
    <sheet name="Pekao Kons.+" sheetId="103" r:id="rId107"/>
    <sheet name="Pekao B15D" sheetId="102" r:id="rId108"/>
    <sheet name="Pekao DA2" sheetId="104" r:id="rId109"/>
    <sheet name="Pekao AS" sheetId="170" r:id="rId110"/>
    <sheet name="Pekao AE" sheetId="165" r:id="rId111"/>
    <sheet name="Pekao SG" sheetId="166" r:id="rId112"/>
    <sheet name="Pekao MIS" sheetId="214" r:id="rId113"/>
    <sheet name="Pekao OID" sheetId="220" r:id="rId114"/>
    <sheet name="PKO Akcji Nowa Europa" sheetId="171" r:id="rId115"/>
    <sheet name="PKO Obligacji Dług." sheetId="38" r:id="rId116"/>
    <sheet name="PKO Stabilnego Wzrostu" sheetId="23" r:id="rId117"/>
    <sheet name="PKO Zrównoważony" sheetId="25" r:id="rId118"/>
    <sheet name="PZU ASD" sheetId="173" r:id="rId119"/>
    <sheet name="PZU AK" sheetId="174" r:id="rId120"/>
    <sheet name="PZU AMiŚS" sheetId="130" r:id="rId121"/>
    <sheet name="PZU M" sheetId="39" r:id="rId122"/>
    <sheet name="PZU Zrówn." sheetId="100" r:id="rId123"/>
    <sheet name="PZU ARR" sheetId="99" r:id="rId124"/>
    <sheet name="PZU PDP" sheetId="205" r:id="rId125"/>
    <sheet name="Quercus A" sheetId="101" r:id="rId126"/>
    <sheet name="Quercus OK" sheetId="143" r:id="rId127"/>
    <sheet name="Quercus GB" sheetId="144" r:id="rId128"/>
    <sheet name="Schroder ISF ACB" sheetId="142" r:id="rId129"/>
    <sheet name="Schroder ISF AO" sheetId="147" r:id="rId130"/>
    <sheet name="Schroder ISF EMDAR" sheetId="179" r:id="rId131"/>
    <sheet name="Schroder ISF EE" sheetId="146" r:id="rId132"/>
    <sheet name="Schroder ISF FME" sheetId="133" r:id="rId133"/>
    <sheet name="Schroder ISF GDG" sheetId="132" r:id="rId134"/>
    <sheet name="Schroder ISF GCHI" sheetId="135" r:id="rId135"/>
    <sheet name="Skarbiec Kons." sheetId="134" r:id="rId136"/>
    <sheet name="Skarbiec OWD" sheetId="113" r:id="rId137"/>
    <sheet name="Skarbiec MIŚS" sheetId="140" r:id="rId138"/>
    <sheet name="Skarbiec NG" sheetId="227" r:id="rId139"/>
    <sheet name="Skarbiec SW" sheetId="175" r:id="rId140"/>
    <sheet name="Skarbiec A" sheetId="215" r:id="rId141"/>
    <sheet name="Skarbiec Brands" sheetId="216" r:id="rId142"/>
    <sheet name="Templeton GB" sheetId="159" r:id="rId143"/>
    <sheet name="Templeton GTR" sheetId="109" r:id="rId144"/>
    <sheet name="Templeton LA" sheetId="108" r:id="rId145"/>
    <sheet name="Generali AD" sheetId="187" r:id="rId146"/>
    <sheet name="Generali AMIŚS" sheetId="177" r:id="rId147"/>
    <sheet name="Generali ANE" sheetId="41" r:id="rId148"/>
    <sheet name="Generali UAWS" sheetId="40" r:id="rId149"/>
    <sheet name="Generali KA" sheetId="64" r:id="rId150"/>
    <sheet name="Generali KO" sheetId="110" r:id="rId151"/>
    <sheet name="Generali D" sheetId="20" r:id="rId152"/>
    <sheet name="Generali KZ" sheetId="62" r:id="rId153"/>
    <sheet name="Generali O" sheetId="26" r:id="rId154"/>
    <sheet name="Generali ONE" sheetId="105" r:id="rId155"/>
    <sheet name="Generali SW" sheetId="63" r:id="rId156"/>
    <sheet name="Generali OA" sheetId="191" r:id="rId157"/>
    <sheet name="Generali Z" sheetId="228" r:id="rId158"/>
    <sheet name="dodatkowedane" sheetId="80" r:id="rId159"/>
  </sheets>
  <definedNames>
    <definedName name="_xlnm.Print_Area" localSheetId="26">'Aktywny - Surowce i Nowe Gosp.'!$B$2:$E$73</definedName>
    <definedName name="_xlnm.Print_Area" localSheetId="32">'Allianz Obligacji Plus'!$B$2:$E$74</definedName>
    <definedName name="_xlnm.Print_Area" localSheetId="47">'Aviva Dł.Pap.Korp.'!$B$2:$E$74</definedName>
    <definedName name="_xlnm.Print_Area" localSheetId="48">'Franklin EDF'!$B$2:$E$74</definedName>
    <definedName name="_xlnm.Print_Area" localSheetId="10">'Fundusz Akcji Glob.'!$B$2:$E$73</definedName>
    <definedName name="_xlnm.Print_Area" localSheetId="6">'Fundusz Akcji Małych i ŚS'!$B$2:$E$73</definedName>
    <definedName name="_xlnm.Print_Area" localSheetId="5">'Fundusz Akcji Plus'!$B$2:$E$73</definedName>
    <definedName name="_xlnm.Print_Area" localSheetId="4">'Fundusz Aktywnej Alokacji'!$B$2:$E$73</definedName>
    <definedName name="_xlnm.Print_Area" localSheetId="23">'Fundusz Aktywny'!$B$2:$E$73</definedName>
    <definedName name="_xlnm.Print_Area" localSheetId="25">'Fundusz Azjatycki'!$B$2:$E$73</definedName>
    <definedName name="_xlnm.Print_Area" localSheetId="2">'Fundusz Dynamiczny'!$B$2:$E$74</definedName>
    <definedName name="_xlnm.Print_Area" localSheetId="12">'Fundusz Energetyczny'!$B$2:$E$73</definedName>
    <definedName name="_xlnm.Print_Area" localSheetId="0">'Fundusz Gwarantowany'!$B$2:$E$77</definedName>
    <definedName name="_xlnm.Print_Area" localSheetId="21">'Fundusz Konserwatywny'!$B$2:$E$74</definedName>
    <definedName name="_xlnm.Print_Area" localSheetId="24">'Fundusz Międzynarodowy'!$B$2:$E$73</definedName>
    <definedName name="_xlnm.Print_Area" localSheetId="3">'Fundusz Obligacji'!$B$2:$E$74</definedName>
    <definedName name="_xlnm.Print_Area" localSheetId="11">'Fundusz Obligacji Glob.'!$B$2:$E$73</definedName>
    <definedName name="_xlnm.Print_Area" localSheetId="7">'Fundusz Pieniężny'!$B$2:$E$73</definedName>
    <definedName name="_xlnm.Print_Area" localSheetId="8">'Fundusz Polskich Obl. Skarb.'!$B$2:$E$73</definedName>
    <definedName name="_xlnm.Print_Area" localSheetId="9">'Fundusz Selektywny'!$B$2:$E$73</definedName>
    <definedName name="_xlnm.Print_Area" localSheetId="22">'Fundusz Zrównoważony'!$B$2:$E$73</definedName>
    <definedName name="_xlnm.Print_Area" localSheetId="150">'Generali KO'!$B$2:$E$74</definedName>
    <definedName name="_xlnm.Print_Area" localSheetId="154">'Generali ONE'!$B$2:$E$74</definedName>
    <definedName name="_xlnm.Print_Area" localSheetId="54">'Investor Akcji Sp.Dyw.'!$B$2:$E$74</definedName>
    <definedName name="_xlnm.Print_Area" localSheetId="57">'Investor Ameryka Łacińska'!$B$2:$E$74</definedName>
    <definedName name="_xlnm.Print_Area" localSheetId="53">'Inwestor Akcji'!$B$2:$E$74</definedName>
    <definedName name="_xlnm.Print_Area" localSheetId="84">'NN Eur.SD'!$B$2:$E$74</definedName>
    <definedName name="_xlnm.Print_Area" localSheetId="85">'NN Glob. Długu Korp.'!$B$2:$E$74</definedName>
    <definedName name="_xlnm.Print_Area" localSheetId="86">'NN Glob.SD'!$B$2:$E$74</definedName>
    <definedName name="_xlnm.Print_Area" localSheetId="95">'Noble AA'!$B$2:$E$74</definedName>
    <definedName name="_xlnm.Print_Area" localSheetId="94">'Noble AP'!$B$2:$E$74</definedName>
    <definedName name="_xlnm.Print_Area" localSheetId="97">'Pekao AGD'!$B$2:$E$74</definedName>
    <definedName name="_xlnm.Print_Area" localSheetId="107">'Pekao B15D'!$B$2:$E$74</definedName>
    <definedName name="_xlnm.Print_Area" localSheetId="108">'Pekao DA2'!$B$2:$E$74</definedName>
    <definedName name="_xlnm.Print_Area" localSheetId="103">'Pekao DS'!$B$2:$E$74</definedName>
    <definedName name="_xlnm.Print_Area" localSheetId="105">'Pekao Kons.'!$B$2:$E$74</definedName>
    <definedName name="_xlnm.Print_Area" localSheetId="106">'Pekao Kons.+'!$B$2:$E$74</definedName>
    <definedName name="_xlnm.Print_Area" localSheetId="104">'Pekao OP'!$B$2:$E$74</definedName>
    <definedName name="_xlnm.Print_Area" localSheetId="99">'Pekao Spokojna Inw'!$B$2:$E$74</definedName>
    <definedName name="_xlnm.Print_Area" localSheetId="13">'Portfel Aktywnej Alokacji'!$B$2:$E$73</definedName>
    <definedName name="_xlnm.Print_Area" localSheetId="16">'Portfel ARR'!$B$2:$E$73</definedName>
    <definedName name="_xlnm.Print_Area" localSheetId="17">'Portfel ARW'!$B$2:$E$74</definedName>
    <definedName name="_xlnm.Print_Area" localSheetId="14">'Portfel Dynamiczny'!$B$2:$E$73</definedName>
    <definedName name="_xlnm.Print_Area" localSheetId="18">'Portfel OZ'!$B$2:$E$74</definedName>
    <definedName name="_xlnm.Print_Area" localSheetId="15">'Portfel Stabilnego Wzrostu'!$B$2:$E$73</definedName>
    <definedName name="_xlnm.Print_Area" localSheetId="120">'PZU AMiŚS'!$B$2:$E$74</definedName>
    <definedName name="_xlnm.Print_Area" localSheetId="123">'PZU ARR'!$B$2:$E$74</definedName>
    <definedName name="_xlnm.Print_Area" localSheetId="121">'PZU M'!$B$2:$E$74</definedName>
    <definedName name="_xlnm.Print_Area" localSheetId="122">'PZU Zrówn.'!$B$2:$E$74</definedName>
    <definedName name="_xlnm.Print_Area" localSheetId="125">'Quercus A'!$B$2:$E$74</definedName>
    <definedName name="_xlnm.Print_Area" localSheetId="132">'Schroder ISF FME'!$B$2:$E$74</definedName>
    <definedName name="_xlnm.Print_Area" localSheetId="134">'Schroder ISF GCHI'!$B$2:$E$74</definedName>
    <definedName name="_xlnm.Print_Area" localSheetId="133">'Schroder ISF GDG'!$B$2:$E$74</definedName>
    <definedName name="_xlnm.Print_Area" localSheetId="135">'Skarbiec Kons.'!$B$2:$E$74</definedName>
    <definedName name="_xlnm.Print_Area" localSheetId="136">'Skarbiec OWD'!$B$2:$E$74</definedName>
    <definedName name="_xlnm.Print_Area" localSheetId="143">'Templeton GTR'!$B$2:$E$74</definedName>
    <definedName name="_xlnm.Print_Area" localSheetId="144">'Templeton LA'!$B$2:$E$74</definedName>
    <definedName name="_xlnm.Print_Area" localSheetId="28">'Zaabezpieczony - Europy Wsch.'!$B$2:$E$73</definedName>
    <definedName name="_xlnm.Print_Area" localSheetId="27">'Zabezpieczony - Dalekiego Wsch.'!$B$2:$E$73</definedName>
  </definedNames>
  <calcPr calcId="162913"/>
</workbook>
</file>

<file path=xl/calcChain.xml><?xml version="1.0" encoding="utf-8"?>
<calcChain xmlns="http://schemas.openxmlformats.org/spreadsheetml/2006/main">
  <c r="E31" i="62" l="1"/>
  <c r="E33" i="40"/>
  <c r="E33" i="187"/>
  <c r="E33" i="109"/>
  <c r="E33" i="135"/>
  <c r="E33" i="132"/>
  <c r="E33" i="25"/>
  <c r="E33" i="23"/>
  <c r="E33" i="167"/>
  <c r="E33" i="75"/>
  <c r="E33" i="74"/>
  <c r="E33" i="73"/>
  <c r="E33" i="72"/>
  <c r="E33" i="71"/>
  <c r="E33" i="70"/>
  <c r="E33" i="27"/>
  <c r="E33" i="47"/>
  <c r="E32" i="121" l="1"/>
  <c r="E27" i="121" s="1"/>
  <c r="E33" i="62" l="1"/>
  <c r="E32" i="62" s="1"/>
  <c r="E27" i="62" s="1"/>
  <c r="E33" i="20"/>
  <c r="E32" i="20" s="1"/>
  <c r="E27" i="20" s="1"/>
  <c r="E32" i="110"/>
  <c r="E27" i="110" s="1"/>
  <c r="E33" i="110"/>
  <c r="E33" i="64"/>
  <c r="E32" i="64" s="1"/>
  <c r="E27" i="64" s="1"/>
  <c r="E33" i="41"/>
  <c r="E32" i="41" s="1"/>
  <c r="E27" i="41" s="1"/>
  <c r="E32" i="177"/>
  <c r="E27" i="177" s="1"/>
  <c r="E33" i="177"/>
  <c r="E32" i="109"/>
  <c r="E27" i="109" s="1"/>
  <c r="E33" i="133"/>
  <c r="E32" i="133" s="1"/>
  <c r="E27" i="133" s="1"/>
  <c r="E27" i="101"/>
  <c r="E32" i="101"/>
  <c r="E33" i="101"/>
  <c r="E32" i="25"/>
  <c r="E27" i="25" s="1"/>
  <c r="E32" i="23"/>
  <c r="E27" i="23" s="1"/>
  <c r="E32" i="38"/>
  <c r="E27" i="38" s="1"/>
  <c r="E33" i="38"/>
  <c r="E33" i="171"/>
  <c r="E32" i="171" s="1"/>
  <c r="E27" i="171" s="1"/>
  <c r="E33" i="128"/>
  <c r="E32" i="128"/>
  <c r="E27" i="128" s="1"/>
  <c r="E33" i="169"/>
  <c r="E32" i="169" s="1"/>
  <c r="E27" i="169" s="1"/>
  <c r="E33" i="193"/>
  <c r="E32" i="193" s="1"/>
  <c r="E27" i="193" s="1"/>
  <c r="E27" i="213"/>
  <c r="E32" i="213"/>
  <c r="E33" i="76"/>
  <c r="E32" i="76" s="1"/>
  <c r="E27" i="76" s="1"/>
  <c r="E33" i="90"/>
  <c r="E32" i="90" s="1"/>
  <c r="E27" i="90" s="1"/>
  <c r="E33" i="37"/>
  <c r="E32" i="37" s="1"/>
  <c r="E27" i="37" s="1"/>
  <c r="E32" i="36"/>
  <c r="E27" i="36" s="1"/>
  <c r="E33" i="36"/>
  <c r="E33" i="77"/>
  <c r="E32" i="77" s="1"/>
  <c r="E27" i="77" s="1"/>
  <c r="E32" i="73"/>
  <c r="E27" i="73" s="1"/>
  <c r="E32" i="72"/>
  <c r="E27" i="72" s="1"/>
  <c r="E32" i="71"/>
  <c r="E27" i="71" s="1"/>
  <c r="E32" i="70"/>
  <c r="E27" i="70" s="1"/>
  <c r="E32" i="47"/>
  <c r="E27" i="47" s="1"/>
  <c r="E32" i="153"/>
  <c r="E27" i="153" s="1"/>
  <c r="E33" i="153"/>
  <c r="E33" i="35"/>
  <c r="E32" i="35" s="1"/>
  <c r="E27" i="35" s="1"/>
  <c r="E33" i="186"/>
  <c r="E32" i="186" s="1"/>
  <c r="E27" i="186" s="1"/>
  <c r="E33" i="189"/>
  <c r="E32" i="189" s="1"/>
  <c r="E27" i="189" s="1"/>
  <c r="E33" i="55"/>
  <c r="E32" i="55" s="1"/>
  <c r="E27" i="55" s="1"/>
  <c r="E33" i="57"/>
  <c r="E32" i="57" s="1"/>
  <c r="E27" i="57" s="1"/>
  <c r="E33" i="124"/>
  <c r="E32" i="124" s="1"/>
  <c r="E27" i="124" s="1"/>
  <c r="E33" i="33"/>
  <c r="E32" i="33" s="1"/>
  <c r="E27" i="33" s="1"/>
  <c r="E33" i="123"/>
  <c r="E32" i="123" s="1"/>
  <c r="E27" i="123" s="1"/>
  <c r="E32" i="210"/>
  <c r="E27" i="210" s="1"/>
  <c r="E33" i="210"/>
  <c r="E33" i="209"/>
  <c r="E32" i="209" s="1"/>
  <c r="E27" i="209" s="1"/>
  <c r="E33" i="196"/>
  <c r="E32" i="196" s="1"/>
  <c r="E27" i="196" s="1"/>
  <c r="E32" i="83"/>
  <c r="E27" i="83" s="1"/>
  <c r="E33" i="83"/>
  <c r="E33" i="48"/>
  <c r="E32" i="48" s="1"/>
  <c r="E27" i="48" s="1"/>
  <c r="E26" i="152" l="1"/>
  <c r="E33" i="84"/>
  <c r="E32" i="84" s="1"/>
  <c r="E27" i="84" s="1"/>
  <c r="E33" i="61"/>
  <c r="E32" i="61" s="1"/>
  <c r="E27" i="61" s="1"/>
  <c r="E33" i="58"/>
  <c r="E32" i="58" s="1"/>
  <c r="E27" i="58" s="1"/>
  <c r="E33" i="13"/>
  <c r="E32" i="13" s="1"/>
  <c r="E27" i="13" s="1"/>
  <c r="E33" i="8"/>
  <c r="E32" i="8" s="1"/>
  <c r="E27" i="8" s="1"/>
  <c r="E32" i="7"/>
  <c r="E27" i="7" s="1"/>
  <c r="E33" i="7"/>
  <c r="E32" i="6"/>
  <c r="E27" i="6" s="1"/>
  <c r="E33" i="6"/>
  <c r="E33" i="95"/>
  <c r="E32" i="95" s="1"/>
  <c r="E27" i="95" s="1"/>
  <c r="E33" i="93"/>
  <c r="E32" i="93" s="1"/>
  <c r="E27" i="93" s="1"/>
  <c r="E32" i="67"/>
  <c r="E27" i="67" s="1"/>
  <c r="E33" i="67"/>
  <c r="E33" i="69"/>
  <c r="E32" i="69" s="1"/>
  <c r="E27" i="69" s="1"/>
  <c r="E33" i="120"/>
  <c r="E32" i="120" s="1"/>
  <c r="E27" i="120" s="1"/>
  <c r="E32" i="122"/>
  <c r="E27" i="122" s="1"/>
  <c r="E33" i="122"/>
  <c r="E33" i="79"/>
  <c r="E32" i="79" s="1"/>
  <c r="E27" i="79" s="1"/>
  <c r="E33" i="78"/>
  <c r="E32" i="78" s="1"/>
  <c r="E27" i="78" s="1"/>
  <c r="E33" i="81"/>
  <c r="E32" i="81" s="1"/>
  <c r="E27" i="81" s="1"/>
  <c r="E33" i="17"/>
  <c r="E32" i="17" s="1"/>
  <c r="E27" i="17" s="1"/>
  <c r="E32" i="16"/>
  <c r="E27" i="16" s="1"/>
  <c r="E33" i="16"/>
  <c r="E33" i="11"/>
  <c r="E32" i="11" s="1"/>
  <c r="E27" i="11" s="1"/>
  <c r="E33" i="10"/>
  <c r="E32" i="10" s="1"/>
  <c r="E27" i="10" s="1"/>
  <c r="E33" i="5"/>
  <c r="E32" i="5" s="1"/>
  <c r="E27" i="5" s="1"/>
  <c r="E33" i="4"/>
  <c r="E32" i="4" s="1"/>
  <c r="E27" i="4" s="1"/>
  <c r="E33" i="194"/>
  <c r="E32" i="194" s="1"/>
  <c r="E27" i="194" s="1"/>
  <c r="E33" i="1" l="1"/>
  <c r="E32" i="1" s="1"/>
  <c r="E27" i="1" s="1"/>
  <c r="E26" i="35"/>
  <c r="E41" i="35"/>
  <c r="E26" i="151"/>
  <c r="E41" i="151" s="1"/>
  <c r="E26" i="8" l="1"/>
  <c r="E41" i="8" s="1"/>
  <c r="E26" i="53"/>
  <c r="E41" i="53"/>
  <c r="D71" i="61" l="1"/>
  <c r="D64" i="9"/>
  <c r="D64" i="8"/>
  <c r="D64" i="95"/>
  <c r="E12" i="1" l="1"/>
  <c r="E12" i="7"/>
  <c r="D64" i="7" s="1"/>
  <c r="E12" i="6"/>
  <c r="D64" i="6" s="1"/>
  <c r="E12" i="67"/>
  <c r="E12" i="69"/>
  <c r="E12" i="120"/>
  <c r="E12" i="122"/>
  <c r="E12" i="79"/>
  <c r="E12" i="78"/>
  <c r="E12" i="81"/>
  <c r="E12" i="17"/>
  <c r="E12" i="16"/>
  <c r="E12" i="11"/>
  <c r="E12" i="10"/>
  <c r="E12" i="5"/>
  <c r="E12" i="4"/>
  <c r="E12" i="194"/>
  <c r="E12" i="84" l="1"/>
  <c r="E12" i="60"/>
  <c r="E12" i="61"/>
  <c r="E12" i="58"/>
  <c r="E12" i="13"/>
  <c r="E12" i="217"/>
  <c r="E12" i="199"/>
  <c r="E12" i="93"/>
  <c r="E12" i="94"/>
  <c r="E12" i="53"/>
  <c r="E12" i="121"/>
  <c r="D58" i="1" l="1"/>
  <c r="D12" i="199" l="1"/>
  <c r="D11" i="199"/>
  <c r="D21" i="199" s="1"/>
  <c r="D17" i="4"/>
  <c r="D14" i="4"/>
  <c r="D12" i="4"/>
  <c r="D11" i="4"/>
  <c r="D17" i="194"/>
  <c r="D14" i="194"/>
  <c r="D12" i="194"/>
  <c r="D11" i="194"/>
  <c r="D21" i="4" l="1"/>
  <c r="D21" i="194"/>
  <c r="D71" i="6" l="1"/>
  <c r="D18" i="80" l="1"/>
  <c r="D23" i="80" s="1"/>
  <c r="D72" i="229" l="1"/>
  <c r="D64" i="229" l="1"/>
  <c r="D58" i="229" s="1"/>
  <c r="D74" i="229" l="1"/>
  <c r="D75" i="229" s="1"/>
  <c r="E74" i="229" l="1"/>
  <c r="E75" i="229" s="1"/>
  <c r="E11" i="35" l="1"/>
  <c r="E21" i="35" s="1"/>
  <c r="E32" i="134" l="1"/>
  <c r="E27" i="134" l="1"/>
  <c r="D71" i="1" l="1"/>
  <c r="E17" i="194" l="1"/>
  <c r="D73" i="194" s="1"/>
  <c r="E17" i="4"/>
  <c r="D73" i="4" s="1"/>
  <c r="E17" i="5"/>
  <c r="D73" i="5" s="1"/>
  <c r="E17" i="10"/>
  <c r="E17" i="11"/>
  <c r="E17" i="16"/>
  <c r="E17" i="17"/>
  <c r="E17" i="81"/>
  <c r="E17" i="78"/>
  <c r="E17" i="79"/>
  <c r="E17" i="122"/>
  <c r="E17" i="121"/>
  <c r="E17" i="120"/>
  <c r="E17" i="69"/>
  <c r="E17" i="67"/>
  <c r="E17" i="53"/>
  <c r="E17" i="94"/>
  <c r="E17" i="93"/>
  <c r="E17" i="95"/>
  <c r="E17" i="6"/>
  <c r="E17" i="7"/>
  <c r="E17" i="8"/>
  <c r="E17" i="9"/>
  <c r="E17" i="13"/>
  <c r="E17" i="58"/>
  <c r="E17" i="61"/>
  <c r="E17" i="60"/>
  <c r="E17" i="84"/>
  <c r="E17" i="1"/>
  <c r="D73" i="1" s="1"/>
  <c r="E14" i="194"/>
  <c r="E11" i="194" s="1"/>
  <c r="E14" i="4"/>
  <c r="E11" i="4" s="1"/>
  <c r="E14" i="5"/>
  <c r="E11" i="5" s="1"/>
  <c r="E11" i="10"/>
  <c r="E14" i="11"/>
  <c r="E11" i="11" s="1"/>
  <c r="E14" i="16"/>
  <c r="E11" i="16" s="1"/>
  <c r="E21" i="16" s="1"/>
  <c r="E14" i="17"/>
  <c r="E11" i="17" s="1"/>
  <c r="E14" i="81"/>
  <c r="E11" i="81" s="1"/>
  <c r="E14" i="78"/>
  <c r="E11" i="78" s="1"/>
  <c r="E14" i="79"/>
  <c r="E11" i="79" s="1"/>
  <c r="E14" i="122"/>
  <c r="E11" i="122" s="1"/>
  <c r="E14" i="121"/>
  <c r="E11" i="121" s="1"/>
  <c r="E14" i="120"/>
  <c r="E14" i="69"/>
  <c r="E11" i="69" s="1"/>
  <c r="E14" i="67"/>
  <c r="E11" i="67" s="1"/>
  <c r="E11" i="61"/>
  <c r="E11" i="1"/>
  <c r="E11" i="120"/>
  <c r="E11" i="53"/>
  <c r="E11" i="94"/>
  <c r="E11" i="93"/>
  <c r="E11" i="199"/>
  <c r="E21" i="199" s="1"/>
  <c r="E11" i="217"/>
  <c r="E21" i="217" s="1"/>
  <c r="E11" i="95"/>
  <c r="E11" i="6"/>
  <c r="E11" i="7"/>
  <c r="E11" i="8"/>
  <c r="E11" i="9"/>
  <c r="E11" i="13"/>
  <c r="E11" i="58"/>
  <c r="E11" i="60"/>
  <c r="E11" i="84"/>
  <c r="E11" i="28"/>
  <c r="E21" i="28" s="1"/>
  <c r="E11" i="22"/>
  <c r="E21" i="22" s="1"/>
  <c r="E11" i="49"/>
  <c r="E21" i="49" s="1"/>
  <c r="E11" i="29"/>
  <c r="E21" i="29" s="1"/>
  <c r="E11" i="30"/>
  <c r="E21" i="30" s="1"/>
  <c r="E11" i="48"/>
  <c r="E21" i="48" s="1"/>
  <c r="E11" i="83"/>
  <c r="E21" i="83" s="1"/>
  <c r="E11" i="42"/>
  <c r="E21" i="42" s="1"/>
  <c r="E11" i="188"/>
  <c r="E21" i="188" s="1"/>
  <c r="E11" i="195"/>
  <c r="E21" i="195" s="1"/>
  <c r="E11" i="196"/>
  <c r="E21" i="196" s="1"/>
  <c r="E11" i="209"/>
  <c r="E21" i="209" s="1"/>
  <c r="E11" i="210"/>
  <c r="E21" i="210" s="1"/>
  <c r="E11" i="197"/>
  <c r="E21" i="197" s="1"/>
  <c r="E11" i="112"/>
  <c r="E21" i="112" s="1"/>
  <c r="E11" i="96"/>
  <c r="E21" i="96" s="1"/>
  <c r="E11" i="151"/>
  <c r="E21" i="151" s="1"/>
  <c r="E11" i="152"/>
  <c r="E21" i="152" s="1"/>
  <c r="E11" i="211"/>
  <c r="E21" i="211" s="1"/>
  <c r="E11" i="218"/>
  <c r="E21" i="218" s="1"/>
  <c r="E11" i="106"/>
  <c r="E21" i="106" s="1"/>
  <c r="E11" i="123"/>
  <c r="E21" i="123" s="1"/>
  <c r="E11" i="33"/>
  <c r="E21" i="33" s="1"/>
  <c r="E11" i="34"/>
  <c r="E21" i="34" s="1"/>
  <c r="E11" i="124"/>
  <c r="E21" i="124" s="1"/>
  <c r="E11" i="57"/>
  <c r="E21" i="57" s="1"/>
  <c r="E11" i="55"/>
  <c r="E21" i="55" s="1"/>
  <c r="E11" i="43"/>
  <c r="E21" i="43" s="1"/>
  <c r="E11" i="189"/>
  <c r="E21" i="189" s="1"/>
  <c r="E11" i="212"/>
  <c r="E21" i="212" s="1"/>
  <c r="E11" i="202"/>
  <c r="E21" i="202" s="1"/>
  <c r="E11" i="201"/>
  <c r="E21" i="201" s="1"/>
  <c r="E11" i="24"/>
  <c r="E21" i="24" s="1"/>
  <c r="E11" i="149"/>
  <c r="E21" i="149" s="1"/>
  <c r="E11" i="148"/>
  <c r="E21" i="148" s="1"/>
  <c r="E11" i="224"/>
  <c r="E21" i="224" s="1"/>
  <c r="E11" i="186"/>
  <c r="E21" i="186" s="1"/>
  <c r="E11" i="153"/>
  <c r="E21" i="153" s="1"/>
  <c r="E11" i="47"/>
  <c r="E21" i="47" s="1"/>
  <c r="E11" i="27"/>
  <c r="E21" i="27" s="1"/>
  <c r="E11" i="70"/>
  <c r="E21" i="70" s="1"/>
  <c r="E11" i="71"/>
  <c r="E21" i="71" s="1"/>
  <c r="E11" i="72"/>
  <c r="E21" i="72" s="1"/>
  <c r="E11" i="73"/>
  <c r="E21" i="73" s="1"/>
  <c r="E11" i="74"/>
  <c r="E21" i="74" s="1"/>
  <c r="E11" i="75"/>
  <c r="E21" i="75" s="1"/>
  <c r="E11" i="77"/>
  <c r="E21" i="77" s="1"/>
  <c r="E11" i="36"/>
  <c r="E21" i="36" s="1"/>
  <c r="E11" i="37"/>
  <c r="E21" i="37" s="1"/>
  <c r="E11" i="161"/>
  <c r="E21" i="161" s="1"/>
  <c r="E11" i="115"/>
  <c r="E21" i="115" s="1"/>
  <c r="E11" i="92"/>
  <c r="E21" i="92" s="1"/>
  <c r="E11" i="90"/>
  <c r="E21" i="90" s="1"/>
  <c r="E11" i="76"/>
  <c r="E21" i="76" s="1"/>
  <c r="E11" i="138"/>
  <c r="E21" i="138" s="1"/>
  <c r="E11" i="136"/>
  <c r="E21" i="136" s="1"/>
  <c r="E11" i="137"/>
  <c r="E21" i="137" s="1"/>
  <c r="E11" i="163"/>
  <c r="E21" i="163" s="1"/>
  <c r="E11" i="164"/>
  <c r="E21" i="164" s="1"/>
  <c r="E11" i="193"/>
  <c r="E21" i="193" s="1"/>
  <c r="E11" i="88"/>
  <c r="E21" i="88" s="1"/>
  <c r="E11" i="167"/>
  <c r="E21" i="167" s="1"/>
  <c r="E11" i="129"/>
  <c r="E21" i="129" s="1"/>
  <c r="E11" i="168"/>
  <c r="E21" i="168" s="1"/>
  <c r="E11" i="169"/>
  <c r="E21" i="169" s="1"/>
  <c r="E11" i="46"/>
  <c r="E21" i="46" s="1"/>
  <c r="E11" i="89"/>
  <c r="E21" i="89" s="1"/>
  <c r="E11" i="128"/>
  <c r="E21" i="128" s="1"/>
  <c r="E11" i="85"/>
  <c r="E21" i="85" s="1"/>
  <c r="E11" i="103"/>
  <c r="E21" i="103" s="1"/>
  <c r="E11" i="102"/>
  <c r="E21" i="102" s="1"/>
  <c r="E11" i="104"/>
  <c r="E21" i="104" s="1"/>
  <c r="E11" i="170"/>
  <c r="E21" i="170" s="1"/>
  <c r="E11" i="166"/>
  <c r="E21" i="166" s="1"/>
  <c r="E11" i="214"/>
  <c r="E21" i="214" s="1"/>
  <c r="E11" i="220"/>
  <c r="E21" i="220" s="1"/>
  <c r="E11" i="171"/>
  <c r="E21" i="171" s="1"/>
  <c r="E11" i="38"/>
  <c r="E21" i="38" s="1"/>
  <c r="E11" i="23"/>
  <c r="E21" i="23" s="1"/>
  <c r="E11" i="25"/>
  <c r="E21" i="25" s="1"/>
  <c r="E11" i="173"/>
  <c r="E21" i="173" s="1"/>
  <c r="E11" i="174"/>
  <c r="E21" i="174" s="1"/>
  <c r="E11" i="130"/>
  <c r="E21" i="130" s="1"/>
  <c r="E11" i="39"/>
  <c r="E21" i="39" s="1"/>
  <c r="E11" i="99"/>
  <c r="E21" i="99" s="1"/>
  <c r="E11" i="205"/>
  <c r="E21" i="205" s="1"/>
  <c r="E11" i="101"/>
  <c r="E21" i="101" s="1"/>
  <c r="E11" i="144"/>
  <c r="E21" i="144" s="1"/>
  <c r="E11" i="147"/>
  <c r="E21" i="147" s="1"/>
  <c r="E11" i="179"/>
  <c r="E21" i="179" s="1"/>
  <c r="E11" i="146"/>
  <c r="E21" i="146" s="1"/>
  <c r="E11" i="133"/>
  <c r="E21" i="133" s="1"/>
  <c r="E11" i="132"/>
  <c r="E21" i="132" s="1"/>
  <c r="E11" i="135"/>
  <c r="E21" i="135" s="1"/>
  <c r="E11" i="113"/>
  <c r="E21" i="113" s="1"/>
  <c r="E11" i="140"/>
  <c r="E21" i="140" s="1"/>
  <c r="E11" i="227"/>
  <c r="E21" i="227" s="1"/>
  <c r="E11" i="175"/>
  <c r="E21" i="175" s="1"/>
  <c r="E11" i="216"/>
  <c r="E21" i="216" s="1"/>
  <c r="E11" i="159"/>
  <c r="E21" i="159" s="1"/>
  <c r="E11" i="109"/>
  <c r="E21" i="109" s="1"/>
  <c r="E11" i="108"/>
  <c r="E21" i="108" s="1"/>
  <c r="E11" i="187"/>
  <c r="E21" i="187" s="1"/>
  <c r="E11" i="177"/>
  <c r="E21" i="177" s="1"/>
  <c r="E11" i="41"/>
  <c r="E21" i="41" s="1"/>
  <c r="E11" i="40"/>
  <c r="E21" i="40" s="1"/>
  <c r="E11" i="64"/>
  <c r="E21" i="64" s="1"/>
  <c r="E11" i="110"/>
  <c r="E21" i="110" s="1"/>
  <c r="E11" i="20"/>
  <c r="E21" i="20" s="1"/>
  <c r="E11" i="62"/>
  <c r="E21" i="62" s="1"/>
  <c r="E11" i="26"/>
  <c r="E21" i="26" s="1"/>
  <c r="E11" i="105"/>
  <c r="E21" i="105" s="1"/>
  <c r="E11" i="63"/>
  <c r="E21" i="63" s="1"/>
  <c r="E11" i="191"/>
  <c r="E21" i="191" s="1"/>
  <c r="E11" i="228"/>
  <c r="E21" i="228" s="1"/>
  <c r="E21" i="7" l="1"/>
  <c r="E21" i="69"/>
  <c r="E21" i="120"/>
  <c r="E21" i="79"/>
  <c r="E21" i="11"/>
  <c r="E21" i="1"/>
  <c r="E21" i="61"/>
  <c r="E21" i="58"/>
  <c r="E21" i="8"/>
  <c r="E21" i="84"/>
  <c r="E21" i="9"/>
  <c r="E21" i="6"/>
  <c r="E21" i="95"/>
  <c r="E21" i="67"/>
  <c r="E21" i="121"/>
  <c r="E77" i="121" s="1"/>
  <c r="E21" i="122"/>
  <c r="E21" i="17"/>
  <c r="E21" i="4"/>
  <c r="E21" i="60"/>
  <c r="E21" i="13"/>
  <c r="E21" i="94"/>
  <c r="E21" i="53"/>
  <c r="E21" i="10"/>
  <c r="E21" i="194"/>
  <c r="E21" i="81"/>
  <c r="E21" i="93"/>
  <c r="E21" i="78"/>
  <c r="E21" i="5"/>
  <c r="E62" i="121" l="1"/>
  <c r="E76" i="121"/>
  <c r="E69" i="121"/>
  <c r="E26" i="194" l="1"/>
  <c r="E41" i="194" s="1"/>
  <c r="E26" i="4"/>
  <c r="E41" i="4" s="1"/>
  <c r="E26" i="5"/>
  <c r="E41" i="5" s="1"/>
  <c r="E26" i="10"/>
  <c r="E41" i="10" s="1"/>
  <c r="E26" i="11"/>
  <c r="E41" i="11" s="1"/>
  <c r="E26" i="16"/>
  <c r="E41" i="16" s="1"/>
  <c r="E26" i="17"/>
  <c r="E41" i="17" s="1"/>
  <c r="E26" i="81"/>
  <c r="E41" i="81" s="1"/>
  <c r="E26" i="78"/>
  <c r="E41" i="78" s="1"/>
  <c r="E26" i="79"/>
  <c r="E41" i="79" s="1"/>
  <c r="E26" i="122"/>
  <c r="E41" i="122" s="1"/>
  <c r="E26" i="121"/>
  <c r="E41" i="121" s="1"/>
  <c r="E26" i="120"/>
  <c r="E41" i="120" s="1"/>
  <c r="E26" i="69"/>
  <c r="E41" i="69" s="1"/>
  <c r="E26" i="67"/>
  <c r="E41" i="67" s="1"/>
  <c r="E26" i="94"/>
  <c r="E41" i="94" s="1"/>
  <c r="E26" i="93"/>
  <c r="E41" i="93" s="1"/>
  <c r="E26" i="199"/>
  <c r="E41" i="199" s="1"/>
  <c r="E26" i="217"/>
  <c r="E41" i="217" s="1"/>
  <c r="E26" i="95"/>
  <c r="E41" i="95" s="1"/>
  <c r="E26" i="6"/>
  <c r="E41" i="6" s="1"/>
  <c r="E26" i="7"/>
  <c r="E41" i="7" s="1"/>
  <c r="E26" i="9"/>
  <c r="E41" i="9" s="1"/>
  <c r="E26" i="13"/>
  <c r="E41" i="13" s="1"/>
  <c r="E26" i="58"/>
  <c r="E41" i="58" s="1"/>
  <c r="E26" i="61"/>
  <c r="E41" i="61" s="1"/>
  <c r="E26" i="60"/>
  <c r="E41" i="60" s="1"/>
  <c r="E26" i="84"/>
  <c r="E41" i="84" s="1"/>
  <c r="E26" i="28"/>
  <c r="E41" i="28" s="1"/>
  <c r="E26" i="22"/>
  <c r="E41" i="22" s="1"/>
  <c r="E26" i="49"/>
  <c r="E41" i="49" s="1"/>
  <c r="E26" i="29"/>
  <c r="E41" i="29" s="1"/>
  <c r="E26" i="30"/>
  <c r="E41" i="30" s="1"/>
  <c r="E26" i="48"/>
  <c r="E41" i="48" s="1"/>
  <c r="E26" i="83"/>
  <c r="E41" i="83" s="1"/>
  <c r="E26" i="42"/>
  <c r="E41" i="42" s="1"/>
  <c r="E26" i="188"/>
  <c r="E41" i="188" s="1"/>
  <c r="E26" i="195"/>
  <c r="E41" i="195" s="1"/>
  <c r="E26" i="196"/>
  <c r="E41" i="196" s="1"/>
  <c r="E26" i="209"/>
  <c r="E41" i="209" s="1"/>
  <c r="E26" i="210"/>
  <c r="E41" i="210" s="1"/>
  <c r="E26" i="197"/>
  <c r="E41" i="197" s="1"/>
  <c r="E26" i="112"/>
  <c r="E41" i="112" s="1"/>
  <c r="E26" i="96"/>
  <c r="E41" i="96" s="1"/>
  <c r="E41" i="152"/>
  <c r="E26" i="211"/>
  <c r="E41" i="211" s="1"/>
  <c r="E26" i="218"/>
  <c r="E41" i="218" s="1"/>
  <c r="E26" i="106"/>
  <c r="E41" i="106" s="1"/>
  <c r="E26" i="123"/>
  <c r="E41" i="123" s="1"/>
  <c r="E26" i="33"/>
  <c r="E41" i="33" s="1"/>
  <c r="E26" i="34"/>
  <c r="E41" i="34" s="1"/>
  <c r="E26" i="124"/>
  <c r="E41" i="124" s="1"/>
  <c r="E26" i="57"/>
  <c r="E41" i="57" s="1"/>
  <c r="E26" i="55"/>
  <c r="E41" i="55" s="1"/>
  <c r="E26" i="43"/>
  <c r="E41" i="43" s="1"/>
  <c r="E26" i="189"/>
  <c r="E41" i="189" s="1"/>
  <c r="E26" i="212"/>
  <c r="E41" i="212" s="1"/>
  <c r="E26" i="202"/>
  <c r="E41" i="202" s="1"/>
  <c r="E26" i="201"/>
  <c r="E41" i="201" s="1"/>
  <c r="E26" i="24"/>
  <c r="E41" i="24" s="1"/>
  <c r="E26" i="149"/>
  <c r="E41" i="149" s="1"/>
  <c r="E26" i="148"/>
  <c r="E41" i="148" s="1"/>
  <c r="E26" i="224"/>
  <c r="E41" i="224" s="1"/>
  <c r="E26" i="186"/>
  <c r="E41" i="186" s="1"/>
  <c r="E26" i="153"/>
  <c r="E41" i="153" s="1"/>
  <c r="E26" i="47"/>
  <c r="E41" i="47" s="1"/>
  <c r="E26" i="27"/>
  <c r="E41" i="27" s="1"/>
  <c r="E26" i="70"/>
  <c r="E41" i="70" s="1"/>
  <c r="E26" i="71"/>
  <c r="E41" i="71" s="1"/>
  <c r="E26" i="72"/>
  <c r="E41" i="72" s="1"/>
  <c r="E26" i="73"/>
  <c r="E41" i="73" s="1"/>
  <c r="E26" i="74"/>
  <c r="E41" i="74" s="1"/>
  <c r="E26" i="75"/>
  <c r="E41" i="75" s="1"/>
  <c r="E26" i="77"/>
  <c r="E41" i="77" s="1"/>
  <c r="E26" i="36"/>
  <c r="E41" i="36" s="1"/>
  <c r="E26" i="37"/>
  <c r="E41" i="37" s="1"/>
  <c r="E26" i="161"/>
  <c r="E41" i="161" s="1"/>
  <c r="E26" i="115"/>
  <c r="E41" i="115" s="1"/>
  <c r="E26" i="92"/>
  <c r="E41" i="92" s="1"/>
  <c r="E26" i="90"/>
  <c r="E41" i="90" s="1"/>
  <c r="E26" i="76"/>
  <c r="E41" i="76" s="1"/>
  <c r="E26" i="138"/>
  <c r="E41" i="138" s="1"/>
  <c r="E26" i="136"/>
  <c r="E41" i="136" s="1"/>
  <c r="E26" i="137"/>
  <c r="E41" i="137" s="1"/>
  <c r="E26" i="163"/>
  <c r="E41" i="163" s="1"/>
  <c r="E26" i="213"/>
  <c r="E41" i="213" s="1"/>
  <c r="E26" i="164"/>
  <c r="E41" i="164" s="1"/>
  <c r="E26" i="114"/>
  <c r="E41" i="114" s="1"/>
  <c r="E26" i="193"/>
  <c r="E41" i="193" s="1"/>
  <c r="E26" i="88"/>
  <c r="E41" i="88" s="1"/>
  <c r="E26" i="167"/>
  <c r="E41" i="167" s="1"/>
  <c r="E26" i="129"/>
  <c r="E41" i="129" s="1"/>
  <c r="E26" i="168"/>
  <c r="E41" i="168" s="1"/>
  <c r="E26" i="169"/>
  <c r="E41" i="169" s="1"/>
  <c r="E26" i="46"/>
  <c r="E41" i="46" s="1"/>
  <c r="E26" i="89"/>
  <c r="E41" i="89" s="1"/>
  <c r="E26" i="128"/>
  <c r="E41" i="128" s="1"/>
  <c r="E26" i="85"/>
  <c r="E41" i="85" s="1"/>
  <c r="E26" i="103"/>
  <c r="E41" i="103" s="1"/>
  <c r="E26" i="102"/>
  <c r="E41" i="102" s="1"/>
  <c r="E26" i="104"/>
  <c r="E41" i="104" s="1"/>
  <c r="E26" i="170"/>
  <c r="E41" i="170" s="1"/>
  <c r="E26" i="165"/>
  <c r="E26" i="166"/>
  <c r="E41" i="166" s="1"/>
  <c r="E26" i="214"/>
  <c r="E41" i="214" s="1"/>
  <c r="E26" i="220"/>
  <c r="E41" i="220" s="1"/>
  <c r="E26" i="171"/>
  <c r="E41" i="171" s="1"/>
  <c r="E26" i="38"/>
  <c r="E41" i="38" s="1"/>
  <c r="E26" i="23"/>
  <c r="E41" i="23" s="1"/>
  <c r="E26" i="25"/>
  <c r="E41" i="25" s="1"/>
  <c r="E26" i="173"/>
  <c r="E41" i="173" s="1"/>
  <c r="E26" i="174"/>
  <c r="E41" i="174" s="1"/>
  <c r="E26" i="130"/>
  <c r="E41" i="130" s="1"/>
  <c r="E26" i="39"/>
  <c r="E41" i="39" s="1"/>
  <c r="E26" i="100"/>
  <c r="E26" i="99"/>
  <c r="E41" i="99" s="1"/>
  <c r="E26" i="205"/>
  <c r="E41" i="205" s="1"/>
  <c r="E26" i="101"/>
  <c r="E41" i="101" s="1"/>
  <c r="E26" i="143"/>
  <c r="E26" i="144"/>
  <c r="E41" i="144" s="1"/>
  <c r="E26" i="142"/>
  <c r="E26" i="147"/>
  <c r="E41" i="147" s="1"/>
  <c r="E26" i="179"/>
  <c r="E41" i="179" s="1"/>
  <c r="E26" i="146"/>
  <c r="E41" i="146" s="1"/>
  <c r="E26" i="133"/>
  <c r="E41" i="133" s="1"/>
  <c r="E26" i="132"/>
  <c r="E41" i="132" s="1"/>
  <c r="E26" i="135"/>
  <c r="E41" i="135" s="1"/>
  <c r="E26" i="134"/>
  <c r="E41" i="134" s="1"/>
  <c r="E26" i="113"/>
  <c r="E41" i="113" s="1"/>
  <c r="E26" i="140"/>
  <c r="E41" i="140" s="1"/>
  <c r="E26" i="227"/>
  <c r="E41" i="227" s="1"/>
  <c r="E26" i="175"/>
  <c r="E41" i="175" s="1"/>
  <c r="E26" i="216"/>
  <c r="E41" i="216" s="1"/>
  <c r="E26" i="159"/>
  <c r="E41" i="159" s="1"/>
  <c r="E26" i="109"/>
  <c r="E41" i="109" s="1"/>
  <c r="E26" i="108"/>
  <c r="E41" i="108" s="1"/>
  <c r="E26" i="187"/>
  <c r="E41" i="187" s="1"/>
  <c r="E26" i="177"/>
  <c r="E41" i="177" s="1"/>
  <c r="E26" i="41"/>
  <c r="E41" i="41" s="1"/>
  <c r="E26" i="40"/>
  <c r="E41" i="40" s="1"/>
  <c r="E26" i="64"/>
  <c r="E41" i="64" s="1"/>
  <c r="E26" i="110"/>
  <c r="E41" i="110" s="1"/>
  <c r="E26" i="20"/>
  <c r="E41" i="20" s="1"/>
  <c r="E26" i="62"/>
  <c r="E41" i="62" s="1"/>
  <c r="E26" i="26"/>
  <c r="E41" i="26" s="1"/>
  <c r="E26" i="105"/>
  <c r="E41" i="105" s="1"/>
  <c r="E26" i="63"/>
  <c r="E41" i="63" s="1"/>
  <c r="E26" i="191"/>
  <c r="E41" i="191" s="1"/>
  <c r="E26" i="228"/>
  <c r="E41" i="228" s="1"/>
  <c r="E26" i="1"/>
  <c r="E41" i="1" s="1"/>
  <c r="E18" i="80" l="1"/>
  <c r="E23" i="80" s="1"/>
  <c r="E74" i="228" l="1"/>
  <c r="E75" i="228" s="1"/>
  <c r="D72" i="228"/>
  <c r="E64" i="228"/>
  <c r="D64" i="228"/>
  <c r="D58" i="228" s="1"/>
  <c r="D74" i="228" s="1"/>
  <c r="D75" i="228" s="1"/>
  <c r="D72" i="227"/>
  <c r="D64" i="227" l="1"/>
  <c r="D58" i="227" s="1"/>
  <c r="D74" i="227" l="1"/>
  <c r="D75" i="227" s="1"/>
  <c r="E58" i="227"/>
  <c r="E64" i="227" l="1"/>
  <c r="E74" i="227"/>
  <c r="E75" i="227" s="1"/>
  <c r="D72" i="226" l="1"/>
  <c r="D64" i="226" l="1"/>
  <c r="D58" i="226" s="1"/>
  <c r="D74" i="226" l="1"/>
  <c r="D75" i="226" s="1"/>
  <c r="E74" i="226" l="1"/>
  <c r="E75" i="226" s="1"/>
  <c r="E64" i="226"/>
  <c r="D72" i="224" l="1"/>
  <c r="D64" i="224" l="1"/>
  <c r="D58" i="224" s="1"/>
  <c r="D74" i="224" s="1"/>
  <c r="D76" i="224" s="1"/>
  <c r="E58" i="224" l="1"/>
  <c r="E64" i="224" s="1"/>
  <c r="E74" i="224" l="1"/>
  <c r="E76" i="224" s="1"/>
  <c r="D71" i="84" l="1"/>
  <c r="D72" i="220" l="1"/>
  <c r="D72" i="218"/>
  <c r="D64" i="218" l="1"/>
  <c r="D58" i="218" s="1"/>
  <c r="D74" i="218" s="1"/>
  <c r="D76" i="218" s="1"/>
  <c r="D64" i="220"/>
  <c r="D58" i="220" s="1"/>
  <c r="E58" i="218" l="1"/>
  <c r="E74" i="218" s="1"/>
  <c r="E76" i="218" s="1"/>
  <c r="D74" i="220"/>
  <c r="D75" i="220" s="1"/>
  <c r="E58" i="220"/>
  <c r="E64" i="218" l="1"/>
  <c r="E74" i="220"/>
  <c r="E75" i="220" s="1"/>
  <c r="E64" i="220"/>
  <c r="D71" i="8" l="1"/>
  <c r="D73" i="10" l="1"/>
  <c r="D73" i="11"/>
  <c r="D73" i="17"/>
  <c r="D73" i="69"/>
  <c r="D73" i="7"/>
  <c r="D64" i="48"/>
  <c r="D73" i="48"/>
  <c r="D64" i="196"/>
  <c r="D58" i="196" s="1"/>
  <c r="D73" i="196"/>
  <c r="D64" i="70"/>
  <c r="D58" i="70" s="1"/>
  <c r="D73" i="70"/>
  <c r="D64" i="71"/>
  <c r="D58" i="71" s="1"/>
  <c r="D73" i="71"/>
  <c r="D64" i="72"/>
  <c r="D73" i="72"/>
  <c r="D64" i="73"/>
  <c r="D58" i="73" s="1"/>
  <c r="D73" i="73"/>
  <c r="D64" i="74"/>
  <c r="D58" i="74" s="1"/>
  <c r="E58" i="74" s="1"/>
  <c r="E64" i="74" s="1"/>
  <c r="D73" i="74"/>
  <c r="D64" i="55"/>
  <c r="D58" i="55" s="1"/>
  <c r="D73" i="55"/>
  <c r="D64" i="37"/>
  <c r="D73" i="37"/>
  <c r="D64" i="90"/>
  <c r="D58" i="90" s="1"/>
  <c r="D73" i="90"/>
  <c r="D64" i="153"/>
  <c r="D58" i="153" s="1"/>
  <c r="D73" i="153"/>
  <c r="D64" i="23"/>
  <c r="D58" i="23" s="1"/>
  <c r="D73" i="23"/>
  <c r="D64" i="143"/>
  <c r="D58" i="143" s="1"/>
  <c r="D73" i="143"/>
  <c r="D64" i="134"/>
  <c r="D58" i="134" s="1"/>
  <c r="D73" i="134"/>
  <c r="D64" i="177"/>
  <c r="D73" i="177"/>
  <c r="D64" i="110"/>
  <c r="D58" i="110" s="1"/>
  <c r="D73" i="110"/>
  <c r="D64" i="20"/>
  <c r="D73" i="20"/>
  <c r="D73" i="217"/>
  <c r="D72" i="217"/>
  <c r="D71" i="217"/>
  <c r="D71" i="4"/>
  <c r="D71" i="5"/>
  <c r="D71" i="10"/>
  <c r="D71" i="11"/>
  <c r="D71" i="16"/>
  <c r="D71" i="17"/>
  <c r="D71" i="81"/>
  <c r="D71" i="78"/>
  <c r="D71" i="79"/>
  <c r="D71" i="122"/>
  <c r="D71" i="121"/>
  <c r="E71" i="121" s="1"/>
  <c r="D71" i="120"/>
  <c r="D71" i="69"/>
  <c r="D71" i="67"/>
  <c r="E71" i="67" s="1"/>
  <c r="D71" i="53"/>
  <c r="D71" i="94"/>
  <c r="D71" i="93"/>
  <c r="E71" i="93" s="1"/>
  <c r="D71" i="199"/>
  <c r="D71" i="194"/>
  <c r="D72" i="216"/>
  <c r="D72" i="215"/>
  <c r="D72" i="214"/>
  <c r="D72" i="213"/>
  <c r="D72" i="212"/>
  <c r="D72" i="211"/>
  <c r="D72" i="210"/>
  <c r="D72" i="209"/>
  <c r="D72" i="205"/>
  <c r="D72" i="201"/>
  <c r="D72" i="202"/>
  <c r="D58" i="20"/>
  <c r="E58" i="20" s="1"/>
  <c r="E64" i="20" s="1"/>
  <c r="D58" i="177"/>
  <c r="E58" i="177" s="1"/>
  <c r="E64" i="177" s="1"/>
  <c r="D58" i="37"/>
  <c r="D58" i="72"/>
  <c r="D74" i="72" s="1"/>
  <c r="D76" i="72" s="1"/>
  <c r="D58" i="84"/>
  <c r="D73" i="84"/>
  <c r="D58" i="60"/>
  <c r="D73" i="60"/>
  <c r="D58" i="61"/>
  <c r="D74" i="61" s="1"/>
  <c r="D73" i="61"/>
  <c r="D58" i="58"/>
  <c r="D73" i="58"/>
  <c r="D58" i="13"/>
  <c r="D73" i="13"/>
  <c r="D73" i="9"/>
  <c r="D58" i="8"/>
  <c r="D73" i="8"/>
  <c r="D58" i="6"/>
  <c r="D73" i="6"/>
  <c r="D71" i="95"/>
  <c r="D58" i="95"/>
  <c r="D72" i="199"/>
  <c r="D58" i="199"/>
  <c r="D73" i="199"/>
  <c r="D72" i="197"/>
  <c r="D72" i="196"/>
  <c r="D72" i="195"/>
  <c r="D73" i="95"/>
  <c r="D58" i="93"/>
  <c r="D58" i="94"/>
  <c r="D73" i="94"/>
  <c r="D58" i="53"/>
  <c r="D73" i="53"/>
  <c r="E73" i="53" s="1"/>
  <c r="D58" i="67"/>
  <c r="D73" i="67"/>
  <c r="D58" i="69"/>
  <c r="D58" i="120"/>
  <c r="D73" i="120"/>
  <c r="D58" i="10"/>
  <c r="D58" i="11"/>
  <c r="D58" i="16"/>
  <c r="D58" i="17"/>
  <c r="D58" i="81"/>
  <c r="D58" i="78"/>
  <c r="D58" i="79"/>
  <c r="D58" i="122"/>
  <c r="D58" i="121"/>
  <c r="D58" i="5"/>
  <c r="D73" i="16"/>
  <c r="D73" i="81"/>
  <c r="D73" i="78"/>
  <c r="D73" i="79"/>
  <c r="D73" i="122"/>
  <c r="D73" i="121"/>
  <c r="D72" i="10"/>
  <c r="D72" i="11"/>
  <c r="D72" i="16"/>
  <c r="D72" i="78"/>
  <c r="D72" i="79"/>
  <c r="D72" i="122"/>
  <c r="D72" i="121"/>
  <c r="D72" i="5"/>
  <c r="D58" i="4"/>
  <c r="D58" i="194"/>
  <c r="D58" i="48"/>
  <c r="D64" i="30"/>
  <c r="D58" i="30" s="1"/>
  <c r="D72" i="191"/>
  <c r="D72" i="63"/>
  <c r="D72" i="105"/>
  <c r="D72" i="26"/>
  <c r="D72" i="62"/>
  <c r="D72" i="20"/>
  <c r="D72" i="110"/>
  <c r="D72" i="64"/>
  <c r="D72" i="40"/>
  <c r="D72" i="41"/>
  <c r="D72" i="177"/>
  <c r="D72" i="187"/>
  <c r="D72" i="108"/>
  <c r="D72" i="109"/>
  <c r="D72" i="159"/>
  <c r="D72" i="175"/>
  <c r="D72" i="140"/>
  <c r="D72" i="113"/>
  <c r="D72" i="134"/>
  <c r="D72" i="135"/>
  <c r="D72" i="132"/>
  <c r="D72" i="133"/>
  <c r="D72" i="146"/>
  <c r="D72" i="179"/>
  <c r="D72" i="147"/>
  <c r="D72" i="142"/>
  <c r="D72" i="144"/>
  <c r="D72" i="143"/>
  <c r="D72" i="101"/>
  <c r="D72" i="99"/>
  <c r="D72" i="100"/>
  <c r="D72" i="39"/>
  <c r="D72" i="130"/>
  <c r="D72" i="174"/>
  <c r="D72" i="173"/>
  <c r="D72" i="25"/>
  <c r="D72" i="23"/>
  <c r="D72" i="38"/>
  <c r="D72" i="171"/>
  <c r="D72" i="166"/>
  <c r="D72" i="165"/>
  <c r="D72" i="170"/>
  <c r="D72" i="104"/>
  <c r="D72" i="102"/>
  <c r="D72" i="103"/>
  <c r="D72" i="85"/>
  <c r="D72" i="128"/>
  <c r="D72" i="89"/>
  <c r="D72" i="46"/>
  <c r="D72" i="169"/>
  <c r="D72" i="168"/>
  <c r="D72" i="129"/>
  <c r="D72" i="167"/>
  <c r="D72" i="88"/>
  <c r="D72" i="193"/>
  <c r="D72" i="114"/>
  <c r="D72" i="164"/>
  <c r="D72" i="163"/>
  <c r="D72" i="137"/>
  <c r="D72" i="136"/>
  <c r="D72" i="138"/>
  <c r="D72" i="76"/>
  <c r="D72" i="90"/>
  <c r="D72" i="92"/>
  <c r="D72" i="115"/>
  <c r="D72" i="161"/>
  <c r="D72" i="37"/>
  <c r="D72" i="36"/>
  <c r="D72" i="77"/>
  <c r="D72" i="75"/>
  <c r="D72" i="74"/>
  <c r="D72" i="73"/>
  <c r="D72" i="72"/>
  <c r="D72" i="71"/>
  <c r="D72" i="27"/>
  <c r="D72" i="47"/>
  <c r="D72" i="153"/>
  <c r="D72" i="35"/>
  <c r="D72" i="186"/>
  <c r="D72" i="148"/>
  <c r="D72" i="149"/>
  <c r="D72" i="24"/>
  <c r="D72" i="189"/>
  <c r="D72" i="43"/>
  <c r="D72" i="55"/>
  <c r="D72" i="57"/>
  <c r="D72" i="124"/>
  <c r="D72" i="34"/>
  <c r="D72" i="33"/>
  <c r="D72" i="123"/>
  <c r="D72" i="106"/>
  <c r="D72" i="152"/>
  <c r="D72" i="151"/>
  <c r="D72" i="96"/>
  <c r="D72" i="112"/>
  <c r="D72" i="156"/>
  <c r="D72" i="188"/>
  <c r="D72" i="42"/>
  <c r="D72" i="83"/>
  <c r="D72" i="48"/>
  <c r="D72" i="30"/>
  <c r="D72" i="29"/>
  <c r="D72" i="49"/>
  <c r="D72" i="22"/>
  <c r="D72" i="28"/>
  <c r="D72" i="84"/>
  <c r="D72" i="60"/>
  <c r="D72" i="61"/>
  <c r="D72" i="58"/>
  <c r="D72" i="13"/>
  <c r="D72" i="9"/>
  <c r="D72" i="7"/>
  <c r="D72" i="6"/>
  <c r="D72" i="95"/>
  <c r="D72" i="93"/>
  <c r="D72" i="53"/>
  <c r="E72" i="53" s="1"/>
  <c r="D72" i="120"/>
  <c r="D72" i="4"/>
  <c r="D72" i="194"/>
  <c r="E69" i="53"/>
  <c r="E64" i="53"/>
  <c r="D74" i="6" l="1"/>
  <c r="D75" i="6" s="1"/>
  <c r="D74" i="58"/>
  <c r="D75" i="58" s="1"/>
  <c r="D74" i="95"/>
  <c r="D75" i="95" s="1"/>
  <c r="E58" i="72"/>
  <c r="E64" i="72" s="1"/>
  <c r="D74" i="196"/>
  <c r="D75" i="196" s="1"/>
  <c r="E58" i="196"/>
  <c r="E64" i="196" s="1"/>
  <c r="D74" i="120"/>
  <c r="D75" i="120" s="1"/>
  <c r="D74" i="4"/>
  <c r="D75" i="4" s="1"/>
  <c r="D74" i="70"/>
  <c r="D76" i="70" s="1"/>
  <c r="D74" i="194"/>
  <c r="D75" i="194" s="1"/>
  <c r="E58" i="37"/>
  <c r="E64" i="37" s="1"/>
  <c r="E58" i="110"/>
  <c r="E64" i="110" s="1"/>
  <c r="E58" i="153"/>
  <c r="E64" i="153" s="1"/>
  <c r="D74" i="60"/>
  <c r="D75" i="60" s="1"/>
  <c r="E72" i="93"/>
  <c r="D72" i="69"/>
  <c r="D74" i="69" s="1"/>
  <c r="D75" i="69" s="1"/>
  <c r="E58" i="70"/>
  <c r="E64" i="70" s="1"/>
  <c r="E73" i="6"/>
  <c r="D72" i="94"/>
  <c r="E72" i="4"/>
  <c r="D64" i="156"/>
  <c r="D58" i="156" s="1"/>
  <c r="D58" i="9"/>
  <c r="D74" i="9" s="1"/>
  <c r="D75" i="9" s="1"/>
  <c r="D72" i="8"/>
  <c r="D74" i="8" s="1"/>
  <c r="D75" i="8" s="1"/>
  <c r="E76" i="93"/>
  <c r="E76" i="53"/>
  <c r="D74" i="53"/>
  <c r="D72" i="67"/>
  <c r="D74" i="67" s="1"/>
  <c r="D75" i="67" s="1"/>
  <c r="E58" i="6"/>
  <c r="E64" i="6"/>
  <c r="D64" i="191"/>
  <c r="D58" i="191" s="1"/>
  <c r="E58" i="191" s="1"/>
  <c r="D64" i="63"/>
  <c r="D58" i="63" s="1"/>
  <c r="D74" i="63" s="1"/>
  <c r="D75" i="63" s="1"/>
  <c r="D64" i="105"/>
  <c r="D58" i="105" s="1"/>
  <c r="E58" i="105" s="1"/>
  <c r="E64" i="105" s="1"/>
  <c r="D64" i="26"/>
  <c r="D58" i="26" s="1"/>
  <c r="D64" i="62"/>
  <c r="D58" i="62" s="1"/>
  <c r="D64" i="40"/>
  <c r="D58" i="40" s="1"/>
  <c r="D64" i="187"/>
  <c r="D58" i="187" s="1"/>
  <c r="D64" i="108"/>
  <c r="D58" i="108" s="1"/>
  <c r="E58" i="108" s="1"/>
  <c r="D64" i="216"/>
  <c r="D58" i="216" s="1"/>
  <c r="E58" i="216" s="1"/>
  <c r="D64" i="215"/>
  <c r="D58" i="215" s="1"/>
  <c r="D64" i="175"/>
  <c r="D58" i="175" s="1"/>
  <c r="E58" i="175" s="1"/>
  <c r="D64" i="140"/>
  <c r="D58" i="140" s="1"/>
  <c r="D64" i="113"/>
  <c r="D58" i="113" s="1"/>
  <c r="D64" i="146"/>
  <c r="D58" i="146" s="1"/>
  <c r="E58" i="146" s="1"/>
  <c r="D64" i="144"/>
  <c r="D58" i="144" s="1"/>
  <c r="D64" i="205"/>
  <c r="D58" i="205" s="1"/>
  <c r="D64" i="99"/>
  <c r="D58" i="99" s="1"/>
  <c r="D74" i="99" s="1"/>
  <c r="D75" i="99" s="1"/>
  <c r="D64" i="100"/>
  <c r="D58" i="100" s="1"/>
  <c r="D64" i="39"/>
  <c r="D58" i="39" s="1"/>
  <c r="D64" i="130"/>
  <c r="D58" i="130" s="1"/>
  <c r="D64" i="174"/>
  <c r="D58" i="174" s="1"/>
  <c r="D74" i="174" s="1"/>
  <c r="D75" i="174" s="1"/>
  <c r="D64" i="25"/>
  <c r="D58" i="25" s="1"/>
  <c r="E58" i="25" s="1"/>
  <c r="E64" i="25" s="1"/>
  <c r="D64" i="38"/>
  <c r="D58" i="38" s="1"/>
  <c r="D64" i="171"/>
  <c r="D58" i="171" s="1"/>
  <c r="E58" i="171" s="1"/>
  <c r="E64" i="171" s="1"/>
  <c r="D64" i="214"/>
  <c r="D58" i="214" s="1"/>
  <c r="E58" i="214" s="1"/>
  <c r="D64" i="166"/>
  <c r="D58" i="166" s="1"/>
  <c r="D64" i="165"/>
  <c r="D58" i="165" s="1"/>
  <c r="D64" i="170"/>
  <c r="D58" i="170" s="1"/>
  <c r="E58" i="170" s="1"/>
  <c r="E64" i="170" s="1"/>
  <c r="D64" i="102"/>
  <c r="D58" i="102" s="1"/>
  <c r="D74" i="102" s="1"/>
  <c r="D75" i="102" s="1"/>
  <c r="D64" i="103"/>
  <c r="D58" i="103" s="1"/>
  <c r="E58" i="103" s="1"/>
  <c r="D64" i="89"/>
  <c r="D58" i="89" s="1"/>
  <c r="D74" i="89" s="1"/>
  <c r="D75" i="89" s="1"/>
  <c r="D64" i="168"/>
  <c r="D58" i="168" s="1"/>
  <c r="D64" i="88"/>
  <c r="D58" i="88" s="1"/>
  <c r="D74" i="88" s="1"/>
  <c r="D75" i="88" s="1"/>
  <c r="D64" i="114"/>
  <c r="D58" i="114" s="1"/>
  <c r="D74" i="114" s="1"/>
  <c r="D75" i="114" s="1"/>
  <c r="D64" i="164"/>
  <c r="D58" i="164" s="1"/>
  <c r="D74" i="164" s="1"/>
  <c r="D75" i="164" s="1"/>
  <c r="D64" i="92"/>
  <c r="D58" i="92" s="1"/>
  <c r="D64" i="163"/>
  <c r="D58" i="163" s="1"/>
  <c r="E58" i="163" s="1"/>
  <c r="E64" i="163" s="1"/>
  <c r="D64" i="137"/>
  <c r="D58" i="137" s="1"/>
  <c r="D64" i="136"/>
  <c r="D58" i="136" s="1"/>
  <c r="D74" i="136" s="1"/>
  <c r="D75" i="136" s="1"/>
  <c r="D64" i="138"/>
  <c r="D58" i="138" s="1"/>
  <c r="D74" i="90"/>
  <c r="D75" i="90" s="1"/>
  <c r="E58" i="90"/>
  <c r="E64" i="90" s="1"/>
  <c r="D64" i="115"/>
  <c r="D58" i="115" s="1"/>
  <c r="D64" i="161"/>
  <c r="D58" i="161" s="1"/>
  <c r="D64" i="36"/>
  <c r="D58" i="36" s="1"/>
  <c r="D64" i="77"/>
  <c r="D58" i="77" s="1"/>
  <c r="E58" i="77" s="1"/>
  <c r="D64" i="75"/>
  <c r="D58" i="75" s="1"/>
  <c r="D74" i="75" s="1"/>
  <c r="D76" i="75" s="1"/>
  <c r="D74" i="71"/>
  <c r="D76" i="71" s="1"/>
  <c r="E58" i="71"/>
  <c r="E64" i="71" s="1"/>
  <c r="D64" i="149"/>
  <c r="D58" i="149" s="1"/>
  <c r="D64" i="24"/>
  <c r="D58" i="24" s="1"/>
  <c r="D74" i="24" s="1"/>
  <c r="D76" i="24" s="1"/>
  <c r="D64" i="201"/>
  <c r="D58" i="201" s="1"/>
  <c r="D74" i="201" s="1"/>
  <c r="D75" i="201" s="1"/>
  <c r="D64" i="212"/>
  <c r="D58" i="212" s="1"/>
  <c r="D74" i="212" s="1"/>
  <c r="D75" i="212" s="1"/>
  <c r="D64" i="189"/>
  <c r="D58" i="189" s="1"/>
  <c r="E58" i="189" s="1"/>
  <c r="D64" i="43"/>
  <c r="D58" i="43" s="1"/>
  <c r="D64" i="124"/>
  <c r="D58" i="124" s="1"/>
  <c r="D64" i="34"/>
  <c r="D58" i="34" s="1"/>
  <c r="D64" i="123"/>
  <c r="D58" i="123" s="1"/>
  <c r="D64" i="106"/>
  <c r="D58" i="106" s="1"/>
  <c r="D64" i="211"/>
  <c r="D58" i="211" s="1"/>
  <c r="E58" i="211" s="1"/>
  <c r="D64" i="151"/>
  <c r="D58" i="151" s="1"/>
  <c r="D64" i="96"/>
  <c r="D58" i="96" s="1"/>
  <c r="D64" i="112"/>
  <c r="D58" i="112" s="1"/>
  <c r="E58" i="112" s="1"/>
  <c r="D64" i="28"/>
  <c r="D58" i="28" s="1"/>
  <c r="E58" i="28" s="1"/>
  <c r="D72" i="81"/>
  <c r="D74" i="81" s="1"/>
  <c r="D75" i="81" s="1"/>
  <c r="D72" i="17"/>
  <c r="E72" i="17" s="1"/>
  <c r="E71" i="95"/>
  <c r="E64" i="95"/>
  <c r="E58" i="95"/>
  <c r="E73" i="95"/>
  <c r="D74" i="122"/>
  <c r="D75" i="122" s="1"/>
  <c r="E58" i="63"/>
  <c r="D74" i="199"/>
  <c r="D75" i="199" s="1"/>
  <c r="D74" i="84"/>
  <c r="D75" i="84" s="1"/>
  <c r="D74" i="23"/>
  <c r="E73" i="23"/>
  <c r="D64" i="41"/>
  <c r="D58" i="41" s="1"/>
  <c r="D64" i="101"/>
  <c r="D58" i="101" s="1"/>
  <c r="D64" i="173"/>
  <c r="D58" i="173" s="1"/>
  <c r="D64" i="104"/>
  <c r="D58" i="104" s="1"/>
  <c r="D64" i="213"/>
  <c r="D58" i="213" s="1"/>
  <c r="D74" i="213" s="1"/>
  <c r="D75" i="213" s="1"/>
  <c r="D64" i="76"/>
  <c r="D58" i="76" s="1"/>
  <c r="E58" i="76" s="1"/>
  <c r="D74" i="73"/>
  <c r="D76" i="73" s="1"/>
  <c r="E58" i="73"/>
  <c r="E64" i="73" s="1"/>
  <c r="D64" i="27"/>
  <c r="D58" i="27" s="1"/>
  <c r="D74" i="27" s="1"/>
  <c r="D76" i="27" s="1"/>
  <c r="D64" i="202"/>
  <c r="D58" i="202" s="1"/>
  <c r="E58" i="202" s="1"/>
  <c r="D64" i="57"/>
  <c r="D58" i="57" s="1"/>
  <c r="D64" i="33"/>
  <c r="D58" i="33" s="1"/>
  <c r="E58" i="53"/>
  <c r="E74" i="53" s="1"/>
  <c r="E64" i="4"/>
  <c r="D74" i="13"/>
  <c r="D75" i="13" s="1"/>
  <c r="D72" i="1"/>
  <c r="D74" i="1" s="1"/>
  <c r="E58" i="199"/>
  <c r="E64" i="199"/>
  <c r="E73" i="199"/>
  <c r="E69" i="199"/>
  <c r="D74" i="20"/>
  <c r="D75" i="20" s="1"/>
  <c r="D74" i="110"/>
  <c r="D75" i="110" s="1"/>
  <c r="D64" i="64"/>
  <c r="D58" i="64" s="1"/>
  <c r="E58" i="64" s="1"/>
  <c r="D75" i="177"/>
  <c r="D74" i="177" s="1"/>
  <c r="D64" i="109"/>
  <c r="D58" i="109" s="1"/>
  <c r="D64" i="159"/>
  <c r="D58" i="159" s="1"/>
  <c r="D74" i="134"/>
  <c r="D75" i="134" s="1"/>
  <c r="D64" i="135"/>
  <c r="D58" i="135" s="1"/>
  <c r="D64" i="132"/>
  <c r="D58" i="132" s="1"/>
  <c r="D64" i="133"/>
  <c r="D58" i="133" s="1"/>
  <c r="D64" i="179"/>
  <c r="D58" i="179" s="1"/>
  <c r="D64" i="147"/>
  <c r="D58" i="147" s="1"/>
  <c r="D74" i="147" s="1"/>
  <c r="D76" i="147" s="1"/>
  <c r="D64" i="142"/>
  <c r="D58" i="142" s="1"/>
  <c r="D74" i="143"/>
  <c r="D75" i="143" s="1"/>
  <c r="D64" i="85"/>
  <c r="D58" i="85" s="1"/>
  <c r="D64" i="128"/>
  <c r="D64" i="46"/>
  <c r="D58" i="46" s="1"/>
  <c r="E58" i="46" s="1"/>
  <c r="D64" i="169"/>
  <c r="D58" i="169" s="1"/>
  <c r="E58" i="169" s="1"/>
  <c r="D64" i="129"/>
  <c r="D58" i="129" s="1"/>
  <c r="D74" i="129" s="1"/>
  <c r="D75" i="129" s="1"/>
  <c r="D64" i="167"/>
  <c r="D58" i="167" s="1"/>
  <c r="D74" i="167" s="1"/>
  <c r="D75" i="167" s="1"/>
  <c r="D64" i="193"/>
  <c r="D58" i="193" s="1"/>
  <c r="E58" i="193" s="1"/>
  <c r="E74" i="193" s="1"/>
  <c r="E75" i="193" s="1"/>
  <c r="D74" i="37"/>
  <c r="D75" i="37" s="1"/>
  <c r="D74" i="74"/>
  <c r="D76" i="74" s="1"/>
  <c r="D64" i="47"/>
  <c r="D58" i="47" s="1"/>
  <c r="D74" i="153"/>
  <c r="D75" i="153" s="1"/>
  <c r="D64" i="35"/>
  <c r="D58" i="35" s="1"/>
  <c r="D64" i="186"/>
  <c r="D58" i="186" s="1"/>
  <c r="D64" i="148"/>
  <c r="D58" i="148" s="1"/>
  <c r="D64" i="152"/>
  <c r="D58" i="152" s="1"/>
  <c r="D64" i="197"/>
  <c r="D58" i="197" s="1"/>
  <c r="D64" i="210"/>
  <c r="D58" i="210" s="1"/>
  <c r="E58" i="210" s="1"/>
  <c r="D64" i="209"/>
  <c r="D58" i="209" s="1"/>
  <c r="E58" i="209" s="1"/>
  <c r="D64" i="195"/>
  <c r="D58" i="195" s="1"/>
  <c r="E58" i="195" s="1"/>
  <c r="D64" i="188"/>
  <c r="D58" i="188" s="1"/>
  <c r="E58" i="188" s="1"/>
  <c r="D64" i="42"/>
  <c r="D58" i="42" s="1"/>
  <c r="E58" i="42" s="1"/>
  <c r="D64" i="83"/>
  <c r="D58" i="83" s="1"/>
  <c r="D74" i="83" s="1"/>
  <c r="D75" i="83" s="1"/>
  <c r="D74" i="48"/>
  <c r="D75" i="48" s="1"/>
  <c r="D64" i="29"/>
  <c r="D58" i="29" s="1"/>
  <c r="E58" i="29" s="1"/>
  <c r="D64" i="49"/>
  <c r="D58" i="49" s="1"/>
  <c r="E58" i="49" s="1"/>
  <c r="D64" i="22"/>
  <c r="D58" i="22" s="1"/>
  <c r="D74" i="22" s="1"/>
  <c r="D75" i="22" s="1"/>
  <c r="D75" i="61"/>
  <c r="D74" i="146"/>
  <c r="D76" i="146" s="1"/>
  <c r="E64" i="143"/>
  <c r="E58" i="36"/>
  <c r="D74" i="36"/>
  <c r="D75" i="36" s="1"/>
  <c r="D74" i="55"/>
  <c r="D75" i="55" s="1"/>
  <c r="E58" i="55"/>
  <c r="E64" i="55" s="1"/>
  <c r="D74" i="112"/>
  <c r="D75" i="112" s="1"/>
  <c r="D74" i="156"/>
  <c r="D75" i="156" s="1"/>
  <c r="E64" i="93"/>
  <c r="E69" i="93"/>
  <c r="D73" i="93"/>
  <c r="D74" i="93" s="1"/>
  <c r="D75" i="93" s="1"/>
  <c r="E75" i="93" s="1"/>
  <c r="E73" i="67"/>
  <c r="E69" i="67"/>
  <c r="E72" i="67"/>
  <c r="E58" i="67"/>
  <c r="D74" i="121"/>
  <c r="D75" i="121" s="1"/>
  <c r="E75" i="121" s="1"/>
  <c r="D74" i="78"/>
  <c r="D75" i="78" s="1"/>
  <c r="E64" i="81"/>
  <c r="E69" i="81"/>
  <c r="E58" i="81"/>
  <c r="E72" i="81"/>
  <c r="E64" i="17"/>
  <c r="E58" i="17"/>
  <c r="E69" i="17"/>
  <c r="E73" i="17"/>
  <c r="D74" i="11"/>
  <c r="D75" i="11" s="1"/>
  <c r="D74" i="10"/>
  <c r="D75" i="10" s="1"/>
  <c r="D74" i="5"/>
  <c r="D75" i="5" s="1"/>
  <c r="E64" i="5"/>
  <c r="E58" i="5"/>
  <c r="E73" i="5"/>
  <c r="E72" i="5"/>
  <c r="E69" i="5"/>
  <c r="E58" i="4"/>
  <c r="E73" i="4"/>
  <c r="E69" i="4"/>
  <c r="E74" i="25"/>
  <c r="E75" i="25" s="1"/>
  <c r="D74" i="28"/>
  <c r="D75" i="28" s="1"/>
  <c r="E64" i="194"/>
  <c r="E58" i="194"/>
  <c r="E73" i="194"/>
  <c r="E69" i="194"/>
  <c r="E73" i="120"/>
  <c r="E72" i="120"/>
  <c r="E69" i="120"/>
  <c r="E64" i="120"/>
  <c r="E58" i="120"/>
  <c r="E73" i="69"/>
  <c r="E58" i="69"/>
  <c r="E64" i="69"/>
  <c r="E71" i="69"/>
  <c r="E69" i="69"/>
  <c r="D74" i="30"/>
  <c r="D75" i="30" s="1"/>
  <c r="E58" i="30"/>
  <c r="D74" i="16"/>
  <c r="D75" i="16" s="1"/>
  <c r="E73" i="81"/>
  <c r="E64" i="67"/>
  <c r="E58" i="93"/>
  <c r="D74" i="25"/>
  <c r="D75" i="25" s="1"/>
  <c r="E73" i="177"/>
  <c r="E74" i="177" s="1"/>
  <c r="E75" i="177" s="1"/>
  <c r="E73" i="37"/>
  <c r="E73" i="71"/>
  <c r="E58" i="174"/>
  <c r="D74" i="165"/>
  <c r="D75" i="165" s="1"/>
  <c r="D74" i="103"/>
  <c r="D75" i="103" s="1"/>
  <c r="E73" i="217"/>
  <c r="E69" i="217"/>
  <c r="E64" i="217"/>
  <c r="E72" i="194"/>
  <c r="E58" i="75"/>
  <c r="D74" i="163"/>
  <c r="D75" i="163" s="1"/>
  <c r="D74" i="100"/>
  <c r="D75" i="100" s="1"/>
  <c r="E74" i="134"/>
  <c r="E75" i="134" s="1"/>
  <c r="E73" i="153"/>
  <c r="E73" i="73"/>
  <c r="E73" i="70"/>
  <c r="E58" i="205"/>
  <c r="D74" i="205"/>
  <c r="D75" i="205" s="1"/>
  <c r="D74" i="216"/>
  <c r="D75" i="216" s="1"/>
  <c r="E73" i="20"/>
  <c r="E74" i="20" s="1"/>
  <c r="E75" i="20" s="1"/>
  <c r="E73" i="55"/>
  <c r="E73" i="72"/>
  <c r="E58" i="26"/>
  <c r="D74" i="26"/>
  <c r="D75" i="26" s="1"/>
  <c r="E58" i="164"/>
  <c r="E58" i="161"/>
  <c r="D74" i="161"/>
  <c r="D75" i="161" s="1"/>
  <c r="D74" i="94"/>
  <c r="D75" i="94" s="1"/>
  <c r="E73" i="110"/>
  <c r="E73" i="90"/>
  <c r="E73" i="74"/>
  <c r="E74" i="74" s="1"/>
  <c r="E76" i="74" s="1"/>
  <c r="E73" i="196"/>
  <c r="E74" i="196" s="1"/>
  <c r="E75" i="196" s="1"/>
  <c r="D74" i="79"/>
  <c r="D75" i="79" s="1"/>
  <c r="E58" i="99" l="1"/>
  <c r="D74" i="170"/>
  <c r="D75" i="170" s="1"/>
  <c r="E74" i="70"/>
  <c r="E76" i="70" s="1"/>
  <c r="E74" i="153"/>
  <c r="E75" i="153" s="1"/>
  <c r="E58" i="129"/>
  <c r="E74" i="6"/>
  <c r="E75" i="6" s="1"/>
  <c r="E72" i="69"/>
  <c r="E58" i="88"/>
  <c r="E74" i="72"/>
  <c r="E76" i="72" s="1"/>
  <c r="D75" i="53"/>
  <c r="E75" i="53" s="1"/>
  <c r="D74" i="215"/>
  <c r="D75" i="215" s="1"/>
  <c r="E74" i="110"/>
  <c r="E75" i="110" s="1"/>
  <c r="E74" i="71"/>
  <c r="E76" i="71" s="1"/>
  <c r="E74" i="171"/>
  <c r="E75" i="171" s="1"/>
  <c r="D74" i="189"/>
  <c r="D75" i="189" s="1"/>
  <c r="D74" i="209"/>
  <c r="D75" i="209" s="1"/>
  <c r="E58" i="201"/>
  <c r="E64" i="201" s="1"/>
  <c r="E74" i="37"/>
  <c r="E75" i="37" s="1"/>
  <c r="D74" i="42"/>
  <c r="D75" i="42" s="1"/>
  <c r="D74" i="191"/>
  <c r="D75" i="191" s="1"/>
  <c r="D74" i="108"/>
  <c r="D76" i="108" s="1"/>
  <c r="E64" i="193"/>
  <c r="D74" i="49"/>
  <c r="D75" i="49" s="1"/>
  <c r="E58" i="212"/>
  <c r="E64" i="212" s="1"/>
  <c r="D74" i="195"/>
  <c r="D75" i="195" s="1"/>
  <c r="D74" i="105"/>
  <c r="D75" i="105" s="1"/>
  <c r="E74" i="90"/>
  <c r="E75" i="90" s="1"/>
  <c r="D74" i="211"/>
  <c r="D76" i="211" s="1"/>
  <c r="E58" i="136"/>
  <c r="E64" i="136" s="1"/>
  <c r="E58" i="89"/>
  <c r="D74" i="202"/>
  <c r="D75" i="202" s="1"/>
  <c r="E58" i="24"/>
  <c r="E64" i="24" s="1"/>
  <c r="D74" i="171"/>
  <c r="D75" i="171" s="1"/>
  <c r="D74" i="64"/>
  <c r="D75" i="64" s="1"/>
  <c r="D74" i="175"/>
  <c r="D75" i="175" s="1"/>
  <c r="D74" i="214"/>
  <c r="D75" i="214" s="1"/>
  <c r="E58" i="167"/>
  <c r="D74" i="77"/>
  <c r="D75" i="77" s="1"/>
  <c r="E72" i="9"/>
  <c r="E72" i="7"/>
  <c r="E71" i="1"/>
  <c r="D58" i="128"/>
  <c r="E58" i="128" s="1"/>
  <c r="E74" i="105"/>
  <c r="E75" i="105" s="1"/>
  <c r="E74" i="170"/>
  <c r="E75" i="170" s="1"/>
  <c r="E58" i="22"/>
  <c r="E72" i="78"/>
  <c r="E64" i="78"/>
  <c r="E58" i="102"/>
  <c r="E74" i="102" s="1"/>
  <c r="E75" i="102" s="1"/>
  <c r="D74" i="46"/>
  <c r="D75" i="46" s="1"/>
  <c r="E74" i="163"/>
  <c r="E75" i="163" s="1"/>
  <c r="E74" i="73"/>
  <c r="E76" i="73" s="1"/>
  <c r="E64" i="9"/>
  <c r="E73" i="9"/>
  <c r="E73" i="7"/>
  <c r="E74" i="95"/>
  <c r="E75" i="95" s="1"/>
  <c r="E75" i="94"/>
  <c r="E76" i="94"/>
  <c r="E72" i="121"/>
  <c r="E58" i="79"/>
  <c r="D74" i="17"/>
  <c r="D75" i="17" s="1"/>
  <c r="E58" i="78"/>
  <c r="E69" i="78"/>
  <c r="E73" i="78"/>
  <c r="E73" i="16"/>
  <c r="E73" i="1"/>
  <c r="D58" i="217"/>
  <c r="E71" i="84"/>
  <c r="E73" i="60"/>
  <c r="E69" i="60"/>
  <c r="E64" i="61"/>
  <c r="E69" i="58"/>
  <c r="E69" i="13"/>
  <c r="E73" i="13"/>
  <c r="D74" i="62"/>
  <c r="D75" i="62" s="1"/>
  <c r="E58" i="62"/>
  <c r="D74" i="40"/>
  <c r="D75" i="40" s="1"/>
  <c r="E58" i="40"/>
  <c r="E58" i="187"/>
  <c r="D74" i="187"/>
  <c r="D75" i="187" s="1"/>
  <c r="E64" i="175"/>
  <c r="E74" i="175"/>
  <c r="E75" i="175" s="1"/>
  <c r="D74" i="140"/>
  <c r="D75" i="140" s="1"/>
  <c r="E58" i="140"/>
  <c r="D74" i="113"/>
  <c r="D75" i="113" s="1"/>
  <c r="E58" i="113"/>
  <c r="E58" i="144"/>
  <c r="D74" i="144"/>
  <c r="D75" i="144" s="1"/>
  <c r="E75" i="100"/>
  <c r="D74" i="39"/>
  <c r="D75" i="39" s="1"/>
  <c r="E58" i="39"/>
  <c r="D74" i="130"/>
  <c r="D75" i="130" s="1"/>
  <c r="E58" i="130"/>
  <c r="E58" i="23"/>
  <c r="E64" i="23" s="1"/>
  <c r="E58" i="38"/>
  <c r="D74" i="38"/>
  <c r="D75" i="38" s="1"/>
  <c r="D74" i="166"/>
  <c r="D75" i="166" s="1"/>
  <c r="E58" i="166"/>
  <c r="E58" i="168"/>
  <c r="D74" i="168"/>
  <c r="D75" i="168" s="1"/>
  <c r="D74" i="193"/>
  <c r="D75" i="193" s="1"/>
  <c r="D74" i="92"/>
  <c r="D75" i="92" s="1"/>
  <c r="E58" i="92"/>
  <c r="D74" i="137"/>
  <c r="D75" i="137" s="1"/>
  <c r="E58" i="137"/>
  <c r="E58" i="138"/>
  <c r="D74" i="138"/>
  <c r="D75" i="138" s="1"/>
  <c r="D74" i="76"/>
  <c r="D75" i="76" s="1"/>
  <c r="E58" i="115"/>
  <c r="D74" i="115"/>
  <c r="D75" i="115" s="1"/>
  <c r="E64" i="77"/>
  <c r="E74" i="77"/>
  <c r="E75" i="77" s="1"/>
  <c r="E58" i="149"/>
  <c r="D74" i="149"/>
  <c r="D76" i="149" s="1"/>
  <c r="E58" i="43"/>
  <c r="D74" i="43"/>
  <c r="D75" i="43" s="1"/>
  <c r="D74" i="124"/>
  <c r="D75" i="124" s="1"/>
  <c r="E58" i="124"/>
  <c r="E58" i="34"/>
  <c r="D74" i="34"/>
  <c r="D75" i="34" s="1"/>
  <c r="E58" i="123"/>
  <c r="D74" i="123"/>
  <c r="D75" i="123" s="1"/>
  <c r="D74" i="106"/>
  <c r="D75" i="106" s="1"/>
  <c r="E58" i="106"/>
  <c r="E58" i="151"/>
  <c r="D74" i="151"/>
  <c r="D76" i="151" s="1"/>
  <c r="E58" i="96"/>
  <c r="D74" i="96"/>
  <c r="D76" i="96" s="1"/>
  <c r="E72" i="84"/>
  <c r="E64" i="84"/>
  <c r="E58" i="60"/>
  <c r="E73" i="61"/>
  <c r="E58" i="61"/>
  <c r="E58" i="58"/>
  <c r="E58" i="13"/>
  <c r="E64" i="13"/>
  <c r="E73" i="94"/>
  <c r="E64" i="79"/>
  <c r="E73" i="79"/>
  <c r="E69" i="79"/>
  <c r="E72" i="79"/>
  <c r="E64" i="58"/>
  <c r="E71" i="94"/>
  <c r="E58" i="27"/>
  <c r="E74" i="27" s="1"/>
  <c r="E76" i="27" s="1"/>
  <c r="E74" i="199"/>
  <c r="E75" i="199" s="1"/>
  <c r="D75" i="1"/>
  <c r="E58" i="94"/>
  <c r="D74" i="29"/>
  <c r="D75" i="29" s="1"/>
  <c r="E74" i="55"/>
  <c r="E75" i="55" s="1"/>
  <c r="D74" i="210"/>
  <c r="D75" i="210" s="1"/>
  <c r="E69" i="94"/>
  <c r="E74" i="143"/>
  <c r="E75" i="143" s="1"/>
  <c r="E58" i="147"/>
  <c r="E64" i="147" s="1"/>
  <c r="D74" i="169"/>
  <c r="D75" i="169" s="1"/>
  <c r="E69" i="61"/>
  <c r="E64" i="60"/>
  <c r="E64" i="94"/>
  <c r="E72" i="61"/>
  <c r="E64" i="63"/>
  <c r="E74" i="63"/>
  <c r="E75" i="63" s="1"/>
  <c r="E72" i="94"/>
  <c r="D75" i="23"/>
  <c r="D74" i="41"/>
  <c r="D75" i="41" s="1"/>
  <c r="E58" i="41"/>
  <c r="E58" i="101"/>
  <c r="D74" i="101"/>
  <c r="D75" i="101" s="1"/>
  <c r="E58" i="173"/>
  <c r="D74" i="173"/>
  <c r="D75" i="173" s="1"/>
  <c r="E58" i="104"/>
  <c r="D74" i="104"/>
  <c r="D75" i="104" s="1"/>
  <c r="D74" i="57"/>
  <c r="D75" i="57" s="1"/>
  <c r="E58" i="57"/>
  <c r="D74" i="33"/>
  <c r="D75" i="33" s="1"/>
  <c r="E58" i="33"/>
  <c r="E73" i="48"/>
  <c r="E73" i="122"/>
  <c r="E69" i="122"/>
  <c r="E58" i="122"/>
  <c r="E72" i="122"/>
  <c r="E64" i="122"/>
  <c r="E74" i="17"/>
  <c r="E75" i="17" s="1"/>
  <c r="E69" i="16"/>
  <c r="E72" i="16"/>
  <c r="E64" i="16"/>
  <c r="E58" i="16"/>
  <c r="E58" i="11"/>
  <c r="E69" i="10"/>
  <c r="E74" i="5"/>
  <c r="E75" i="5" s="1"/>
  <c r="E74" i="4"/>
  <c r="E75" i="4" s="1"/>
  <c r="E69" i="1"/>
  <c r="E72" i="13"/>
  <c r="E72" i="1"/>
  <c r="E58" i="1"/>
  <c r="E59" i="1"/>
  <c r="E58" i="109"/>
  <c r="D74" i="109"/>
  <c r="D76" i="109" s="1"/>
  <c r="D74" i="159"/>
  <c r="D76" i="159" s="1"/>
  <c r="E58" i="159"/>
  <c r="D74" i="135"/>
  <c r="D76" i="135" s="1"/>
  <c r="E58" i="135"/>
  <c r="D74" i="132"/>
  <c r="D76" i="132" s="1"/>
  <c r="E58" i="132"/>
  <c r="D74" i="133"/>
  <c r="D76" i="133" s="1"/>
  <c r="E58" i="133"/>
  <c r="D74" i="179"/>
  <c r="D76" i="179" s="1"/>
  <c r="E58" i="179"/>
  <c r="D74" i="142"/>
  <c r="D76" i="142" s="1"/>
  <c r="E58" i="85"/>
  <c r="D74" i="85"/>
  <c r="D75" i="85" s="1"/>
  <c r="E64" i="169"/>
  <c r="E74" i="169"/>
  <c r="E75" i="169" s="1"/>
  <c r="E58" i="47"/>
  <c r="D74" i="47"/>
  <c r="D75" i="47" s="1"/>
  <c r="E58" i="35"/>
  <c r="D74" i="35"/>
  <c r="D75" i="35" s="1"/>
  <c r="E58" i="186"/>
  <c r="D74" i="186"/>
  <c r="D75" i="186" s="1"/>
  <c r="E58" i="148"/>
  <c r="D74" i="148"/>
  <c r="D76" i="148" s="1"/>
  <c r="E58" i="152"/>
  <c r="D74" i="152"/>
  <c r="D76" i="152" s="1"/>
  <c r="D74" i="197"/>
  <c r="D75" i="197" s="1"/>
  <c r="E58" i="197"/>
  <c r="D74" i="188"/>
  <c r="D75" i="188" s="1"/>
  <c r="E58" i="83"/>
  <c r="E74" i="83" s="1"/>
  <c r="E75" i="83" s="1"/>
  <c r="E58" i="48"/>
  <c r="E64" i="48" s="1"/>
  <c r="E73" i="84"/>
  <c r="E58" i="84"/>
  <c r="E69" i="84"/>
  <c r="E72" i="60"/>
  <c r="E72" i="58"/>
  <c r="E73" i="58"/>
  <c r="E58" i="9"/>
  <c r="E71" i="8"/>
  <c r="E73" i="8"/>
  <c r="E64" i="8"/>
  <c r="E58" i="8"/>
  <c r="D58" i="7"/>
  <c r="D74" i="7" s="1"/>
  <c r="E64" i="7"/>
  <c r="E64" i="108"/>
  <c r="E74" i="108"/>
  <c r="E76" i="108" s="1"/>
  <c r="E64" i="215"/>
  <c r="E74" i="215"/>
  <c r="E75" i="215" s="1"/>
  <c r="E74" i="146"/>
  <c r="E76" i="146" s="1"/>
  <c r="E64" i="146"/>
  <c r="E64" i="89"/>
  <c r="E74" i="89"/>
  <c r="E75" i="89" s="1"/>
  <c r="E64" i="88"/>
  <c r="E74" i="88"/>
  <c r="E75" i="88" s="1"/>
  <c r="E64" i="114"/>
  <c r="E74" i="114"/>
  <c r="E75" i="114" s="1"/>
  <c r="E64" i="76"/>
  <c r="E74" i="76"/>
  <c r="E75" i="76" s="1"/>
  <c r="E64" i="36"/>
  <c r="E74" i="36"/>
  <c r="E75" i="36" s="1"/>
  <c r="E74" i="24"/>
  <c r="E76" i="24" s="1"/>
  <c r="E64" i="189"/>
  <c r="E74" i="189"/>
  <c r="E75" i="189" s="1"/>
  <c r="E64" i="112"/>
  <c r="E74" i="112"/>
  <c r="E75" i="112" s="1"/>
  <c r="E74" i="156"/>
  <c r="E75" i="156" s="1"/>
  <c r="E73" i="93"/>
  <c r="E74" i="93" s="1"/>
  <c r="E74" i="67"/>
  <c r="E75" i="67" s="1"/>
  <c r="E74" i="120"/>
  <c r="E75" i="120" s="1"/>
  <c r="E73" i="121"/>
  <c r="E58" i="121"/>
  <c r="E64" i="121"/>
  <c r="E74" i="81"/>
  <c r="E75" i="81" s="1"/>
  <c r="E69" i="11"/>
  <c r="E73" i="11"/>
  <c r="E64" i="11"/>
  <c r="E72" i="11"/>
  <c r="E72" i="10"/>
  <c r="E73" i="10"/>
  <c r="E64" i="10"/>
  <c r="E58" i="10"/>
  <c r="E74" i="194"/>
  <c r="E75" i="194" s="1"/>
  <c r="E74" i="209"/>
  <c r="E75" i="209" s="1"/>
  <c r="E64" i="209"/>
  <c r="E64" i="26"/>
  <c r="E74" i="26"/>
  <c r="E75" i="26" s="1"/>
  <c r="E74" i="216"/>
  <c r="E75" i="216" s="1"/>
  <c r="E64" i="216"/>
  <c r="E74" i="103"/>
  <c r="E75" i="103" s="1"/>
  <c r="E64" i="103"/>
  <c r="E74" i="202"/>
  <c r="E75" i="202" s="1"/>
  <c r="E64" i="202"/>
  <c r="E64" i="75"/>
  <c r="E74" i="75"/>
  <c r="E76" i="75" s="1"/>
  <c r="E64" i="129"/>
  <c r="E74" i="129"/>
  <c r="E75" i="129" s="1"/>
  <c r="E74" i="30"/>
  <c r="E75" i="30" s="1"/>
  <c r="E64" i="30"/>
  <c r="E74" i="42"/>
  <c r="E75" i="42" s="1"/>
  <c r="E64" i="42"/>
  <c r="E64" i="49"/>
  <c r="E74" i="49"/>
  <c r="E75" i="49" s="1"/>
  <c r="E74" i="69"/>
  <c r="E75" i="69" s="1"/>
  <c r="E64" i="29"/>
  <c r="E74" i="29"/>
  <c r="E75" i="29" s="1"/>
  <c r="E74" i="164"/>
  <c r="E75" i="164" s="1"/>
  <c r="E64" i="164"/>
  <c r="E64" i="214"/>
  <c r="E74" i="214"/>
  <c r="E75" i="214" s="1"/>
  <c r="E74" i="174"/>
  <c r="E75" i="174" s="1"/>
  <c r="E64" i="174"/>
  <c r="E74" i="205"/>
  <c r="E75" i="205" s="1"/>
  <c r="E64" i="205"/>
  <c r="E74" i="211"/>
  <c r="E76" i="211" s="1"/>
  <c r="E64" i="211"/>
  <c r="E74" i="213"/>
  <c r="E75" i="213" s="1"/>
  <c r="E64" i="213"/>
  <c r="E64" i="161"/>
  <c r="E74" i="161"/>
  <c r="E75" i="161" s="1"/>
  <c r="E74" i="46"/>
  <c r="E75" i="46" s="1"/>
  <c r="E64" i="46"/>
  <c r="E64" i="64"/>
  <c r="E74" i="64"/>
  <c r="E75" i="64" s="1"/>
  <c r="E64" i="191"/>
  <c r="E74" i="191"/>
  <c r="E75" i="191" s="1"/>
  <c r="E64" i="167"/>
  <c r="E74" i="167"/>
  <c r="E75" i="167" s="1"/>
  <c r="E74" i="165"/>
  <c r="E75" i="165" s="1"/>
  <c r="E64" i="210"/>
  <c r="E74" i="210"/>
  <c r="E75" i="210" s="1"/>
  <c r="E74" i="99"/>
  <c r="E75" i="99" s="1"/>
  <c r="E64" i="99"/>
  <c r="E74" i="28"/>
  <c r="E75" i="28" s="1"/>
  <c r="E64" i="28"/>
  <c r="E74" i="201"/>
  <c r="E75" i="201" s="1"/>
  <c r="E74" i="136"/>
  <c r="E75" i="136" s="1"/>
  <c r="E74" i="195"/>
  <c r="E75" i="195" s="1"/>
  <c r="E64" i="195"/>
  <c r="E74" i="22"/>
  <c r="E75" i="22" s="1"/>
  <c r="E64" i="22"/>
  <c r="E74" i="212" l="1"/>
  <c r="E75" i="212" s="1"/>
  <c r="E64" i="102"/>
  <c r="D74" i="128"/>
  <c r="D75" i="128" s="1"/>
  <c r="E74" i="121"/>
  <c r="E74" i="9"/>
  <c r="E75" i="9" s="1"/>
  <c r="E64" i="27"/>
  <c r="E74" i="23"/>
  <c r="E75" i="23" s="1"/>
  <c r="E64" i="83"/>
  <c r="E74" i="79"/>
  <c r="E75" i="79" s="1"/>
  <c r="E74" i="128"/>
  <c r="E75" i="128" s="1"/>
  <c r="E64" i="128"/>
  <c r="E74" i="147"/>
  <c r="E76" i="147" s="1"/>
  <c r="E74" i="78"/>
  <c r="E75" i="78" s="1"/>
  <c r="E74" i="61"/>
  <c r="E75" i="61" s="1"/>
  <c r="E74" i="94"/>
  <c r="E58" i="217"/>
  <c r="E74" i="217" s="1"/>
  <c r="E75" i="217" s="1"/>
  <c r="D74" i="217"/>
  <c r="D75" i="217" s="1"/>
  <c r="E64" i="62"/>
  <c r="E74" i="62"/>
  <c r="E75" i="62" s="1"/>
  <c r="E64" i="40"/>
  <c r="E74" i="40"/>
  <c r="E75" i="40" s="1"/>
  <c r="E64" i="187"/>
  <c r="E74" i="187"/>
  <c r="E75" i="187" s="1"/>
  <c r="E64" i="140"/>
  <c r="E74" i="140"/>
  <c r="E75" i="140" s="1"/>
  <c r="E64" i="113"/>
  <c r="E74" i="113"/>
  <c r="E75" i="113" s="1"/>
  <c r="E74" i="144"/>
  <c r="E75" i="144" s="1"/>
  <c r="E64" i="144"/>
  <c r="E64" i="39"/>
  <c r="E74" i="39"/>
  <c r="E75" i="39" s="1"/>
  <c r="E64" i="130"/>
  <c r="E74" i="130"/>
  <c r="E75" i="130" s="1"/>
  <c r="E64" i="38"/>
  <c r="E74" i="38"/>
  <c r="E75" i="38" s="1"/>
  <c r="E64" i="166"/>
  <c r="E74" i="166"/>
  <c r="E75" i="166" s="1"/>
  <c r="E74" i="168"/>
  <c r="E75" i="168" s="1"/>
  <c r="E64" i="168"/>
  <c r="E64" i="92"/>
  <c r="E74" i="92"/>
  <c r="E75" i="92" s="1"/>
  <c r="E64" i="137"/>
  <c r="E74" i="137"/>
  <c r="E75" i="137" s="1"/>
  <c r="E64" i="138"/>
  <c r="E74" i="138"/>
  <c r="E75" i="138" s="1"/>
  <c r="E64" i="115"/>
  <c r="E74" i="115"/>
  <c r="E75" i="115" s="1"/>
  <c r="E64" i="149"/>
  <c r="E74" i="149"/>
  <c r="E76" i="149" s="1"/>
  <c r="E64" i="43"/>
  <c r="E74" i="43"/>
  <c r="E75" i="43" s="1"/>
  <c r="E64" i="124"/>
  <c r="E74" i="124"/>
  <c r="E75" i="124" s="1"/>
  <c r="E64" i="34"/>
  <c r="E74" i="34"/>
  <c r="E75" i="34" s="1"/>
  <c r="E64" i="123"/>
  <c r="E74" i="123"/>
  <c r="E75" i="123" s="1"/>
  <c r="E64" i="106"/>
  <c r="E74" i="106"/>
  <c r="E75" i="106" s="1"/>
  <c r="E64" i="151"/>
  <c r="E74" i="151"/>
  <c r="E76" i="151" s="1"/>
  <c r="E74" i="96"/>
  <c r="E76" i="96" s="1"/>
  <c r="E64" i="96"/>
  <c r="E74" i="60"/>
  <c r="E75" i="60" s="1"/>
  <c r="E74" i="13"/>
  <c r="E75" i="13" s="1"/>
  <c r="E74" i="16"/>
  <c r="E75" i="16" s="1"/>
  <c r="E74" i="58"/>
  <c r="E75" i="58" s="1"/>
  <c r="E74" i="1"/>
  <c r="E75" i="1" s="1"/>
  <c r="E74" i="48"/>
  <c r="E75" i="48" s="1"/>
  <c r="E74" i="122"/>
  <c r="E75" i="122" s="1"/>
  <c r="E64" i="41"/>
  <c r="E74" i="41"/>
  <c r="E75" i="41" s="1"/>
  <c r="E64" i="101"/>
  <c r="E74" i="101"/>
  <c r="E75" i="101" s="1"/>
  <c r="E64" i="173"/>
  <c r="E74" i="173"/>
  <c r="E75" i="173" s="1"/>
  <c r="E64" i="104"/>
  <c r="E74" i="104"/>
  <c r="E75" i="104" s="1"/>
  <c r="E64" i="57"/>
  <c r="E74" i="57"/>
  <c r="E75" i="57" s="1"/>
  <c r="E64" i="33"/>
  <c r="E74" i="33"/>
  <c r="E75" i="33" s="1"/>
  <c r="E64" i="109"/>
  <c r="E74" i="109"/>
  <c r="E76" i="109" s="1"/>
  <c r="E64" i="159"/>
  <c r="E74" i="159"/>
  <c r="E76" i="159" s="1"/>
  <c r="E64" i="135"/>
  <c r="E74" i="135"/>
  <c r="E76" i="135" s="1"/>
  <c r="E64" i="132"/>
  <c r="E74" i="132"/>
  <c r="E76" i="132" s="1"/>
  <c r="E64" i="133"/>
  <c r="E74" i="133"/>
  <c r="E76" i="133" s="1"/>
  <c r="E64" i="179"/>
  <c r="E74" i="179"/>
  <c r="E76" i="179" s="1"/>
  <c r="E64" i="142"/>
  <c r="E74" i="142"/>
  <c r="E76" i="142" s="1"/>
  <c r="E64" i="85"/>
  <c r="E74" i="85"/>
  <c r="E75" i="85" s="1"/>
  <c r="E64" i="47"/>
  <c r="E74" i="47"/>
  <c r="E75" i="47" s="1"/>
  <c r="E64" i="35"/>
  <c r="E74" i="35"/>
  <c r="E75" i="35" s="1"/>
  <c r="E74" i="186"/>
  <c r="E75" i="186" s="1"/>
  <c r="E64" i="186"/>
  <c r="E64" i="148"/>
  <c r="E74" i="148"/>
  <c r="E76" i="148" s="1"/>
  <c r="E64" i="152"/>
  <c r="E74" i="152"/>
  <c r="E76" i="152" s="1"/>
  <c r="E74" i="197"/>
  <c r="E75" i="197" s="1"/>
  <c r="E64" i="197"/>
  <c r="E64" i="188"/>
  <c r="E74" i="188"/>
  <c r="E75" i="188" s="1"/>
  <c r="E74" i="84"/>
  <c r="E75" i="84" s="1"/>
  <c r="E74" i="8"/>
  <c r="E75" i="8" s="1"/>
  <c r="E58" i="7"/>
  <c r="E74" i="7" s="1"/>
  <c r="E75" i="7" s="1"/>
  <c r="E74" i="11"/>
  <c r="E75" i="11" s="1"/>
  <c r="E74" i="10"/>
  <c r="E75" i="10" s="1"/>
  <c r="D75" i="7" l="1"/>
</calcChain>
</file>

<file path=xl/sharedStrings.xml><?xml version="1.0" encoding="utf-8"?>
<sst xmlns="http://schemas.openxmlformats.org/spreadsheetml/2006/main" count="20985" uniqueCount="272">
  <si>
    <t>PÓŁROCZNE SPRAWOZDANIE UBEZPIECZENIOWEGO FUNDUSZU KAPITAŁOWEGO</t>
  </si>
  <si>
    <t>TOWARZYSTWO UBEZPIECZEŃ  ALLIANZ ŻYCIE POLSKA S.A.</t>
  </si>
  <si>
    <t>(w zł)</t>
  </si>
  <si>
    <t xml:space="preserve">I.  </t>
  </si>
  <si>
    <t>1.</t>
  </si>
  <si>
    <t>lokaty</t>
  </si>
  <si>
    <t>2.</t>
  </si>
  <si>
    <t>środki pieniężne</t>
  </si>
  <si>
    <t>3.</t>
  </si>
  <si>
    <t>4.</t>
  </si>
  <si>
    <t>należności</t>
  </si>
  <si>
    <t>z tytułu transakcji zawartych na rynku finansowym</t>
  </si>
  <si>
    <t>pozostałe</t>
  </si>
  <si>
    <t xml:space="preserve">II.  </t>
  </si>
  <si>
    <t xml:space="preserve">pozostałe </t>
  </si>
  <si>
    <t>A.</t>
  </si>
  <si>
    <t>Aktywa netto funduszu na początek okresu sprawozdawczego</t>
  </si>
  <si>
    <t>B.</t>
  </si>
  <si>
    <t>I.</t>
  </si>
  <si>
    <t>Zwiększenia funduszu</t>
  </si>
  <si>
    <t>tytułem składek zwiększających wartość funduszu</t>
  </si>
  <si>
    <t>pozostałe przychody</t>
  </si>
  <si>
    <t>pozostałe zwiększenia</t>
  </si>
  <si>
    <t>II.</t>
  </si>
  <si>
    <t>Zmniejszenia funduszu</t>
  </si>
  <si>
    <t>tytułem wykupu</t>
  </si>
  <si>
    <t>tytułem wypłat pozostałych świadczeń ubezpieczeniowych</t>
  </si>
  <si>
    <t>tytułem opłat za ryzyko ubezpieczeniowe oraz innych opłat potrącanych z funduszu</t>
  </si>
  <si>
    <t>tytułem zwrotu składek ubezpieczeniowych</t>
  </si>
  <si>
    <t>5.</t>
  </si>
  <si>
    <t>tytułem opłat za zarządzanie funduszem oraz innych opłat tytułem administrowania funduszem</t>
  </si>
  <si>
    <t>6.</t>
  </si>
  <si>
    <t>pozostałe koszty</t>
  </si>
  <si>
    <t>7.</t>
  </si>
  <si>
    <t>pozostałe zmniejszenia</t>
  </si>
  <si>
    <t>C.</t>
  </si>
  <si>
    <t xml:space="preserve">Wynik netto z działalności inwestycyjnej </t>
  </si>
  <si>
    <t>D.</t>
  </si>
  <si>
    <t>Aktywa netto funduszu na koniec okresu sprawozdawczego</t>
  </si>
  <si>
    <t>Pozycja</t>
  </si>
  <si>
    <t>na początek okresu sprawozdawczego</t>
  </si>
  <si>
    <t>na koniec okresu sprawozdawczego</t>
  </si>
  <si>
    <t xml:space="preserve">LOKATY </t>
  </si>
  <si>
    <t>Lokaty (suma 1-12)</t>
  </si>
  <si>
    <t>papiery wartościowe emitowane, poręczone lub gwarantowane przez Skarb Państwa lub organizacje międzynarodowe, których członkiem jest Rzeczpospolita Polska</t>
  </si>
  <si>
    <t>obligacje emitowane lub poręczone przez jednostki samorządu terytorialnego lub związki jednostek samorządu terytorialnego</t>
  </si>
  <si>
    <t>inne dłużne papiery wartościowe o stałej stopie dochodu</t>
  </si>
  <si>
    <t>akcje</t>
  </si>
  <si>
    <t>udziały</t>
  </si>
  <si>
    <t>jednostki uczestnictwa i certyfikaty inwestycyjne w funduszach inwestycyjnych</t>
  </si>
  <si>
    <t>8.</t>
  </si>
  <si>
    <t>inne papiery wartościowe o zmiennej kwocie dochodu</t>
  </si>
  <si>
    <t>9.</t>
  </si>
  <si>
    <t>pożyczki</t>
  </si>
  <si>
    <t>10.</t>
  </si>
  <si>
    <t>nieruchomości</t>
  </si>
  <si>
    <t>11.</t>
  </si>
  <si>
    <t>depozyty bankowe</t>
  </si>
  <si>
    <t>12.</t>
  </si>
  <si>
    <t>pozostałe lokaty</t>
  </si>
  <si>
    <t>III.</t>
  </si>
  <si>
    <t>Środki pieniężne</t>
  </si>
  <si>
    <t>IV.</t>
  </si>
  <si>
    <t>Należności</t>
  </si>
  <si>
    <t>V.</t>
  </si>
  <si>
    <t>Zobowiązania</t>
  </si>
  <si>
    <t>Aktywa netto (w tym)</t>
  </si>
  <si>
    <t>krajowe</t>
  </si>
  <si>
    <t>Fundusz Konserwatywny</t>
  </si>
  <si>
    <t>Fundusz Zrównoważony</t>
  </si>
  <si>
    <t>Fundusz Aktywny</t>
  </si>
  <si>
    <t>Fundusz Międzynarodowy</t>
  </si>
  <si>
    <t>Fundusz Azjatycki</t>
  </si>
  <si>
    <t>Aktywny - Surowce i Nowe Gospodarki</t>
  </si>
  <si>
    <t>Zabezpieczony - Rynku Polskiego</t>
  </si>
  <si>
    <t>Zabezpieczony - Europy Wschodniej</t>
  </si>
  <si>
    <t>Zabezpieczony - Dalekiego Wschodu</t>
  </si>
  <si>
    <t>Millenium Master I</t>
  </si>
  <si>
    <t>Millenium Master II</t>
  </si>
  <si>
    <t>Millenium Master III</t>
  </si>
  <si>
    <t>Millenium Master IV</t>
  </si>
  <si>
    <t>Millenium Master V</t>
  </si>
  <si>
    <t>Millenium Master VI</t>
  </si>
  <si>
    <t>Millenium Master VII</t>
  </si>
  <si>
    <t>Fundusz Gwarantowany</t>
  </si>
  <si>
    <t>Fundusz Stabilnego Wzrostu</t>
  </si>
  <si>
    <t>Fundusz Dynamiczny</t>
  </si>
  <si>
    <t>Fundusz Aktywnej Alokacji</t>
  </si>
  <si>
    <t>Fundusz Akcji Plus</t>
  </si>
  <si>
    <t>Fundusz Akcji Małych i Średnich Spółek</t>
  </si>
  <si>
    <t>Fundusz Selektywny</t>
  </si>
  <si>
    <t>Fundusz Polskich Obligacji Skarbowych</t>
  </si>
  <si>
    <t>INFORMACJE DODATKOWE</t>
  </si>
  <si>
    <t xml:space="preserve">DO SPRAWOZDANIA PÓŁROCZNEGO </t>
  </si>
  <si>
    <t>FUNDUSZY KAPITAŁOWYCH</t>
  </si>
  <si>
    <t>TU ALLIANZ ŻYCIE POLSKA  S.A.</t>
  </si>
  <si>
    <t xml:space="preserve">Przypis składki brutto </t>
  </si>
  <si>
    <t xml:space="preserve">Potrącenia/ opłaty </t>
  </si>
  <si>
    <t xml:space="preserve">Składka netto </t>
  </si>
  <si>
    <t>Fundusz Pieniężny</t>
  </si>
  <si>
    <t>Strategii MultiObligacyjnych</t>
  </si>
  <si>
    <t>Fundusz Akcji Globalnych</t>
  </si>
  <si>
    <t>Fundusz Obligacji Globalnych</t>
  </si>
  <si>
    <t>WARTOŚĆ AKTYWÓW NETTO FUNDUSZU</t>
  </si>
  <si>
    <t xml:space="preserve">II. </t>
  </si>
  <si>
    <t>ZMIANY WARTOŚCI AKTYWÓW NETTO FUNDUSZU</t>
  </si>
  <si>
    <t>3.1.</t>
  </si>
  <si>
    <t>3.2.</t>
  </si>
  <si>
    <t>wobec ubezpieczających, ubezpieczonych lub uprawnionych z umów ubezpieczenia</t>
  </si>
  <si>
    <t>Aktywa</t>
  </si>
  <si>
    <t>III.  Aktywa netto (I-II)</t>
  </si>
  <si>
    <t>Wynik netto z działalności operacyjnej (I-II)</t>
  </si>
  <si>
    <t>Liczba jednostek uczestnictwa funduszu:</t>
  </si>
  <si>
    <t>Wartość jednostki uczestnictwa funduszu:</t>
  </si>
  <si>
    <t>minimalna wartość jednostki uczestnictwa funduszu w okresie sprawozdawczym</t>
  </si>
  <si>
    <t>maksymalna wartość jednostki uczestnictwa funduszu w okresie sprawozdawczym</t>
  </si>
  <si>
    <t xml:space="preserve">     ZESTAWIENIE AKTYWÓW NETTO FUNDUSZU</t>
  </si>
  <si>
    <t>Udział w aktywach       netto funduszu (w %)</t>
  </si>
  <si>
    <t>instrumenty pochodne</t>
  </si>
  <si>
    <t>zagraniczne - państwa UE</t>
  </si>
  <si>
    <t>zagraniczne - państwa poza UE</t>
  </si>
  <si>
    <t>LICZBA I WARTOŚĆ JEDNOSTEK ROZRACHUNKOWYCH uczestnictwa funduszu</t>
  </si>
  <si>
    <t>Wartość bilansowa (w zł)</t>
  </si>
  <si>
    <t>-</t>
  </si>
  <si>
    <t>Fundusz Energetyczny</t>
  </si>
  <si>
    <t>TOWARZYSTWO UBEZPIECZEŃ  ALLIANZ ŻYCIE POLSKA SA</t>
  </si>
  <si>
    <t>I</t>
  </si>
  <si>
    <t xml:space="preserve">I  </t>
  </si>
  <si>
    <t xml:space="preserve">II  </t>
  </si>
  <si>
    <t>III  Aktywa netto (I-II)</t>
  </si>
  <si>
    <t xml:space="preserve">II </t>
  </si>
  <si>
    <t>A</t>
  </si>
  <si>
    <t>B</t>
  </si>
  <si>
    <t>II</t>
  </si>
  <si>
    <t>C</t>
  </si>
  <si>
    <t>D</t>
  </si>
  <si>
    <t>III</t>
  </si>
  <si>
    <t>IV</t>
  </si>
  <si>
    <t>V</t>
  </si>
  <si>
    <t xml:space="preserve">Fundusz Obligacji </t>
  </si>
  <si>
    <t>Allianz Portfel Aktywnej Alokacji</t>
  </si>
  <si>
    <t>Allianz Portfel Dynamiczny</t>
  </si>
  <si>
    <t>Allianz Portfel Stabilnego Wzrostu</t>
  </si>
  <si>
    <t>Allianz Portfel Akcji Rynków Rozwiniętych</t>
  </si>
  <si>
    <t>Allianz Portfel Akcji Rynków Wschodzących</t>
  </si>
  <si>
    <t>Allianz Portfel Obligacji Zagranicznych</t>
  </si>
  <si>
    <t>Allianz Portfel Obligacji Obniżonego Ryzyka</t>
  </si>
  <si>
    <t>Allianz Portfel Strategicznej Alokacji</t>
  </si>
  <si>
    <t>Allianz Stabilnego Wzrostu</t>
  </si>
  <si>
    <t>Allianz Obligacji Plus</t>
  </si>
  <si>
    <t xml:space="preserve">Allianz Aktywnej Alokacji </t>
  </si>
  <si>
    <t>Allianz Akcji Małych i Średnich Spółek</t>
  </si>
  <si>
    <t>Allianz Konserwatywny</t>
  </si>
  <si>
    <t>Allianz Polskich Obligacji Skarbowych</t>
  </si>
  <si>
    <t>Allianz Selektywny</t>
  </si>
  <si>
    <t>Allianz Akcji Globalnych</t>
  </si>
  <si>
    <t>Allianz Dynamiczna Multistrategia</t>
  </si>
  <si>
    <t>Allianz Defensywna Multistrategia</t>
  </si>
  <si>
    <t>Allianz Zbalansowana Multistrategia</t>
  </si>
  <si>
    <t>Allianz Globalny Stabilnego Dochodu</t>
  </si>
  <si>
    <t>Allianz Obligacji Globalnych</t>
  </si>
  <si>
    <t>Allianz Altus Absolutnej Stopy Zwrotu Dłużny</t>
  </si>
  <si>
    <t>Allianz Aviva Dłużnych Papierów Korporacyjnych</t>
  </si>
  <si>
    <t>Allianz Franklin European Dividend Fund (PLN Hedged)</t>
  </si>
  <si>
    <t>Allianz Franklin Global Fundamental Strategies Fund (PLN Hedged)</t>
  </si>
  <si>
    <t>Allianz Franklin U.S. Opportunities Fund (PLN Hedged)</t>
  </si>
  <si>
    <t>Allianz Goldman Sachs Emerging Markets Debt Portfolio A (Acc) (PLN) Hedged</t>
  </si>
  <si>
    <t>Allianz Goldman Sachs Global Strategic Macro Bond Portfolio A (Acc) (PLN) Hedged</t>
  </si>
  <si>
    <t>Allianz Investor Akcji</t>
  </si>
  <si>
    <t>Allianz Investor Akcji Spółek Dywidendowych</t>
  </si>
  <si>
    <t>Allianz Investor TOP 25 Małych Spółek</t>
  </si>
  <si>
    <t>Allianz Investor Zrównoważony</t>
  </si>
  <si>
    <t>Allianz Investor Ameryka Łacińska</t>
  </si>
  <si>
    <t>Allianz Investor BRIC</t>
  </si>
  <si>
    <t>Allianz Investor Gold</t>
  </si>
  <si>
    <t>Allianz Investor Indie i Chiny</t>
  </si>
  <si>
    <t>Allianz Investor Obligacji Korporacyjnych</t>
  </si>
  <si>
    <t>Allianz Investor Zabezpieczenia Emerytalnego</t>
  </si>
  <si>
    <t>Allianz JPM Global Healthcare Fund (PLN Hedged)</t>
  </si>
  <si>
    <t>Allianz JPM Global Strategic Bond (PLN Hedged)</t>
  </si>
  <si>
    <t>Allianz ESALIENS Akcji</t>
  </si>
  <si>
    <t>Allianz ESALIENS Obligacji</t>
  </si>
  <si>
    <t>Allianz ESALIENS Strateg</t>
  </si>
  <si>
    <t xml:space="preserve">Allianz NN Akcji </t>
  </si>
  <si>
    <t>Allianz NN Obligacji</t>
  </si>
  <si>
    <t>Allianz NN Średnich i Małych Spółek</t>
  </si>
  <si>
    <t>Allianz NN Europejski Spółek Dywidendowych</t>
  </si>
  <si>
    <t>Allianz NN Globalny Długu Korporacyjnego</t>
  </si>
  <si>
    <t>Allianz NN Globalny Spółek Dywidendowych</t>
  </si>
  <si>
    <t>Allianz NN Japonia</t>
  </si>
  <si>
    <t>Allianz NN Nowej Azji</t>
  </si>
  <si>
    <t>Allianz NN Obligacji Rynków Wschodzących</t>
  </si>
  <si>
    <t>Allianz NN Spółek Dywidendowych USA</t>
  </si>
  <si>
    <t>Allianz NN Stabilny Globalnej Alokacji</t>
  </si>
  <si>
    <t>Allianz NN Spółek Dywidendowych Rynków Wschodzących</t>
  </si>
  <si>
    <t>Allianz Noble Fund Akcji Małych i Średnich Spółek</t>
  </si>
  <si>
    <t>Allianz Pekao Akcji Rynków Wschodzących</t>
  </si>
  <si>
    <t>Allianz Pekao Alternatywny Globalnego Dochodu</t>
  </si>
  <si>
    <t>Allianz Pekao Obligacji Strategicznych</t>
  </si>
  <si>
    <t>Allianz Pekao Wzrostu i Dochodu Rynku Europejskiego</t>
  </si>
  <si>
    <t>Allianz Pekao Surowców i Energii</t>
  </si>
  <si>
    <t>Allianz Pekao Akcji Polskich</t>
  </si>
  <si>
    <t>Allianz Pekao Dynamicznych Spółek</t>
  </si>
  <si>
    <t>Allianz Pekao Obligacji Plus</t>
  </si>
  <si>
    <t>Allianz Pekao Obligacji - Dynamiczna Alokacja 2</t>
  </si>
  <si>
    <t>Allianz Pekao Akcji - Aktywna Selekcja</t>
  </si>
  <si>
    <t>Allianz Pekao Akcji Europejskich</t>
  </si>
  <si>
    <t>Allianz Pekao Strategii Globalnej</t>
  </si>
  <si>
    <t>Allianz Pekao Akcji Małych i Średnich Spółek Rynków Rozwiniętych</t>
  </si>
  <si>
    <t>Allianz Pekao Obligacji i Dochodu</t>
  </si>
  <si>
    <t>Allianz PKO Akcji Nowa Europa</t>
  </si>
  <si>
    <t>Allianz PKO Obligacji Długoterminowych</t>
  </si>
  <si>
    <t>Allianz PKO Stabilnego Wzrostu</t>
  </si>
  <si>
    <t>Allianz PKO Zrównoważony</t>
  </si>
  <si>
    <t>Allianz PZU Akcji Spółek Dywidendowych</t>
  </si>
  <si>
    <t>Allianz PZU Akcji Krakowiak</t>
  </si>
  <si>
    <t>Allianz PZU Akcji Małych i Średnich Spółek</t>
  </si>
  <si>
    <t>Allianz PZU Medyczny</t>
  </si>
  <si>
    <t>Allianz PZU Zrównoważony</t>
  </si>
  <si>
    <t>Allianz PZU Akcji Rynków Rozwiniętych</t>
  </si>
  <si>
    <t>Allianz PZU Papierów Dłużnych POLONEZ</t>
  </si>
  <si>
    <t>Allianz Quercus Agresywny</t>
  </si>
  <si>
    <t>Allianz Quercus Ochrony Kapitału</t>
  </si>
  <si>
    <t>Allianz Quercus Global Balanced</t>
  </si>
  <si>
    <t>Allianz Schroder Asian Convertible Bond Fund (PLN Hedged)</t>
  </si>
  <si>
    <t>Allianz Schroder Asian Opportunities (PLN Hedged)</t>
  </si>
  <si>
    <t>Allianz Schroder Emerging Markets Debt Absolute Return (PLN Hedged)</t>
  </si>
  <si>
    <t>Allianz Schroder EURO Equity Fund (PLN Hedged)</t>
  </si>
  <si>
    <t>Allianz Schroder Frontier Markets Equity Fund (PLN Hedged)</t>
  </si>
  <si>
    <t>Allianz Schroder Global Diversified Growth Fund (PLN Hedged)</t>
  </si>
  <si>
    <t>Allianz Skarbiec Obligacji Wysokiego Dochodu</t>
  </si>
  <si>
    <t>Allianz Skarbiec Małych i Średnich Spółek</t>
  </si>
  <si>
    <t>Allianz Skarbiec Spółek Wzrostowych</t>
  </si>
  <si>
    <t>Allianz Skarbiec Akcja</t>
  </si>
  <si>
    <t>Allianz Skarbiec Top Brands</t>
  </si>
  <si>
    <t>Allianz Templeton Global Bond Fund (PLN Hedged)</t>
  </si>
  <si>
    <t>Allianz Templeton Global Total Return Fund (PLN Hedged)</t>
  </si>
  <si>
    <t>Allianz Templeton Latin America Fund</t>
  </si>
  <si>
    <t xml:space="preserve">Allianz Investor Dochodowy </t>
  </si>
  <si>
    <t>Allianz Investor Oszczędnościowy</t>
  </si>
  <si>
    <t xml:space="preserve">Allianz NN Polski Odpowiedzialnego Inwestowania </t>
  </si>
  <si>
    <t>Allianz Pekao Spokojna Inwestycja</t>
  </si>
  <si>
    <t>Allianz Pekao Konserwatywny</t>
  </si>
  <si>
    <t>Allianz Pekao Konserwatywny Plus</t>
  </si>
  <si>
    <t>Allianz Skarbiec Konserwatywny</t>
  </si>
  <si>
    <t>31-12-2019</t>
  </si>
  <si>
    <t>Allianz Generali Obligacje Aktywny</t>
  </si>
  <si>
    <t>Allianz Generali Obligacje: Nowa Europa</t>
  </si>
  <si>
    <t>Allianz Generali Akcje: Nowa Europa</t>
  </si>
  <si>
    <t>Allianz Generali Akcje Małych i Średnich Spółek</t>
  </si>
  <si>
    <t>Allianz Generali Akcje Wzrostu</t>
  </si>
  <si>
    <t>Allianz Generali Korona Akcje</t>
  </si>
  <si>
    <t>Allianz Generali Korona Obligacje</t>
  </si>
  <si>
    <t>Allianz Generali Korona Dochodowy</t>
  </si>
  <si>
    <t>Allianz Generali Korona Zrównoważony</t>
  </si>
  <si>
    <t>Allianz Generali Oszczędnościowy</t>
  </si>
  <si>
    <t>Allianz Generali Stabilny Wzrost</t>
  </si>
  <si>
    <t>Allianz Generali Globalnych Akcji Wzrostu</t>
  </si>
  <si>
    <t>Allianz JPM Global Macro Opportunities Fund D (PLN)</t>
  </si>
  <si>
    <t>Allianz JPM Emerging Markets Opportunities Fund (PLN)</t>
  </si>
  <si>
    <t>Allianz ESALIENS Konserwatywny</t>
  </si>
  <si>
    <t>Allianz Noble Fund Akcji Polskich</t>
  </si>
  <si>
    <t>Allianz Noble Fund Akcji Amerykańskich</t>
  </si>
  <si>
    <t>Allianz Schroder ISF - Global Credit High Income (PLN Hedged)</t>
  </si>
  <si>
    <t>Allianz Generali Złota</t>
  </si>
  <si>
    <t>31-12-2020</t>
  </si>
  <si>
    <t>Allianz Akcji Rynku Złota</t>
  </si>
  <si>
    <t>Allianz China A-Shares</t>
  </si>
  <si>
    <t>Allianz Pekao Bazowy 15 Dywidendowy</t>
  </si>
  <si>
    <t>Allianz Skarbiec Nowej Generacji</t>
  </si>
  <si>
    <t>NA DZIEŃ 31-12-2020</t>
  </si>
  <si>
    <t>SPORZĄDZONE NA DZIEŃ 31-12-2020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</si>
</sst>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z_ł_-;\-* #,##0.00\ _z_ł_-;_-* &quot;-&quot;??\ _z_ł_-;_-@_-"/>
    <numFmt numFmtId="165" formatCode="#,##0.0000"/>
    <numFmt numFmtId="166" formatCode="0.0000"/>
    <numFmt numFmtId="167" formatCode="#,##0.0000_ ;\-#,##0.0000\ "/>
    <numFmt numFmtId="168" formatCode="#,##0.00000"/>
  </numFmts>
  <fonts count="7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0"/>
      <name val="Arial CE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color rgb="FF0070C0"/>
      <name val="Arial"/>
      <family val="2"/>
      <charset val="238"/>
    </font>
    <font>
      <sz val="10"/>
      <name val="Arial"/>
      <family val="2"/>
      <charset val="238"/>
    </font>
    <font>
      <sz val="8"/>
      <color rgb="FF0070C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8"/>
      <name val="Arial"/>
      <family val="2"/>
    </font>
    <font>
      <sz val="10"/>
      <name val="Czcionka tekstu podstawowego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indexed="64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9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21" borderId="4" applyNumberFormat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2" fillId="0" borderId="0"/>
    <xf numFmtId="0" fontId="23" fillId="20" borderId="1" applyNumberFormat="0" applyAlignment="0" applyProtection="0"/>
    <xf numFmtId="9" fontId="4" fillId="0" borderId="0" applyFont="0" applyFill="0" applyBorder="0" applyAlignment="0" applyProtection="0"/>
    <xf numFmtId="0" fontId="24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2" fillId="23" borderId="9" applyNumberFormat="0" applyFont="0" applyAlignment="0" applyProtection="0"/>
    <xf numFmtId="0" fontId="28" fillId="3" borderId="0" applyNumberFormat="0" applyBorder="0" applyAlignment="0" applyProtection="0"/>
    <xf numFmtId="0" fontId="34" fillId="0" borderId="0"/>
    <xf numFmtId="0" fontId="22" fillId="23" borderId="66" applyNumberFormat="0" applyFont="0" applyAlignment="0" applyProtection="0"/>
    <xf numFmtId="0" fontId="24" fillId="0" borderId="65" applyNumberFormat="0" applyFill="0" applyAlignment="0" applyProtection="0"/>
    <xf numFmtId="0" fontId="23" fillId="20" borderId="63" applyNumberFormat="0" applyAlignment="0" applyProtection="0"/>
    <xf numFmtId="0" fontId="14" fillId="20" borderId="64" applyNumberFormat="0" applyAlignment="0" applyProtection="0"/>
    <xf numFmtId="0" fontId="13" fillId="7" borderId="63" applyNumberFormat="0" applyAlignment="0" applyProtection="0"/>
    <xf numFmtId="0" fontId="4" fillId="0" borderId="0"/>
    <xf numFmtId="0" fontId="22" fillId="23" borderId="70" applyNumberFormat="0" applyFont="0" applyAlignment="0" applyProtection="0"/>
    <xf numFmtId="0" fontId="24" fillId="0" borderId="69" applyNumberFormat="0" applyFill="0" applyAlignment="0" applyProtection="0"/>
    <xf numFmtId="0" fontId="23" fillId="20" borderId="67" applyNumberFormat="0" applyAlignment="0" applyProtection="0"/>
    <xf numFmtId="0" fontId="14" fillId="20" borderId="68" applyNumberFormat="0" applyAlignment="0" applyProtection="0"/>
    <xf numFmtId="0" fontId="13" fillId="7" borderId="67" applyNumberFormat="0" applyAlignment="0" applyProtection="0"/>
    <xf numFmtId="0" fontId="36" fillId="0" borderId="0"/>
    <xf numFmtId="0" fontId="37" fillId="33" borderId="0" applyNumberFormat="0" applyBorder="0" applyAlignment="0" applyProtection="0"/>
    <xf numFmtId="0" fontId="37" fillId="37" borderId="0" applyNumberFormat="0" applyBorder="0" applyAlignment="0" applyProtection="0"/>
    <xf numFmtId="0" fontId="37" fillId="41" borderId="0" applyNumberFormat="0" applyBorder="0" applyAlignment="0" applyProtection="0"/>
    <xf numFmtId="0" fontId="37" fillId="45" borderId="0" applyNumberFormat="0" applyBorder="0" applyAlignment="0" applyProtection="0"/>
    <xf numFmtId="0" fontId="37" fillId="49" borderId="0" applyNumberFormat="0" applyBorder="0" applyAlignment="0" applyProtection="0"/>
    <xf numFmtId="0" fontId="37" fillId="53" borderId="0" applyNumberFormat="0" applyBorder="0" applyAlignment="0" applyProtection="0"/>
    <xf numFmtId="0" fontId="37" fillId="34" borderId="0" applyNumberFormat="0" applyBorder="0" applyAlignment="0" applyProtection="0"/>
    <xf numFmtId="0" fontId="37" fillId="38" borderId="0" applyNumberFormat="0" applyBorder="0" applyAlignment="0" applyProtection="0"/>
    <xf numFmtId="0" fontId="37" fillId="42" borderId="0" applyNumberFormat="0" applyBorder="0" applyAlignment="0" applyProtection="0"/>
    <xf numFmtId="0" fontId="37" fillId="46" borderId="0" applyNumberFormat="0" applyBorder="0" applyAlignment="0" applyProtection="0"/>
    <xf numFmtId="0" fontId="37" fillId="50" borderId="0" applyNumberFormat="0" applyBorder="0" applyAlignment="0" applyProtection="0"/>
    <xf numFmtId="0" fontId="37" fillId="54" borderId="0" applyNumberFormat="0" applyBorder="0" applyAlignment="0" applyProtection="0"/>
    <xf numFmtId="0" fontId="38" fillId="35" borderId="0" applyNumberFormat="0" applyBorder="0" applyAlignment="0" applyProtection="0"/>
    <xf numFmtId="0" fontId="38" fillId="39" borderId="0" applyNumberFormat="0" applyBorder="0" applyAlignment="0" applyProtection="0"/>
    <xf numFmtId="0" fontId="38" fillId="43" borderId="0" applyNumberFormat="0" applyBorder="0" applyAlignment="0" applyProtection="0"/>
    <xf numFmtId="0" fontId="38" fillId="47" borderId="0" applyNumberFormat="0" applyBorder="0" applyAlignment="0" applyProtection="0"/>
    <xf numFmtId="0" fontId="38" fillId="51" borderId="0" applyNumberFormat="0" applyBorder="0" applyAlignment="0" applyProtection="0"/>
    <xf numFmtId="0" fontId="38" fillId="55" borderId="0" applyNumberFormat="0" applyBorder="0" applyAlignment="0" applyProtection="0"/>
    <xf numFmtId="0" fontId="38" fillId="32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38" fillId="44" borderId="0" applyNumberFormat="0" applyBorder="0" applyAlignment="0" applyProtection="0"/>
    <xf numFmtId="0" fontId="38" fillId="48" borderId="0" applyNumberFormat="0" applyBorder="0" applyAlignment="0" applyProtection="0"/>
    <xf numFmtId="0" fontId="38" fillId="52" borderId="0" applyNumberFormat="0" applyBorder="0" applyAlignment="0" applyProtection="0"/>
    <xf numFmtId="0" fontId="39" fillId="26" borderId="0" applyNumberFormat="0" applyBorder="0" applyAlignment="0" applyProtection="0"/>
    <xf numFmtId="0" fontId="40" fillId="29" borderId="74" applyNumberFormat="0" applyAlignment="0" applyProtection="0"/>
    <xf numFmtId="0" fontId="41" fillId="30" borderId="77" applyNumberFormat="0" applyAlignment="0" applyProtection="0"/>
    <xf numFmtId="0" fontId="42" fillId="0" borderId="0" applyNumberFormat="0" applyFill="0" applyBorder="0" applyAlignment="0" applyProtection="0"/>
    <xf numFmtId="0" fontId="43" fillId="25" borderId="0" applyNumberFormat="0" applyBorder="0" applyAlignment="0" applyProtection="0"/>
    <xf numFmtId="0" fontId="44" fillId="0" borderId="71" applyNumberFormat="0" applyFill="0" applyAlignment="0" applyProtection="0"/>
    <xf numFmtId="0" fontId="45" fillId="0" borderId="72" applyNumberFormat="0" applyFill="0" applyAlignment="0" applyProtection="0"/>
    <xf numFmtId="0" fontId="46" fillId="0" borderId="73" applyNumberFormat="0" applyFill="0" applyAlignment="0" applyProtection="0"/>
    <xf numFmtId="0" fontId="46" fillId="0" borderId="0" applyNumberFormat="0" applyFill="0" applyBorder="0" applyAlignment="0" applyProtection="0"/>
    <xf numFmtId="0" fontId="47" fillId="28" borderId="74" applyNumberFormat="0" applyAlignment="0" applyProtection="0"/>
    <xf numFmtId="0" fontId="48" fillId="0" borderId="76" applyNumberFormat="0" applyFill="0" applyAlignment="0" applyProtection="0"/>
    <xf numFmtId="0" fontId="49" fillId="27" borderId="0" applyNumberFormat="0" applyBorder="0" applyAlignment="0" applyProtection="0"/>
    <xf numFmtId="0" fontId="36" fillId="31" borderId="78" applyNumberFormat="0" applyFont="0" applyAlignment="0" applyProtection="0"/>
    <xf numFmtId="0" fontId="50" fillId="29" borderId="75" applyNumberFormat="0" applyAlignment="0" applyProtection="0"/>
    <xf numFmtId="0" fontId="51" fillId="0" borderId="0" applyNumberFormat="0" applyFill="0" applyBorder="0" applyAlignment="0" applyProtection="0"/>
    <xf numFmtId="0" fontId="52" fillId="0" borderId="79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/>
    <xf numFmtId="0" fontId="54" fillId="31" borderId="78" applyNumberFormat="0" applyFont="0" applyAlignment="0" applyProtection="0"/>
    <xf numFmtId="0" fontId="4" fillId="31" borderId="78" applyNumberFormat="0" applyFont="0" applyAlignment="0" applyProtection="0"/>
    <xf numFmtId="0" fontId="57" fillId="0" borderId="0"/>
    <xf numFmtId="0" fontId="4" fillId="0" borderId="0"/>
    <xf numFmtId="0" fontId="13" fillId="7" borderId="89" applyNumberFormat="0" applyAlignment="0" applyProtection="0"/>
    <xf numFmtId="0" fontId="14" fillId="20" borderId="90" applyNumberFormat="0" applyAlignment="0" applyProtection="0"/>
    <xf numFmtId="0" fontId="23" fillId="20" borderId="89" applyNumberFormat="0" applyAlignment="0" applyProtection="0"/>
    <xf numFmtId="0" fontId="24" fillId="0" borderId="91" applyNumberFormat="0" applyFill="0" applyAlignment="0" applyProtection="0"/>
    <xf numFmtId="0" fontId="22" fillId="23" borderId="92" applyNumberFormat="0" applyFont="0" applyAlignment="0" applyProtection="0"/>
    <xf numFmtId="0" fontId="24" fillId="0" borderId="91" applyNumberFormat="0" applyFill="0" applyAlignment="0" applyProtection="0"/>
    <xf numFmtId="0" fontId="14" fillId="20" borderId="90" applyNumberFormat="0" applyAlignment="0" applyProtection="0"/>
    <xf numFmtId="0" fontId="22" fillId="23" borderId="92" applyNumberFormat="0" applyFont="0" applyAlignment="0" applyProtection="0"/>
    <xf numFmtId="0" fontId="22" fillId="23" borderId="92" applyNumberFormat="0" applyFont="0" applyAlignment="0" applyProtection="0"/>
    <xf numFmtId="0" fontId="4" fillId="0" borderId="0"/>
    <xf numFmtId="0" fontId="13" fillId="7" borderId="89" applyNumberFormat="0" applyAlignment="0" applyProtection="0"/>
    <xf numFmtId="0" fontId="14" fillId="20" borderId="90" applyNumberFormat="0" applyAlignment="0" applyProtection="0"/>
    <xf numFmtId="0" fontId="23" fillId="20" borderId="89" applyNumberFormat="0" applyAlignment="0" applyProtection="0"/>
    <xf numFmtId="0" fontId="24" fillId="0" borderId="91" applyNumberFormat="0" applyFill="0" applyAlignment="0" applyProtection="0"/>
    <xf numFmtId="0" fontId="23" fillId="20" borderId="89" applyNumberFormat="0" applyAlignment="0" applyProtection="0"/>
    <xf numFmtId="0" fontId="13" fillId="7" borderId="89" applyNumberFormat="0" applyAlignment="0" applyProtection="0"/>
    <xf numFmtId="0" fontId="4" fillId="0" borderId="0"/>
    <xf numFmtId="0" fontId="4" fillId="31" borderId="78" applyNumberFormat="0" applyFont="0" applyAlignment="0" applyProtection="0"/>
    <xf numFmtId="0" fontId="3" fillId="0" borderId="0"/>
    <xf numFmtId="0" fontId="4" fillId="0" borderId="0"/>
    <xf numFmtId="0" fontId="59" fillId="0" borderId="0"/>
    <xf numFmtId="0" fontId="60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66" fillId="0" borderId="0"/>
    <xf numFmtId="0" fontId="67" fillId="0" borderId="0"/>
    <xf numFmtId="0" fontId="68" fillId="0" borderId="0"/>
    <xf numFmtId="0" fontId="66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  <xf numFmtId="0" fontId="4" fillId="0" borderId="0"/>
    <xf numFmtId="0" fontId="70" fillId="0" borderId="0"/>
    <xf numFmtId="0" fontId="1" fillId="0" borderId="0"/>
    <xf numFmtId="0" fontId="64" fillId="0" borderId="0"/>
  </cellStyleXfs>
  <cellXfs count="372">
    <xf numFmtId="0" fontId="0" fillId="0" borderId="0" xfId="0"/>
    <xf numFmtId="0" fontId="5" fillId="24" borderId="0" xfId="0" applyFont="1" applyFill="1"/>
    <xf numFmtId="4" fontId="5" fillId="24" borderId="0" xfId="0" applyNumberFormat="1" applyFont="1" applyFill="1"/>
    <xf numFmtId="0" fontId="5" fillId="24" borderId="0" xfId="0" applyFont="1" applyFill="1" applyBorder="1" applyAlignment="1">
      <alignment horizontal="left" wrapText="1"/>
    </xf>
    <xf numFmtId="0" fontId="8" fillId="24" borderId="10" xfId="0" applyFont="1" applyFill="1" applyBorder="1" applyAlignment="1">
      <alignment wrapText="1"/>
    </xf>
    <xf numFmtId="0" fontId="9" fillId="24" borderId="13" xfId="0" applyFont="1" applyFill="1" applyBorder="1" applyAlignment="1">
      <alignment horizontal="center"/>
    </xf>
    <xf numFmtId="0" fontId="9" fillId="24" borderId="18" xfId="0" applyFont="1" applyFill="1" applyBorder="1" applyAlignment="1">
      <alignment wrapText="1"/>
    </xf>
    <xf numFmtId="0" fontId="5" fillId="24" borderId="0" xfId="0" applyFont="1" applyFill="1" applyBorder="1" applyAlignment="1">
      <alignment horizontal="center" wrapText="1"/>
    </xf>
    <xf numFmtId="164" fontId="5" fillId="24" borderId="0" xfId="0" applyNumberFormat="1" applyFont="1" applyFill="1" applyBorder="1" applyAlignment="1">
      <alignment wrapText="1"/>
    </xf>
    <xf numFmtId="0" fontId="8" fillId="24" borderId="17" xfId="0" applyFont="1" applyFill="1" applyBorder="1" applyAlignment="1">
      <alignment horizontal="left" wrapText="1"/>
    </xf>
    <xf numFmtId="0" fontId="8" fillId="24" borderId="18" xfId="0" applyFont="1" applyFill="1" applyBorder="1" applyAlignment="1">
      <alignment horizontal="left" wrapText="1"/>
    </xf>
    <xf numFmtId="0" fontId="8" fillId="24" borderId="18" xfId="0" applyFont="1" applyFill="1" applyBorder="1" applyAlignment="1">
      <alignment wrapText="1"/>
    </xf>
    <xf numFmtId="0" fontId="9" fillId="24" borderId="27" xfId="0" applyFont="1" applyFill="1" applyBorder="1" applyAlignment="1">
      <alignment wrapText="1"/>
    </xf>
    <xf numFmtId="0" fontId="8" fillId="24" borderId="22" xfId="0" applyFont="1" applyFill="1" applyBorder="1"/>
    <xf numFmtId="0" fontId="9" fillId="24" borderId="17" xfId="0" applyFont="1" applyFill="1" applyBorder="1" applyAlignment="1">
      <alignment horizontal="center"/>
    </xf>
    <xf numFmtId="0" fontId="9" fillId="24" borderId="18" xfId="0" applyNumberFormat="1" applyFont="1" applyFill="1" applyBorder="1" applyAlignment="1">
      <alignment wrapText="1"/>
    </xf>
    <xf numFmtId="0" fontId="9" fillId="24" borderId="20" xfId="0" applyFont="1" applyFill="1" applyBorder="1" applyAlignment="1">
      <alignment horizontal="center"/>
    </xf>
    <xf numFmtId="0" fontId="9" fillId="24" borderId="19" xfId="0" applyNumberFormat="1" applyFont="1" applyFill="1" applyBorder="1" applyAlignment="1">
      <alignment wrapText="1"/>
    </xf>
    <xf numFmtId="4" fontId="5" fillId="24" borderId="27" xfId="0" applyNumberFormat="1" applyFont="1" applyFill="1" applyBorder="1" applyAlignment="1">
      <alignment horizontal="center" wrapText="1"/>
    </xf>
    <xf numFmtId="4" fontId="5" fillId="24" borderId="28" xfId="0" applyNumberFormat="1" applyFont="1" applyFill="1" applyBorder="1" applyAlignment="1">
      <alignment horizontal="center" wrapText="1"/>
    </xf>
    <xf numFmtId="0" fontId="8" fillId="24" borderId="29" xfId="0" applyFont="1" applyFill="1" applyBorder="1" applyAlignment="1">
      <alignment horizontal="left" wrapText="1"/>
    </xf>
    <xf numFmtId="0" fontId="9" fillId="24" borderId="26" xfId="0" applyFont="1" applyFill="1" applyBorder="1" applyAlignment="1">
      <alignment horizontal="center"/>
    </xf>
    <xf numFmtId="0" fontId="9" fillId="24" borderId="27" xfId="0" applyNumberFormat="1" applyFont="1" applyFill="1" applyBorder="1" applyAlignment="1">
      <alignment wrapText="1"/>
    </xf>
    <xf numFmtId="0" fontId="8" fillId="24" borderId="32" xfId="0" applyFont="1" applyFill="1" applyBorder="1"/>
    <xf numFmtId="0" fontId="8" fillId="24" borderId="33" xfId="0" applyNumberFormat="1" applyFont="1" applyFill="1" applyBorder="1" applyAlignment="1">
      <alignment wrapText="1"/>
    </xf>
    <xf numFmtId="4" fontId="8" fillId="24" borderId="33" xfId="0" applyNumberFormat="1" applyFont="1" applyFill="1" applyBorder="1"/>
    <xf numFmtId="10" fontId="8" fillId="24" borderId="34" xfId="37" applyNumberFormat="1" applyFont="1" applyFill="1" applyBorder="1"/>
    <xf numFmtId="0" fontId="0" fillId="24" borderId="0" xfId="0" applyFill="1"/>
    <xf numFmtId="4" fontId="8" fillId="24" borderId="24" xfId="0" applyNumberFormat="1" applyFont="1" applyFill="1" applyBorder="1"/>
    <xf numFmtId="0" fontId="8" fillId="24" borderId="13" xfId="0" applyFont="1" applyFill="1" applyBorder="1" applyAlignment="1">
      <alignment horizontal="center"/>
    </xf>
    <xf numFmtId="0" fontId="8" fillId="24" borderId="38" xfId="0" applyNumberFormat="1" applyFont="1" applyFill="1" applyBorder="1" applyAlignment="1">
      <alignment wrapText="1"/>
    </xf>
    <xf numFmtId="10" fontId="8" fillId="24" borderId="15" xfId="37" applyNumberFormat="1" applyFont="1" applyFill="1" applyBorder="1"/>
    <xf numFmtId="0" fontId="22" fillId="0" borderId="0" xfId="35"/>
    <xf numFmtId="0" fontId="29" fillId="0" borderId="0" xfId="35" applyFont="1"/>
    <xf numFmtId="164" fontId="29" fillId="0" borderId="0" xfId="35" applyNumberFormat="1" applyFont="1"/>
    <xf numFmtId="0" fontId="30" fillId="0" borderId="29" xfId="35" applyFont="1" applyBorder="1"/>
    <xf numFmtId="0" fontId="30" fillId="0" borderId="41" xfId="35" applyFont="1" applyBorder="1"/>
    <xf numFmtId="164" fontId="30" fillId="0" borderId="42" xfId="35" applyNumberFormat="1" applyFont="1" applyBorder="1"/>
    <xf numFmtId="164" fontId="30" fillId="0" borderId="37" xfId="35" applyNumberFormat="1" applyFont="1" applyBorder="1"/>
    <xf numFmtId="164" fontId="30" fillId="0" borderId="0" xfId="35" applyNumberFormat="1" applyFont="1"/>
    <xf numFmtId="0" fontId="30" fillId="0" borderId="43" xfId="35" applyFont="1" applyBorder="1"/>
    <xf numFmtId="0" fontId="30" fillId="0" borderId="0" xfId="35" applyFont="1" applyBorder="1"/>
    <xf numFmtId="164" fontId="31" fillId="0" borderId="44" xfId="35" applyNumberFormat="1" applyFont="1" applyBorder="1" applyAlignment="1">
      <alignment horizontal="center"/>
    </xf>
    <xf numFmtId="164" fontId="31" fillId="0" borderId="45" xfId="35" applyNumberFormat="1" applyFont="1" applyBorder="1" applyAlignment="1">
      <alignment horizontal="center"/>
    </xf>
    <xf numFmtId="0" fontId="30" fillId="0" borderId="46" xfId="35" applyFont="1" applyBorder="1"/>
    <xf numFmtId="0" fontId="30" fillId="0" borderId="47" xfId="35" applyFont="1" applyBorder="1"/>
    <xf numFmtId="164" fontId="31" fillId="0" borderId="48" xfId="35" applyNumberFormat="1" applyFont="1" applyBorder="1" applyAlignment="1">
      <alignment horizontal="center"/>
    </xf>
    <xf numFmtId="164" fontId="31" fillId="0" borderId="49" xfId="35" applyNumberFormat="1" applyFont="1" applyBorder="1" applyAlignment="1">
      <alignment horizontal="center"/>
    </xf>
    <xf numFmtId="164" fontId="30" fillId="0" borderId="44" xfId="35" applyNumberFormat="1" applyFont="1" applyBorder="1"/>
    <xf numFmtId="164" fontId="30" fillId="0" borderId="45" xfId="35" applyNumberFormat="1" applyFont="1" applyBorder="1"/>
    <xf numFmtId="0" fontId="31" fillId="0" borderId="43" xfId="35" applyFont="1" applyBorder="1"/>
    <xf numFmtId="0" fontId="31" fillId="0" borderId="0" xfId="35" applyFont="1" applyBorder="1"/>
    <xf numFmtId="164" fontId="31" fillId="0" borderId="44" xfId="35" applyNumberFormat="1" applyFont="1" applyFill="1" applyBorder="1"/>
    <xf numFmtId="164" fontId="31" fillId="0" borderId="45" xfId="35" applyNumberFormat="1" applyFont="1" applyFill="1" applyBorder="1"/>
    <xf numFmtId="164" fontId="31" fillId="0" borderId="44" xfId="35" applyNumberFormat="1" applyFont="1" applyBorder="1"/>
    <xf numFmtId="164" fontId="31" fillId="0" borderId="45" xfId="35" applyNumberFormat="1" applyFont="1" applyBorder="1"/>
    <xf numFmtId="0" fontId="31" fillId="0" borderId="29" xfId="35" applyFont="1" applyBorder="1"/>
    <xf numFmtId="0" fontId="31" fillId="0" borderId="41" xfId="35" applyFont="1" applyBorder="1"/>
    <xf numFmtId="164" fontId="31" fillId="0" borderId="42" xfId="35" applyNumberFormat="1" applyFont="1" applyBorder="1"/>
    <xf numFmtId="164" fontId="31" fillId="0" borderId="37" xfId="35" applyNumberFormat="1" applyFont="1" applyBorder="1"/>
    <xf numFmtId="0" fontId="31" fillId="0" borderId="46" xfId="35" applyFont="1" applyBorder="1"/>
    <xf numFmtId="0" fontId="31" fillId="0" borderId="47" xfId="35" applyFont="1" applyBorder="1"/>
    <xf numFmtId="164" fontId="31" fillId="0" borderId="48" xfId="35" applyNumberFormat="1" applyFont="1" applyBorder="1"/>
    <xf numFmtId="164" fontId="31" fillId="0" borderId="49" xfId="35" applyNumberFormat="1" applyFont="1" applyBorder="1"/>
    <xf numFmtId="164" fontId="30" fillId="0" borderId="48" xfId="35" applyNumberFormat="1" applyFont="1" applyBorder="1"/>
    <xf numFmtId="164" fontId="30" fillId="0" borderId="49" xfId="35" applyNumberFormat="1" applyFont="1" applyBorder="1"/>
    <xf numFmtId="10" fontId="8" fillId="24" borderId="31" xfId="37" applyNumberFormat="1" applyFont="1" applyFill="1" applyBorder="1"/>
    <xf numFmtId="164" fontId="0" fillId="0" borderId="0" xfId="0" applyNumberFormat="1"/>
    <xf numFmtId="0" fontId="9" fillId="24" borderId="39" xfId="0" applyFont="1" applyFill="1" applyBorder="1" applyAlignment="1">
      <alignment wrapText="1"/>
    </xf>
    <xf numFmtId="0" fontId="9" fillId="24" borderId="40" xfId="0" applyFont="1" applyFill="1" applyBorder="1" applyAlignment="1">
      <alignment wrapText="1"/>
    </xf>
    <xf numFmtId="4" fontId="8" fillId="24" borderId="14" xfId="0" applyNumberFormat="1" applyFont="1" applyFill="1" applyBorder="1" applyAlignment="1">
      <alignment horizontal="center" wrapText="1"/>
    </xf>
    <xf numFmtId="4" fontId="0" fillId="0" borderId="0" xfId="0" applyNumberFormat="1"/>
    <xf numFmtId="164" fontId="32" fillId="0" borderId="44" xfId="35" applyNumberFormat="1" applyFont="1" applyFill="1" applyBorder="1"/>
    <xf numFmtId="165" fontId="4" fillId="24" borderId="25" xfId="0" applyNumberFormat="1" applyFont="1" applyFill="1" applyBorder="1"/>
    <xf numFmtId="4" fontId="8" fillId="0" borderId="0" xfId="0" applyNumberFormat="1" applyFont="1"/>
    <xf numFmtId="166" fontId="4" fillId="24" borderId="25" xfId="0" applyNumberFormat="1" applyFont="1" applyFill="1" applyBorder="1"/>
    <xf numFmtId="0" fontId="9" fillId="24" borderId="11" xfId="0" applyFont="1" applyFill="1" applyBorder="1" applyAlignment="1">
      <alignment horizontal="center"/>
    </xf>
    <xf numFmtId="4" fontId="33" fillId="0" borderId="0" xfId="0" applyNumberFormat="1" applyFont="1"/>
    <xf numFmtId="4" fontId="4" fillId="24" borderId="18" xfId="0" applyNumberFormat="1" applyFont="1" applyFill="1" applyBorder="1"/>
    <xf numFmtId="10" fontId="4" fillId="24" borderId="31" xfId="37" applyNumberFormat="1" applyFont="1" applyFill="1" applyBorder="1"/>
    <xf numFmtId="4" fontId="4" fillId="24" borderId="27" xfId="0" applyNumberFormat="1" applyFont="1" applyFill="1" applyBorder="1"/>
    <xf numFmtId="10" fontId="4" fillId="24" borderId="28" xfId="37" applyNumberFormat="1" applyFont="1" applyFill="1" applyBorder="1"/>
    <xf numFmtId="4" fontId="4" fillId="24" borderId="19" xfId="0" applyNumberFormat="1" applyFont="1" applyFill="1" applyBorder="1"/>
    <xf numFmtId="10" fontId="4" fillId="24" borderId="35" xfId="37" applyNumberFormat="1" applyFont="1" applyFill="1" applyBorder="1"/>
    <xf numFmtId="0" fontId="4" fillId="24" borderId="0" xfId="0" applyFont="1" applyFill="1"/>
    <xf numFmtId="0" fontId="7" fillId="24" borderId="0" xfId="0" applyFont="1" applyFill="1" applyBorder="1" applyAlignment="1">
      <alignment horizontal="center"/>
    </xf>
    <xf numFmtId="0" fontId="8" fillId="24" borderId="10" xfId="0" applyFont="1" applyFill="1" applyBorder="1" applyAlignment="1">
      <alignment wrapText="1"/>
    </xf>
    <xf numFmtId="0" fontId="7" fillId="24" borderId="0" xfId="0" applyFont="1" applyFill="1" applyBorder="1" applyAlignment="1">
      <alignment horizontal="center"/>
    </xf>
    <xf numFmtId="0" fontId="8" fillId="24" borderId="10" xfId="0" applyFont="1" applyFill="1" applyBorder="1" applyAlignment="1">
      <alignment wrapText="1"/>
    </xf>
    <xf numFmtId="0" fontId="35" fillId="24" borderId="0" xfId="0" applyFont="1" applyFill="1" applyBorder="1" applyAlignment="1">
      <alignment horizontal="left" vertical="center" wrapText="1"/>
    </xf>
    <xf numFmtId="0" fontId="8" fillId="24" borderId="22" xfId="0" applyFont="1" applyFill="1" applyBorder="1" applyAlignment="1">
      <alignment wrapText="1"/>
    </xf>
    <xf numFmtId="0" fontId="9" fillId="24" borderId="57" xfId="0" applyFont="1" applyFill="1" applyBorder="1" applyAlignment="1">
      <alignment wrapText="1"/>
    </xf>
    <xf numFmtId="0" fontId="8" fillId="24" borderId="17" xfId="0" applyFont="1" applyFill="1" applyBorder="1" applyAlignment="1">
      <alignment wrapText="1"/>
    </xf>
    <xf numFmtId="0" fontId="8" fillId="24" borderId="0" xfId="0" applyFont="1" applyFill="1" applyBorder="1" applyAlignment="1">
      <alignment horizontal="left" wrapText="1"/>
    </xf>
    <xf numFmtId="164" fontId="8" fillId="24" borderId="0" xfId="0" applyNumberFormat="1" applyFont="1" applyFill="1" applyBorder="1" applyAlignment="1">
      <alignment horizontal="right" wrapText="1"/>
    </xf>
    <xf numFmtId="0" fontId="8" fillId="24" borderId="30" xfId="0" applyFont="1" applyFill="1" applyBorder="1" applyAlignment="1">
      <alignment horizontal="left" wrapText="1"/>
    </xf>
    <xf numFmtId="0" fontId="8" fillId="24" borderId="14" xfId="0" applyFont="1" applyFill="1" applyBorder="1" applyAlignment="1">
      <alignment horizontal="left" wrapText="1"/>
    </xf>
    <xf numFmtId="0" fontId="8" fillId="24" borderId="26" xfId="0" applyFont="1" applyFill="1" applyBorder="1" applyAlignment="1">
      <alignment horizontal="left" wrapText="1"/>
    </xf>
    <xf numFmtId="0" fontId="8" fillId="24" borderId="27" xfId="0" applyFont="1" applyFill="1" applyBorder="1" applyAlignment="1">
      <alignment horizontal="left" wrapText="1"/>
    </xf>
    <xf numFmtId="0" fontId="8" fillId="24" borderId="54" xfId="0" applyFont="1" applyFill="1" applyBorder="1" applyAlignment="1">
      <alignment horizontal="left" wrapText="1"/>
    </xf>
    <xf numFmtId="0" fontId="8" fillId="24" borderId="21" xfId="0" applyFont="1" applyFill="1" applyBorder="1" applyAlignment="1">
      <alignment horizontal="left" wrapText="1"/>
    </xf>
    <xf numFmtId="4" fontId="8" fillId="24" borderId="16" xfId="0" applyNumberFormat="1" applyFont="1" applyFill="1" applyBorder="1"/>
    <xf numFmtId="0" fontId="9" fillId="24" borderId="17" xfId="0" applyFont="1" applyFill="1" applyBorder="1" applyAlignment="1">
      <alignment horizontal="left"/>
    </xf>
    <xf numFmtId="0" fontId="9" fillId="24" borderId="20" xfId="0" applyFont="1" applyFill="1" applyBorder="1" applyAlignment="1">
      <alignment horizontal="left"/>
    </xf>
    <xf numFmtId="0" fontId="9" fillId="24" borderId="17" xfId="0" applyFont="1" applyFill="1" applyBorder="1" applyAlignment="1">
      <alignment wrapText="1"/>
    </xf>
    <xf numFmtId="0" fontId="9" fillId="24" borderId="26" xfId="0" applyFont="1" applyFill="1" applyBorder="1" applyAlignment="1">
      <alignment wrapText="1"/>
    </xf>
    <xf numFmtId="0" fontId="9" fillId="24" borderId="17" xfId="0" applyFont="1" applyFill="1" applyBorder="1" applyAlignment="1">
      <alignment horizontal="left" wrapText="1"/>
    </xf>
    <xf numFmtId="0" fontId="9" fillId="24" borderId="26" xfId="0" applyFont="1" applyFill="1" applyBorder="1" applyAlignment="1">
      <alignment horizontal="left" wrapText="1"/>
    </xf>
    <xf numFmtId="0" fontId="9" fillId="24" borderId="20" xfId="0" applyFont="1" applyFill="1" applyBorder="1" applyAlignment="1">
      <alignment horizontal="left" wrapText="1"/>
    </xf>
    <xf numFmtId="0" fontId="9" fillId="24" borderId="0" xfId="0" applyFont="1" applyFill="1" applyBorder="1" applyAlignment="1">
      <alignment horizontal="left"/>
    </xf>
    <xf numFmtId="0" fontId="9" fillId="24" borderId="0" xfId="0" applyNumberFormat="1" applyFont="1" applyFill="1" applyBorder="1" applyAlignment="1">
      <alignment wrapText="1"/>
    </xf>
    <xf numFmtId="166" fontId="4" fillId="24" borderId="0" xfId="0" applyNumberFormat="1" applyFont="1" applyFill="1" applyBorder="1"/>
    <xf numFmtId="0" fontId="9" fillId="24" borderId="32" xfId="0" applyFont="1" applyFill="1" applyBorder="1" applyAlignment="1">
      <alignment horizontal="center"/>
    </xf>
    <xf numFmtId="0" fontId="9" fillId="24" borderId="33" xfId="0" applyNumberFormat="1" applyFont="1" applyFill="1" applyBorder="1" applyAlignment="1">
      <alignment wrapText="1"/>
    </xf>
    <xf numFmtId="4" fontId="4" fillId="24" borderId="33" xfId="0" applyNumberFormat="1" applyFont="1" applyFill="1" applyBorder="1"/>
    <xf numFmtId="10" fontId="4" fillId="24" borderId="34" xfId="37" applyNumberFormat="1" applyFont="1" applyFill="1" applyBorder="1"/>
    <xf numFmtId="0" fontId="8" fillId="24" borderId="60" xfId="0" applyFont="1" applyFill="1" applyBorder="1"/>
    <xf numFmtId="0" fontId="8" fillId="24" borderId="61" xfId="0" applyNumberFormat="1" applyFont="1" applyFill="1" applyBorder="1" applyAlignment="1">
      <alignment wrapText="1"/>
    </xf>
    <xf numFmtId="4" fontId="8" fillId="24" borderId="61" xfId="0" applyNumberFormat="1" applyFont="1" applyFill="1" applyBorder="1"/>
    <xf numFmtId="10" fontId="8" fillId="24" borderId="62" xfId="37" applyNumberFormat="1" applyFont="1" applyFill="1" applyBorder="1"/>
    <xf numFmtId="0" fontId="8" fillId="24" borderId="17" xfId="0" applyFont="1" applyFill="1" applyBorder="1"/>
    <xf numFmtId="0" fontId="8" fillId="24" borderId="18" xfId="0" applyNumberFormat="1" applyFont="1" applyFill="1" applyBorder="1" applyAlignment="1">
      <alignment wrapText="1"/>
    </xf>
    <xf numFmtId="4" fontId="8" fillId="24" borderId="18" xfId="0" applyNumberFormat="1" applyFont="1" applyFill="1" applyBorder="1"/>
    <xf numFmtId="0" fontId="9" fillId="24" borderId="26" xfId="0" applyFont="1" applyFill="1" applyBorder="1" applyAlignment="1">
      <alignment horizontal="left"/>
    </xf>
    <xf numFmtId="0" fontId="8" fillId="24" borderId="39" xfId="0" applyNumberFormat="1" applyFont="1" applyFill="1" applyBorder="1" applyAlignment="1">
      <alignment wrapText="1"/>
    </xf>
    <xf numFmtId="4" fontId="4" fillId="24" borderId="55" xfId="0" applyNumberFormat="1" applyFont="1" applyFill="1" applyBorder="1"/>
    <xf numFmtId="0" fontId="8" fillId="24" borderId="14" xfId="0" applyNumberFormat="1" applyFont="1" applyFill="1" applyBorder="1" applyAlignment="1">
      <alignment wrapText="1"/>
    </xf>
    <xf numFmtId="4" fontId="8" fillId="24" borderId="14" xfId="0" applyNumberFormat="1" applyFont="1" applyFill="1" applyBorder="1" applyAlignment="1">
      <alignment horizontal="right" wrapText="1"/>
    </xf>
    <xf numFmtId="0" fontId="8" fillId="24" borderId="23" xfId="0" applyFont="1" applyFill="1" applyBorder="1" applyAlignment="1">
      <alignment wrapText="1"/>
    </xf>
    <xf numFmtId="0" fontId="9" fillId="24" borderId="32" xfId="0" applyFont="1" applyFill="1" applyBorder="1" applyAlignment="1">
      <alignment horizontal="left"/>
    </xf>
    <xf numFmtId="0" fontId="8" fillId="24" borderId="17" xfId="0" applyFont="1" applyFill="1" applyBorder="1" applyAlignment="1">
      <alignment horizontal="left"/>
    </xf>
    <xf numFmtId="0" fontId="8" fillId="24" borderId="60" xfId="0" applyFont="1" applyFill="1" applyBorder="1" applyAlignment="1">
      <alignment horizontal="left"/>
    </xf>
    <xf numFmtId="0" fontId="8" fillId="24" borderId="32" xfId="0" applyFont="1" applyFill="1" applyBorder="1" applyAlignment="1">
      <alignment horizontal="left"/>
    </xf>
    <xf numFmtId="0" fontId="35" fillId="24" borderId="0" xfId="0" applyFont="1" applyFill="1" applyBorder="1" applyAlignment="1">
      <alignment horizontal="left" vertical="center" wrapText="1"/>
    </xf>
    <xf numFmtId="0" fontId="7" fillId="24" borderId="0" xfId="0" applyFont="1" applyFill="1" applyBorder="1" applyAlignment="1">
      <alignment horizontal="center"/>
    </xf>
    <xf numFmtId="0" fontId="8" fillId="24" borderId="10" xfId="0" applyFont="1" applyFill="1" applyBorder="1" applyAlignment="1">
      <alignment wrapText="1"/>
    </xf>
    <xf numFmtId="0" fontId="35" fillId="24" borderId="0" xfId="0" applyFont="1" applyFill="1" applyBorder="1" applyAlignment="1">
      <alignment horizontal="left" vertical="center" wrapText="1"/>
    </xf>
    <xf numFmtId="0" fontId="8" fillId="24" borderId="10" xfId="0" applyFont="1" applyFill="1" applyBorder="1" applyAlignment="1">
      <alignment wrapText="1"/>
    </xf>
    <xf numFmtId="0" fontId="7" fillId="24" borderId="0" xfId="0" applyFont="1" applyFill="1" applyBorder="1" applyAlignment="1">
      <alignment horizontal="center"/>
    </xf>
    <xf numFmtId="0" fontId="35" fillId="24" borderId="0" xfId="0" applyFont="1" applyFill="1" applyBorder="1" applyAlignment="1">
      <alignment horizontal="left" vertical="center" wrapText="1"/>
    </xf>
    <xf numFmtId="0" fontId="8" fillId="24" borderId="10" xfId="0" applyFont="1" applyFill="1" applyBorder="1" applyAlignment="1">
      <alignment wrapText="1"/>
    </xf>
    <xf numFmtId="0" fontId="7" fillId="24" borderId="0" xfId="0" applyFont="1" applyFill="1" applyBorder="1" applyAlignment="1">
      <alignment horizontal="center"/>
    </xf>
    <xf numFmtId="0" fontId="35" fillId="24" borderId="0" xfId="0" applyFont="1" applyFill="1" applyBorder="1" applyAlignment="1">
      <alignment horizontal="left" vertical="center" wrapText="1"/>
    </xf>
    <xf numFmtId="0" fontId="8" fillId="24" borderId="10" xfId="0" applyFont="1" applyFill="1" applyBorder="1" applyAlignment="1">
      <alignment wrapText="1"/>
    </xf>
    <xf numFmtId="0" fontId="7" fillId="24" borderId="0" xfId="0" applyFont="1" applyFill="1" applyBorder="1" applyAlignment="1">
      <alignment horizontal="center"/>
    </xf>
    <xf numFmtId="0" fontId="35" fillId="24" borderId="0" xfId="0" applyFont="1" applyFill="1" applyBorder="1" applyAlignment="1">
      <alignment horizontal="left" vertical="center" wrapText="1"/>
    </xf>
    <xf numFmtId="0" fontId="8" fillId="24" borderId="10" xfId="0" applyFont="1" applyFill="1" applyBorder="1" applyAlignment="1">
      <alignment wrapText="1"/>
    </xf>
    <xf numFmtId="0" fontId="7" fillId="24" borderId="0" xfId="0" applyFont="1" applyFill="1" applyBorder="1" applyAlignment="1">
      <alignment horizontal="center"/>
    </xf>
    <xf numFmtId="164" fontId="8" fillId="24" borderId="12" xfId="0" applyNumberFormat="1" applyFont="1" applyFill="1" applyBorder="1" applyAlignment="1">
      <alignment horizontal="right" wrapText="1"/>
    </xf>
    <xf numFmtId="165" fontId="4" fillId="24" borderId="50" xfId="0" applyNumberFormat="1" applyFont="1" applyFill="1" applyBorder="1"/>
    <xf numFmtId="0" fontId="35" fillId="24" borderId="0" xfId="0" applyFont="1" applyFill="1" applyBorder="1" applyAlignment="1">
      <alignment horizontal="left" vertical="center" wrapText="1"/>
    </xf>
    <xf numFmtId="0" fontId="8" fillId="24" borderId="10" xfId="0" applyFont="1" applyFill="1" applyBorder="1" applyAlignment="1">
      <alignment wrapText="1"/>
    </xf>
    <xf numFmtId="4" fontId="4" fillId="0" borderId="0" xfId="0" applyNumberFormat="1" applyFont="1"/>
    <xf numFmtId="0" fontId="35" fillId="24" borderId="0" xfId="0" applyFont="1" applyFill="1" applyBorder="1" applyAlignment="1">
      <alignment horizontal="left" vertical="center" wrapText="1"/>
    </xf>
    <xf numFmtId="0" fontId="8" fillId="24" borderId="10" xfId="0" applyFont="1" applyFill="1" applyBorder="1" applyAlignment="1">
      <alignment wrapText="1"/>
    </xf>
    <xf numFmtId="0" fontId="30" fillId="0" borderId="0" xfId="35" applyNumberFormat="1" applyFont="1"/>
    <xf numFmtId="0" fontId="0" fillId="0" borderId="0" xfId="0" applyFill="1"/>
    <xf numFmtId="0" fontId="8" fillId="0" borderId="0" xfId="0" applyFont="1" applyFill="1"/>
    <xf numFmtId="4" fontId="0" fillId="0" borderId="0" xfId="0" applyNumberFormat="1" applyFill="1"/>
    <xf numFmtId="4" fontId="8" fillId="0" borderId="0" xfId="0" applyNumberFormat="1" applyFont="1" applyFill="1"/>
    <xf numFmtId="4" fontId="33" fillId="0" borderId="0" xfId="0" applyNumberFormat="1" applyFont="1" applyFill="1"/>
    <xf numFmtId="4" fontId="8" fillId="0" borderId="16" xfId="0" applyNumberFormat="1" applyFont="1" applyFill="1" applyBorder="1"/>
    <xf numFmtId="4" fontId="8" fillId="0" borderId="24" xfId="0" applyNumberFormat="1" applyFont="1" applyFill="1" applyBorder="1"/>
    <xf numFmtId="164" fontId="33" fillId="0" borderId="0" xfId="0" applyNumberFormat="1" applyFont="1"/>
    <xf numFmtId="0" fontId="35" fillId="24" borderId="0" xfId="0" applyFont="1" applyFill="1" applyBorder="1" applyAlignment="1">
      <alignment horizontal="left" vertical="center" wrapText="1"/>
    </xf>
    <xf numFmtId="0" fontId="8" fillId="24" borderId="10" xfId="0" applyFont="1" applyFill="1" applyBorder="1" applyAlignment="1">
      <alignment wrapText="1"/>
    </xf>
    <xf numFmtId="0" fontId="35" fillId="24" borderId="0" xfId="0" applyFont="1" applyFill="1" applyBorder="1" applyAlignment="1">
      <alignment horizontal="left" vertical="center" wrapText="1"/>
    </xf>
    <xf numFmtId="0" fontId="8" fillId="24" borderId="10" xfId="0" applyFont="1" applyFill="1" applyBorder="1" applyAlignment="1">
      <alignment wrapText="1"/>
    </xf>
    <xf numFmtId="0" fontId="35" fillId="24" borderId="0" xfId="0" applyFont="1" applyFill="1" applyBorder="1" applyAlignment="1">
      <alignment horizontal="left" vertical="center" wrapText="1"/>
    </xf>
    <xf numFmtId="0" fontId="8" fillId="24" borderId="10" xfId="0" applyFont="1" applyFill="1" applyBorder="1" applyAlignment="1">
      <alignment wrapText="1"/>
    </xf>
    <xf numFmtId="0" fontId="8" fillId="24" borderId="10" xfId="0" applyFont="1" applyFill="1" applyBorder="1" applyAlignment="1">
      <alignment wrapText="1"/>
    </xf>
    <xf numFmtId="0" fontId="8" fillId="24" borderId="10" xfId="0" applyFont="1" applyFill="1" applyBorder="1" applyAlignment="1">
      <alignment wrapText="1"/>
    </xf>
    <xf numFmtId="0" fontId="4" fillId="0" borderId="0" xfId="0" applyFont="1"/>
    <xf numFmtId="0" fontId="4" fillId="24" borderId="17" xfId="0" applyFont="1" applyFill="1" applyBorder="1" applyAlignment="1">
      <alignment horizontal="left" wrapText="1"/>
    </xf>
    <xf numFmtId="0" fontId="4" fillId="24" borderId="18" xfId="0" applyFont="1" applyFill="1" applyBorder="1" applyAlignment="1">
      <alignment wrapText="1"/>
    </xf>
    <xf numFmtId="0" fontId="4" fillId="24" borderId="39" xfId="0" applyFont="1" applyFill="1" applyBorder="1" applyAlignment="1">
      <alignment wrapText="1"/>
    </xf>
    <xf numFmtId="0" fontId="4" fillId="24" borderId="26" xfId="0" applyFont="1" applyFill="1" applyBorder="1" applyAlignment="1">
      <alignment horizontal="left" wrapText="1"/>
    </xf>
    <xf numFmtId="0" fontId="4" fillId="24" borderId="57" xfId="0" applyFont="1" applyFill="1" applyBorder="1" applyAlignment="1">
      <alignment wrapText="1"/>
    </xf>
    <xf numFmtId="0" fontId="4" fillId="24" borderId="20" xfId="0" applyFont="1" applyFill="1" applyBorder="1" applyAlignment="1">
      <alignment horizontal="left" wrapText="1"/>
    </xf>
    <xf numFmtId="0" fontId="4" fillId="24" borderId="40" xfId="0" applyFont="1" applyFill="1" applyBorder="1" applyAlignment="1">
      <alignment wrapText="1"/>
    </xf>
    <xf numFmtId="0" fontId="4" fillId="24" borderId="13" xfId="0" applyFont="1" applyFill="1" applyBorder="1" applyAlignment="1">
      <alignment horizontal="center"/>
    </xf>
    <xf numFmtId="0" fontId="4" fillId="24" borderId="17" xfId="0" applyFont="1" applyFill="1" applyBorder="1" applyAlignment="1">
      <alignment wrapText="1"/>
    </xf>
    <xf numFmtId="0" fontId="4" fillId="24" borderId="26" xfId="0" applyFont="1" applyFill="1" applyBorder="1" applyAlignment="1">
      <alignment wrapText="1"/>
    </xf>
    <xf numFmtId="0" fontId="4" fillId="24" borderId="27" xfId="0" applyFont="1" applyFill="1" applyBorder="1" applyAlignment="1">
      <alignment wrapText="1"/>
    </xf>
    <xf numFmtId="0" fontId="4" fillId="24" borderId="17" xfId="0" applyFont="1" applyFill="1" applyBorder="1" applyAlignment="1">
      <alignment horizontal="left"/>
    </xf>
    <xf numFmtId="0" fontId="4" fillId="24" borderId="18" xfId="0" applyNumberFormat="1" applyFont="1" applyFill="1" applyBorder="1" applyAlignment="1">
      <alignment wrapText="1"/>
    </xf>
    <xf numFmtId="0" fontId="4" fillId="24" borderId="26" xfId="0" applyFont="1" applyFill="1" applyBorder="1" applyAlignment="1">
      <alignment horizontal="left"/>
    </xf>
    <xf numFmtId="0" fontId="4" fillId="24" borderId="27" xfId="0" applyNumberFormat="1" applyFont="1" applyFill="1" applyBorder="1" applyAlignment="1">
      <alignment wrapText="1"/>
    </xf>
    <xf numFmtId="0" fontId="4" fillId="24" borderId="20" xfId="0" applyFont="1" applyFill="1" applyBorder="1" applyAlignment="1">
      <alignment horizontal="left"/>
    </xf>
    <xf numFmtId="0" fontId="4" fillId="24" borderId="19" xfId="0" applyNumberFormat="1" applyFont="1" applyFill="1" applyBorder="1" applyAlignment="1">
      <alignment wrapText="1"/>
    </xf>
    <xf numFmtId="0" fontId="4" fillId="24" borderId="0" xfId="0" applyFont="1" applyFill="1" applyBorder="1" applyAlignment="1">
      <alignment horizontal="left"/>
    </xf>
    <xf numFmtId="0" fontId="4" fillId="24" borderId="0" xfId="0" applyNumberFormat="1" applyFont="1" applyFill="1" applyBorder="1" applyAlignment="1">
      <alignment wrapText="1"/>
    </xf>
    <xf numFmtId="168" fontId="0" fillId="0" borderId="0" xfId="0" applyNumberFormat="1"/>
    <xf numFmtId="0" fontId="8" fillId="24" borderId="38" xfId="0" applyFont="1" applyFill="1" applyBorder="1" applyAlignment="1">
      <alignment wrapText="1"/>
    </xf>
    <xf numFmtId="0" fontId="9" fillId="24" borderId="87" xfId="0" applyFont="1" applyFill="1" applyBorder="1" applyAlignment="1">
      <alignment wrapText="1"/>
    </xf>
    <xf numFmtId="0" fontId="9" fillId="24" borderId="88" xfId="0" applyFont="1" applyFill="1" applyBorder="1" applyAlignment="1">
      <alignment wrapText="1"/>
    </xf>
    <xf numFmtId="0" fontId="8" fillId="24" borderId="87" xfId="0" applyFont="1" applyFill="1" applyBorder="1" applyAlignment="1">
      <alignment wrapText="1"/>
    </xf>
    <xf numFmtId="0" fontId="35" fillId="24" borderId="0" xfId="0" applyFont="1" applyFill="1" applyBorder="1" applyAlignment="1">
      <alignment horizontal="left" vertical="center" wrapText="1"/>
    </xf>
    <xf numFmtId="0" fontId="8" fillId="24" borderId="10" xfId="0" applyFont="1" applyFill="1" applyBorder="1" applyAlignment="1">
      <alignment wrapText="1"/>
    </xf>
    <xf numFmtId="166" fontId="56" fillId="24" borderId="0" xfId="0" applyNumberFormat="1" applyFont="1" applyFill="1" applyBorder="1"/>
    <xf numFmtId="165" fontId="4" fillId="24" borderId="51" xfId="0" applyNumberFormat="1" applyFont="1" applyFill="1" applyBorder="1"/>
    <xf numFmtId="4" fontId="4" fillId="24" borderId="58" xfId="0" applyNumberFormat="1" applyFont="1" applyFill="1" applyBorder="1"/>
    <xf numFmtId="166" fontId="4" fillId="24" borderId="52" xfId="0" applyNumberFormat="1" applyFont="1" applyFill="1" applyBorder="1"/>
    <xf numFmtId="0" fontId="8" fillId="24" borderId="10" xfId="0" applyFont="1" applyFill="1" applyBorder="1" applyAlignment="1">
      <alignment wrapText="1"/>
    </xf>
    <xf numFmtId="4" fontId="4" fillId="24" borderId="86" xfId="0" applyNumberFormat="1" applyFont="1" applyFill="1" applyBorder="1"/>
    <xf numFmtId="0" fontId="8" fillId="24" borderId="10" xfId="0" applyFont="1" applyFill="1" applyBorder="1" applyAlignment="1">
      <alignment wrapText="1"/>
    </xf>
    <xf numFmtId="0" fontId="35" fillId="24" borderId="0" xfId="0" applyFont="1" applyFill="1" applyBorder="1" applyAlignment="1">
      <alignment horizontal="left" vertical="center" wrapText="1"/>
    </xf>
    <xf numFmtId="0" fontId="8" fillId="24" borderId="10" xfId="0" applyFont="1" applyFill="1" applyBorder="1" applyAlignment="1">
      <alignment wrapText="1"/>
    </xf>
    <xf numFmtId="0" fontId="4" fillId="24" borderId="11" xfId="0" applyFont="1" applyFill="1" applyBorder="1" applyAlignment="1">
      <alignment horizontal="center"/>
    </xf>
    <xf numFmtId="0" fontId="8" fillId="24" borderId="39" xfId="0" applyFont="1" applyFill="1" applyBorder="1" applyAlignment="1">
      <alignment wrapText="1"/>
    </xf>
    <xf numFmtId="4" fontId="55" fillId="24" borderId="16" xfId="0" applyNumberFormat="1" applyFont="1" applyFill="1" applyBorder="1"/>
    <xf numFmtId="4" fontId="58" fillId="24" borderId="0" xfId="0" applyNumberFormat="1" applyFont="1" applyFill="1"/>
    <xf numFmtId="164" fontId="33" fillId="0" borderId="0" xfId="0" applyNumberFormat="1" applyFont="1" applyAlignment="1">
      <alignment horizontal="right"/>
    </xf>
    <xf numFmtId="0" fontId="35" fillId="24" borderId="0" xfId="0" applyFont="1" applyFill="1" applyBorder="1" applyAlignment="1">
      <alignment horizontal="left" vertical="center" wrapText="1"/>
    </xf>
    <xf numFmtId="0" fontId="8" fillId="24" borderId="10" xfId="0" applyFont="1" applyFill="1" applyBorder="1" applyAlignment="1">
      <alignment wrapText="1"/>
    </xf>
    <xf numFmtId="164" fontId="58" fillId="24" borderId="0" xfId="0" applyNumberFormat="1" applyFont="1" applyFill="1" applyBorder="1" applyAlignment="1">
      <alignment wrapText="1"/>
    </xf>
    <xf numFmtId="164" fontId="55" fillId="24" borderId="0" xfId="0" applyNumberFormat="1" applyFont="1" applyFill="1" applyBorder="1" applyAlignment="1">
      <alignment horizontal="right" wrapText="1"/>
    </xf>
    <xf numFmtId="164" fontId="8" fillId="24" borderId="37" xfId="0" applyNumberFormat="1" applyFont="1" applyFill="1" applyBorder="1" applyAlignment="1">
      <alignment horizontal="right" wrapText="1"/>
    </xf>
    <xf numFmtId="165" fontId="4" fillId="24" borderId="85" xfId="0" applyNumberFormat="1" applyFont="1" applyFill="1" applyBorder="1"/>
    <xf numFmtId="166" fontId="4" fillId="24" borderId="86" xfId="0" applyNumberFormat="1" applyFont="1" applyFill="1" applyBorder="1"/>
    <xf numFmtId="0" fontId="4" fillId="24" borderId="33" xfId="0" applyNumberFormat="1" applyFont="1" applyFill="1" applyBorder="1" applyAlignment="1">
      <alignment wrapText="1"/>
    </xf>
    <xf numFmtId="0" fontId="4" fillId="24" borderId="32" xfId="0" applyFont="1" applyFill="1" applyBorder="1" applyAlignment="1">
      <alignment horizontal="left"/>
    </xf>
    <xf numFmtId="0" fontId="56" fillId="0" borderId="0" xfId="0" applyFont="1"/>
    <xf numFmtId="165" fontId="4" fillId="24" borderId="94" xfId="0" applyNumberFormat="1" applyFont="1" applyFill="1" applyBorder="1"/>
    <xf numFmtId="165" fontId="4" fillId="24" borderId="45" xfId="0" applyNumberFormat="1" applyFont="1" applyFill="1" applyBorder="1"/>
    <xf numFmtId="0" fontId="35" fillId="24" borderId="0" xfId="0" applyFont="1" applyFill="1" applyBorder="1" applyAlignment="1">
      <alignment horizontal="left" vertical="center" wrapText="1"/>
    </xf>
    <xf numFmtId="0" fontId="8" fillId="24" borderId="10" xfId="0" applyFont="1" applyFill="1" applyBorder="1" applyAlignment="1">
      <alignment wrapText="1"/>
    </xf>
    <xf numFmtId="164" fontId="8" fillId="24" borderId="23" xfId="0" applyNumberFormat="1" applyFont="1" applyFill="1" applyBorder="1" applyAlignment="1">
      <alignment horizontal="right" wrapText="1"/>
    </xf>
    <xf numFmtId="164" fontId="8" fillId="24" borderId="24" xfId="0" applyNumberFormat="1" applyFont="1" applyFill="1" applyBorder="1" applyAlignment="1">
      <alignment horizontal="right" wrapText="1"/>
    </xf>
    <xf numFmtId="164" fontId="4" fillId="24" borderId="19" xfId="0" applyNumberFormat="1" applyFont="1" applyFill="1" applyBorder="1" applyAlignment="1">
      <alignment horizontal="right" wrapText="1"/>
    </xf>
    <xf numFmtId="164" fontId="4" fillId="24" borderId="36" xfId="0" applyNumberFormat="1" applyFont="1" applyFill="1" applyBorder="1" applyAlignment="1">
      <alignment horizontal="right" wrapText="1"/>
    </xf>
    <xf numFmtId="164" fontId="8" fillId="24" borderId="21" xfId="0" applyNumberFormat="1" applyFont="1" applyFill="1" applyBorder="1" applyAlignment="1">
      <alignment horizontal="right" wrapText="1"/>
    </xf>
    <xf numFmtId="164" fontId="8" fillId="0" borderId="37" xfId="0" applyNumberFormat="1" applyFont="1" applyFill="1" applyBorder="1" applyAlignment="1">
      <alignment horizontal="right" wrapText="1"/>
    </xf>
    <xf numFmtId="166" fontId="4" fillId="24" borderId="50" xfId="0" applyNumberFormat="1" applyFont="1" applyFill="1" applyBorder="1"/>
    <xf numFmtId="4" fontId="61" fillId="0" borderId="0" xfId="0" applyNumberFormat="1" applyFont="1"/>
    <xf numFmtId="4" fontId="4" fillId="24" borderId="80" xfId="0" applyNumberFormat="1" applyFont="1" applyFill="1" applyBorder="1"/>
    <xf numFmtId="0" fontId="4" fillId="24" borderId="87" xfId="0" applyFont="1" applyFill="1" applyBorder="1" applyAlignment="1">
      <alignment wrapText="1"/>
    </xf>
    <xf numFmtId="164" fontId="4" fillId="24" borderId="80" xfId="0" applyNumberFormat="1" applyFont="1" applyFill="1" applyBorder="1" applyAlignment="1">
      <alignment horizontal="right" wrapText="1"/>
    </xf>
    <xf numFmtId="0" fontId="4" fillId="24" borderId="88" xfId="0" applyFont="1" applyFill="1" applyBorder="1" applyAlignment="1">
      <alignment wrapText="1"/>
    </xf>
    <xf numFmtId="164" fontId="4" fillId="24" borderId="81" xfId="0" applyNumberFormat="1" applyFont="1" applyFill="1" applyBorder="1" applyAlignment="1">
      <alignment horizontal="right" wrapText="1"/>
    </xf>
    <xf numFmtId="164" fontId="8" fillId="24" borderId="80" xfId="0" applyNumberFormat="1" applyFont="1" applyFill="1" applyBorder="1" applyAlignment="1">
      <alignment horizontal="right" wrapText="1"/>
    </xf>
    <xf numFmtId="164" fontId="4" fillId="0" borderId="80" xfId="0" applyNumberFormat="1" applyFont="1" applyFill="1" applyBorder="1" applyAlignment="1">
      <alignment horizontal="right" wrapText="1"/>
    </xf>
    <xf numFmtId="167" fontId="4" fillId="0" borderId="25" xfId="0" applyNumberFormat="1" applyFont="1" applyFill="1" applyBorder="1" applyAlignment="1">
      <alignment horizontal="right" wrapText="1"/>
    </xf>
    <xf numFmtId="165" fontId="4" fillId="0" borderId="94" xfId="122" applyNumberFormat="1" applyFont="1" applyBorder="1" applyAlignment="1">
      <alignment horizontal="right" vertical="top"/>
    </xf>
    <xf numFmtId="166" fontId="4" fillId="24" borderId="93" xfId="0" applyNumberFormat="1" applyFont="1" applyFill="1" applyBorder="1"/>
    <xf numFmtId="164" fontId="4" fillId="0" borderId="86" xfId="0" applyNumberFormat="1" applyFont="1" applyFill="1" applyBorder="1" applyAlignment="1">
      <alignment horizontal="right" wrapText="1"/>
    </xf>
    <xf numFmtId="164" fontId="4" fillId="24" borderId="86" xfId="0" applyNumberFormat="1" applyFont="1" applyFill="1" applyBorder="1" applyAlignment="1">
      <alignment horizontal="right" wrapText="1"/>
    </xf>
    <xf numFmtId="164" fontId="4" fillId="24" borderId="93" xfId="0" applyNumberFormat="1" applyFont="1" applyFill="1" applyBorder="1" applyAlignment="1">
      <alignment horizontal="right" wrapText="1"/>
    </xf>
    <xf numFmtId="164" fontId="8" fillId="24" borderId="86" xfId="0" applyNumberFormat="1" applyFont="1" applyFill="1" applyBorder="1" applyAlignment="1">
      <alignment horizontal="right" wrapText="1"/>
    </xf>
    <xf numFmtId="168" fontId="4" fillId="0" borderId="0" xfId="0" applyNumberFormat="1" applyFont="1"/>
    <xf numFmtId="4" fontId="56" fillId="0" borderId="0" xfId="0" applyNumberFormat="1" applyFont="1"/>
    <xf numFmtId="0" fontId="35" fillId="24" borderId="0" xfId="0" applyFont="1" applyFill="1" applyBorder="1" applyAlignment="1">
      <alignment horizontal="left" vertical="center" wrapText="1"/>
    </xf>
    <xf numFmtId="0" fontId="8" fillId="24" borderId="10" xfId="0" applyFont="1" applyFill="1" applyBorder="1" applyAlignment="1">
      <alignment wrapText="1"/>
    </xf>
    <xf numFmtId="0" fontId="4" fillId="0" borderId="18" xfId="0" applyFont="1" applyFill="1" applyBorder="1" applyAlignment="1">
      <alignment wrapText="1"/>
    </xf>
    <xf numFmtId="165" fontId="4" fillId="0" borderId="85" xfId="0" applyNumberFormat="1" applyFont="1" applyFill="1" applyBorder="1"/>
    <xf numFmtId="15" fontId="8" fillId="24" borderId="97" xfId="0" quotePrefix="1" applyNumberFormat="1" applyFont="1" applyFill="1" applyBorder="1" applyAlignment="1">
      <alignment horizontal="center" wrapText="1"/>
    </xf>
    <xf numFmtId="164" fontId="4" fillId="0" borderId="0" xfId="0" applyNumberFormat="1" applyFont="1"/>
    <xf numFmtId="0" fontId="35" fillId="24" borderId="0" xfId="0" applyFont="1" applyFill="1" applyBorder="1" applyAlignment="1">
      <alignment horizontal="left" vertical="center" wrapText="1"/>
    </xf>
    <xf numFmtId="0" fontId="8" fillId="24" borderId="10" xfId="0" applyFont="1" applyFill="1" applyBorder="1" applyAlignment="1">
      <alignment wrapText="1"/>
    </xf>
    <xf numFmtId="14" fontId="31" fillId="0" borderId="44" xfId="35" applyNumberFormat="1" applyFont="1" applyBorder="1" applyAlignment="1">
      <alignment horizontal="center"/>
    </xf>
    <xf numFmtId="14" fontId="31" fillId="0" borderId="45" xfId="35" applyNumberFormat="1" applyFont="1" applyBorder="1" applyAlignment="1">
      <alignment horizontal="center"/>
    </xf>
    <xf numFmtId="164" fontId="62" fillId="24" borderId="12" xfId="0" applyNumberFormat="1" applyFont="1" applyFill="1" applyBorder="1" applyAlignment="1">
      <alignment horizontal="right" wrapText="1"/>
    </xf>
    <xf numFmtId="15" fontId="8" fillId="24" borderId="12" xfId="0" quotePrefix="1" applyNumberFormat="1" applyFont="1" applyFill="1" applyBorder="1" applyAlignment="1">
      <alignment horizontal="center" wrapText="1"/>
    </xf>
    <xf numFmtId="15" fontId="8" fillId="24" borderId="21" xfId="0" quotePrefix="1" applyNumberFormat="1" applyFont="1" applyFill="1" applyBorder="1" applyAlignment="1">
      <alignment horizontal="center" wrapText="1"/>
    </xf>
    <xf numFmtId="164" fontId="62" fillId="24" borderId="0" xfId="0" applyNumberFormat="1" applyFont="1" applyFill="1" applyBorder="1" applyAlignment="1">
      <alignment horizontal="right" wrapText="1"/>
    </xf>
    <xf numFmtId="0" fontId="63" fillId="0" borderId="0" xfId="0" applyFont="1"/>
    <xf numFmtId="0" fontId="8" fillId="0" borderId="17" xfId="0" applyFont="1" applyFill="1" applyBorder="1" applyAlignment="1">
      <alignment horizontal="left" wrapText="1"/>
    </xf>
    <xf numFmtId="0" fontId="8" fillId="0" borderId="18" xfId="0" applyFont="1" applyFill="1" applyBorder="1" applyAlignment="1">
      <alignment horizontal="left" wrapText="1"/>
    </xf>
    <xf numFmtId="0" fontId="9" fillId="0" borderId="17" xfId="0" applyFont="1" applyFill="1" applyBorder="1" applyAlignment="1">
      <alignment wrapText="1"/>
    </xf>
    <xf numFmtId="0" fontId="9" fillId="0" borderId="18" xfId="0" applyFont="1" applyFill="1" applyBorder="1" applyAlignment="1">
      <alignment wrapText="1"/>
    </xf>
    <xf numFmtId="0" fontId="8" fillId="0" borderId="17" xfId="0" applyFont="1" applyFill="1" applyBorder="1" applyAlignment="1">
      <alignment wrapText="1"/>
    </xf>
    <xf numFmtId="0" fontId="8" fillId="0" borderId="18" xfId="0" applyFont="1" applyFill="1" applyBorder="1" applyAlignment="1">
      <alignment wrapText="1"/>
    </xf>
    <xf numFmtId="0" fontId="9" fillId="0" borderId="26" xfId="0" applyFont="1" applyFill="1" applyBorder="1" applyAlignment="1">
      <alignment wrapText="1"/>
    </xf>
    <xf numFmtId="0" fontId="9" fillId="0" borderId="27" xfId="0" applyFont="1" applyFill="1" applyBorder="1" applyAlignment="1">
      <alignment wrapText="1"/>
    </xf>
    <xf numFmtId="164" fontId="8" fillId="0" borderId="55" xfId="0" applyNumberFormat="1" applyFont="1" applyFill="1" applyBorder="1" applyAlignment="1">
      <alignment horizontal="right" wrapText="1"/>
    </xf>
    <xf numFmtId="164" fontId="8" fillId="0" borderId="25" xfId="0" applyNumberFormat="1" applyFont="1" applyFill="1" applyBorder="1" applyAlignment="1">
      <alignment horizontal="right" wrapText="1"/>
    </xf>
    <xf numFmtId="164" fontId="4" fillId="0" borderId="25" xfId="0" applyNumberFormat="1" applyFont="1" applyFill="1" applyBorder="1" applyAlignment="1">
      <alignment horizontal="right" wrapText="1"/>
    </xf>
    <xf numFmtId="164" fontId="4" fillId="0" borderId="50" xfId="0" applyNumberFormat="1" applyFont="1" applyFill="1" applyBorder="1" applyAlignment="1">
      <alignment horizontal="right" wrapText="1"/>
    </xf>
    <xf numFmtId="164" fontId="8" fillId="0" borderId="50" xfId="0" applyNumberFormat="1" applyFont="1" applyFill="1" applyBorder="1" applyAlignment="1">
      <alignment horizontal="right" wrapText="1"/>
    </xf>
    <xf numFmtId="164" fontId="8" fillId="24" borderId="50" xfId="0" applyNumberFormat="1" applyFont="1" applyFill="1" applyBorder="1" applyAlignment="1">
      <alignment horizontal="right" wrapText="1"/>
    </xf>
    <xf numFmtId="166" fontId="4" fillId="24" borderId="36" xfId="0" applyNumberFormat="1" applyFont="1" applyFill="1" applyBorder="1"/>
    <xf numFmtId="4" fontId="8" fillId="0" borderId="96" xfId="0" applyNumberFormat="1" applyFont="1" applyFill="1" applyBorder="1"/>
    <xf numFmtId="4" fontId="4" fillId="0" borderId="96" xfId="0" applyNumberFormat="1" applyFont="1" applyFill="1" applyBorder="1"/>
    <xf numFmtId="165" fontId="4" fillId="24" borderId="36" xfId="0" applyNumberFormat="1" applyFont="1" applyFill="1" applyBorder="1"/>
    <xf numFmtId="165" fontId="4" fillId="0" borderId="31" xfId="122" applyNumberFormat="1" applyFont="1" applyFill="1" applyBorder="1" applyAlignment="1">
      <alignment horizontal="right" vertical="top"/>
    </xf>
    <xf numFmtId="165" fontId="4" fillId="0" borderId="31" xfId="122" applyNumberFormat="1" applyFont="1" applyBorder="1" applyAlignment="1">
      <alignment horizontal="right" vertical="top"/>
    </xf>
    <xf numFmtId="165" fontId="4" fillId="0" borderId="85" xfId="122" applyNumberFormat="1" applyFont="1" applyBorder="1" applyAlignment="1">
      <alignment horizontal="right" vertical="top"/>
    </xf>
    <xf numFmtId="165" fontId="4" fillId="0" borderId="85" xfId="122" applyNumberFormat="1" applyFont="1" applyFill="1" applyBorder="1" applyAlignment="1">
      <alignment horizontal="right" vertical="top"/>
    </xf>
    <xf numFmtId="165" fontId="4" fillId="0" borderId="45" xfId="122" applyNumberFormat="1" applyFont="1" applyBorder="1" applyAlignment="1">
      <alignment horizontal="right" vertical="top"/>
    </xf>
    <xf numFmtId="165" fontId="4" fillId="0" borderId="35" xfId="122" applyNumberFormat="1" applyFont="1" applyFill="1" applyBorder="1" applyAlignment="1">
      <alignment horizontal="right" vertical="top"/>
    </xf>
    <xf numFmtId="165" fontId="4" fillId="0" borderId="49" xfId="122" applyNumberFormat="1" applyFont="1" applyBorder="1" applyAlignment="1">
      <alignment horizontal="right" vertical="top"/>
    </xf>
    <xf numFmtId="165" fontId="4" fillId="0" borderId="95" xfId="122" applyNumberFormat="1" applyFont="1" applyBorder="1" applyAlignment="1">
      <alignment horizontal="right" vertical="top"/>
    </xf>
    <xf numFmtId="165" fontId="4" fillId="0" borderId="35" xfId="122" applyNumberFormat="1" applyFont="1" applyBorder="1" applyAlignment="1">
      <alignment horizontal="right" vertical="top"/>
    </xf>
    <xf numFmtId="165" fontId="4" fillId="0" borderId="36" xfId="122" applyNumberFormat="1" applyFont="1" applyBorder="1" applyAlignment="1">
      <alignment horizontal="right" vertical="top"/>
    </xf>
    <xf numFmtId="166" fontId="4" fillId="24" borderId="31" xfId="0" applyNumberFormat="1" applyFont="1" applyFill="1" applyBorder="1"/>
    <xf numFmtId="165" fontId="4" fillId="24" borderId="31" xfId="0" applyNumberFormat="1" applyFont="1" applyFill="1" applyBorder="1"/>
    <xf numFmtId="166" fontId="4" fillId="24" borderId="96" xfId="0" applyNumberFormat="1" applyFont="1" applyFill="1" applyBorder="1"/>
    <xf numFmtId="166" fontId="4" fillId="0" borderId="25" xfId="0" applyNumberFormat="1" applyFont="1" applyFill="1" applyBorder="1"/>
    <xf numFmtId="166" fontId="4" fillId="0" borderId="86" xfId="0" applyNumberFormat="1" applyFont="1" applyFill="1" applyBorder="1"/>
    <xf numFmtId="164" fontId="4" fillId="24" borderId="0" xfId="0" applyNumberFormat="1" applyFont="1" applyFill="1" applyBorder="1" applyAlignment="1">
      <alignment wrapText="1"/>
    </xf>
    <xf numFmtId="164" fontId="65" fillId="24" borderId="0" xfId="0" applyNumberFormat="1" applyFont="1" applyFill="1" applyBorder="1" applyAlignment="1">
      <alignment wrapText="1"/>
    </xf>
    <xf numFmtId="4" fontId="69" fillId="0" borderId="18" xfId="133" applyNumberFormat="1" applyFont="1" applyFill="1" applyBorder="1"/>
    <xf numFmtId="4" fontId="4" fillId="0" borderId="18" xfId="138" applyNumberFormat="1" applyFont="1" applyFill="1" applyBorder="1" applyAlignment="1">
      <alignment horizontal="right" vertical="top"/>
    </xf>
    <xf numFmtId="4" fontId="4" fillId="0" borderId="18" xfId="138" applyNumberFormat="1" applyFont="1" applyFill="1" applyBorder="1" applyAlignment="1">
      <alignment vertical="top"/>
    </xf>
    <xf numFmtId="4" fontId="4" fillId="0" borderId="80" xfId="138" applyNumberFormat="1" applyFont="1" applyFill="1" applyBorder="1" applyAlignment="1">
      <alignment horizontal="right" vertical="top"/>
    </xf>
    <xf numFmtId="0" fontId="8" fillId="24" borderId="10" xfId="0" applyFont="1" applyFill="1" applyBorder="1" applyAlignment="1">
      <alignment wrapText="1"/>
    </xf>
    <xf numFmtId="4" fontId="55" fillId="24" borderId="24" xfId="0" applyNumberFormat="1" applyFont="1" applyFill="1" applyBorder="1"/>
    <xf numFmtId="164" fontId="8" fillId="0" borderId="53" xfId="0" applyNumberFormat="1" applyFont="1" applyFill="1" applyBorder="1" applyAlignment="1">
      <alignment horizontal="right" wrapText="1"/>
    </xf>
    <xf numFmtId="164" fontId="8" fillId="0" borderId="51" xfId="0" applyNumberFormat="1" applyFont="1" applyFill="1" applyBorder="1" applyAlignment="1">
      <alignment horizontal="right" wrapText="1"/>
    </xf>
    <xf numFmtId="164" fontId="4" fillId="0" borderId="51" xfId="0" applyNumberFormat="1" applyFont="1" applyFill="1" applyBorder="1" applyAlignment="1">
      <alignment horizontal="right" wrapText="1"/>
    </xf>
    <xf numFmtId="164" fontId="4" fillId="0" borderId="59" xfId="0" applyNumberFormat="1" applyFont="1" applyFill="1" applyBorder="1" applyAlignment="1">
      <alignment horizontal="right" wrapText="1"/>
    </xf>
    <xf numFmtId="164" fontId="8" fillId="0" borderId="59" xfId="0" applyNumberFormat="1" applyFont="1" applyFill="1" applyBorder="1" applyAlignment="1">
      <alignment horizontal="right" wrapText="1"/>
    </xf>
    <xf numFmtId="164" fontId="8" fillId="0" borderId="13" xfId="0" applyNumberFormat="1" applyFont="1" applyFill="1" applyBorder="1" applyAlignment="1">
      <alignment horizontal="right" wrapText="1"/>
    </xf>
    <xf numFmtId="165" fontId="4" fillId="0" borderId="51" xfId="0" applyNumberFormat="1" applyFont="1" applyFill="1" applyBorder="1"/>
    <xf numFmtId="165" fontId="4" fillId="0" borderId="25" xfId="0" applyNumberFormat="1" applyFont="1" applyFill="1" applyBorder="1"/>
    <xf numFmtId="165" fontId="4" fillId="0" borderId="50" xfId="0" applyNumberFormat="1" applyFont="1" applyFill="1" applyBorder="1"/>
    <xf numFmtId="4" fontId="4" fillId="0" borderId="58" xfId="0" applyNumberFormat="1" applyFont="1" applyFill="1" applyBorder="1"/>
    <xf numFmtId="4" fontId="4" fillId="0" borderId="55" xfId="0" applyNumberFormat="1" applyFont="1" applyFill="1" applyBorder="1"/>
    <xf numFmtId="166" fontId="4" fillId="0" borderId="50" xfId="0" applyNumberFormat="1" applyFont="1" applyFill="1" applyBorder="1"/>
    <xf numFmtId="166" fontId="4" fillId="0" borderId="31" xfId="0" applyNumberFormat="1" applyFont="1" applyFill="1" applyBorder="1"/>
    <xf numFmtId="166" fontId="4" fillId="0" borderId="52" xfId="0" applyNumberFormat="1" applyFont="1" applyFill="1" applyBorder="1"/>
    <xf numFmtId="166" fontId="4" fillId="0" borderId="35" xfId="0" applyNumberFormat="1" applyFont="1" applyFill="1" applyBorder="1"/>
    <xf numFmtId="164" fontId="8" fillId="24" borderId="53" xfId="0" applyNumberFormat="1" applyFont="1" applyFill="1" applyBorder="1" applyAlignment="1">
      <alignment horizontal="right" wrapText="1"/>
    </xf>
    <xf numFmtId="164" fontId="8" fillId="24" borderId="51" xfId="0" applyNumberFormat="1" applyFont="1" applyFill="1" applyBorder="1" applyAlignment="1">
      <alignment horizontal="right" wrapText="1"/>
    </xf>
    <xf numFmtId="164" fontId="4" fillId="24" borderId="51" xfId="0" applyNumberFormat="1" applyFont="1" applyFill="1" applyBorder="1" applyAlignment="1">
      <alignment horizontal="right" wrapText="1"/>
    </xf>
    <xf numFmtId="164" fontId="4" fillId="24" borderId="59" xfId="0" applyNumberFormat="1" applyFont="1" applyFill="1" applyBorder="1" applyAlignment="1">
      <alignment horizontal="right" wrapText="1"/>
    </xf>
    <xf numFmtId="164" fontId="8" fillId="24" borderId="59" xfId="0" applyNumberFormat="1" applyFont="1" applyFill="1" applyBorder="1" applyAlignment="1">
      <alignment horizontal="right" wrapText="1"/>
    </xf>
    <xf numFmtId="164" fontId="8" fillId="24" borderId="13" xfId="0" applyNumberFormat="1" applyFont="1" applyFill="1" applyBorder="1" applyAlignment="1">
      <alignment horizontal="right" wrapText="1"/>
    </xf>
    <xf numFmtId="165" fontId="4" fillId="24" borderId="82" xfId="0" applyNumberFormat="1" applyFont="1" applyFill="1" applyBorder="1"/>
    <xf numFmtId="165" fontId="4" fillId="24" borderId="86" xfId="0" applyNumberFormat="1" applyFont="1" applyFill="1" applyBorder="1"/>
    <xf numFmtId="165" fontId="4" fillId="0" borderId="96" xfId="0" applyNumberFormat="1" applyFont="1" applyBorder="1"/>
    <xf numFmtId="4" fontId="4" fillId="24" borderId="84" xfId="0" applyNumberFormat="1" applyFont="1" applyFill="1" applyBorder="1"/>
    <xf numFmtId="165" fontId="4" fillId="0" borderId="18" xfId="0" applyNumberFormat="1" applyFont="1" applyBorder="1"/>
    <xf numFmtId="166" fontId="4" fillId="0" borderId="35" xfId="0" applyNumberFormat="1" applyFont="1" applyBorder="1"/>
    <xf numFmtId="165" fontId="4" fillId="0" borderId="96" xfId="0" quotePrefix="1" applyNumberFormat="1" applyFont="1" applyBorder="1"/>
    <xf numFmtId="165" fontId="4" fillId="0" borderId="31" xfId="0" applyNumberFormat="1" applyFont="1" applyBorder="1"/>
    <xf numFmtId="165" fontId="4" fillId="24" borderId="55" xfId="0" applyNumberFormat="1" applyFont="1" applyFill="1" applyBorder="1"/>
    <xf numFmtId="165" fontId="4" fillId="24" borderId="35" xfId="0" applyNumberFormat="1" applyFont="1" applyFill="1" applyBorder="1"/>
    <xf numFmtId="4" fontId="4" fillId="24" borderId="82" xfId="0" applyNumberFormat="1" applyFont="1" applyFill="1" applyBorder="1"/>
    <xf numFmtId="164" fontId="8" fillId="24" borderId="14" xfId="0" applyNumberFormat="1" applyFont="1" applyFill="1" applyBorder="1" applyAlignment="1">
      <alignment horizontal="right" wrapText="1"/>
    </xf>
    <xf numFmtId="164" fontId="8" fillId="0" borderId="80" xfId="0" applyNumberFormat="1" applyFont="1" applyFill="1" applyBorder="1" applyAlignment="1">
      <alignment horizontal="right" wrapText="1"/>
    </xf>
    <xf numFmtId="164" fontId="4" fillId="0" borderId="81" xfId="0" applyNumberFormat="1" applyFont="1" applyFill="1" applyBorder="1" applyAlignment="1">
      <alignment horizontal="right" wrapText="1"/>
    </xf>
    <xf numFmtId="164" fontId="8" fillId="24" borderId="81" xfId="0" applyNumberFormat="1" applyFont="1" applyFill="1" applyBorder="1" applyAlignment="1">
      <alignment horizontal="right" wrapText="1"/>
    </xf>
    <xf numFmtId="166" fontId="4" fillId="24" borderId="35" xfId="0" applyNumberFormat="1" applyFont="1" applyFill="1" applyBorder="1"/>
    <xf numFmtId="165" fontId="4" fillId="0" borderId="81" xfId="0" applyNumberFormat="1" applyFont="1" applyBorder="1"/>
    <xf numFmtId="165" fontId="4" fillId="0" borderId="84" xfId="0" applyNumberFormat="1" applyFont="1" applyBorder="1"/>
    <xf numFmtId="165" fontId="4" fillId="0" borderId="19" xfId="0" applyNumberFormat="1" applyFont="1" applyBorder="1"/>
    <xf numFmtId="165" fontId="4" fillId="24" borderId="83" xfId="0" applyNumberFormat="1" applyFont="1" applyFill="1" applyBorder="1"/>
    <xf numFmtId="164" fontId="8" fillId="0" borderId="12" xfId="0" applyNumberFormat="1" applyFont="1" applyFill="1" applyBorder="1" applyAlignment="1">
      <alignment horizontal="right" wrapText="1"/>
    </xf>
    <xf numFmtId="0" fontId="8" fillId="24" borderId="29" xfId="0" applyFont="1" applyFill="1" applyBorder="1" applyAlignment="1">
      <alignment horizontal="center" wrapText="1"/>
    </xf>
    <xf numFmtId="0" fontId="8" fillId="24" borderId="53" xfId="0" applyFont="1" applyFill="1" applyBorder="1" applyAlignment="1">
      <alignment horizontal="center" wrapText="1"/>
    </xf>
    <xf numFmtId="0" fontId="6" fillId="24" borderId="0" xfId="0" applyFont="1" applyFill="1" applyBorder="1" applyAlignment="1">
      <alignment horizontal="center"/>
    </xf>
    <xf numFmtId="0" fontId="35" fillId="24" borderId="0" xfId="0" applyFont="1" applyFill="1" applyBorder="1" applyAlignment="1">
      <alignment horizontal="left"/>
    </xf>
    <xf numFmtId="0" fontId="35" fillId="24" borderId="0" xfId="0" applyFont="1" applyFill="1" applyBorder="1" applyAlignment="1">
      <alignment horizontal="left" vertical="center" wrapText="1"/>
    </xf>
    <xf numFmtId="0" fontId="6" fillId="24" borderId="47" xfId="0" applyFont="1" applyFill="1" applyBorder="1" applyAlignment="1">
      <alignment horizontal="center" wrapText="1"/>
    </xf>
    <xf numFmtId="0" fontId="6" fillId="24" borderId="0" xfId="0" applyFont="1" applyFill="1" applyBorder="1" applyAlignment="1">
      <alignment horizontal="center" wrapText="1"/>
    </xf>
    <xf numFmtId="0" fontId="6" fillId="24" borderId="0" xfId="0" applyFont="1" applyFill="1" applyAlignment="1">
      <alignment horizontal="center" wrapText="1"/>
    </xf>
    <xf numFmtId="0" fontId="0" fillId="0" borderId="0" xfId="0" applyAlignment="1"/>
    <xf numFmtId="0" fontId="0" fillId="0" borderId="47" xfId="0" applyBorder="1" applyAlignment="1">
      <alignment horizontal="center" wrapText="1"/>
    </xf>
    <xf numFmtId="0" fontId="8" fillId="24" borderId="10" xfId="0" applyFont="1" applyFill="1" applyBorder="1" applyAlignment="1">
      <alignment wrapText="1"/>
    </xf>
    <xf numFmtId="0" fontId="8" fillId="24" borderId="11" xfId="0" applyFont="1" applyFill="1" applyBorder="1" applyAlignment="1">
      <alignment wrapText="1"/>
    </xf>
    <xf numFmtId="0" fontId="8" fillId="24" borderId="54" xfId="0" applyFont="1" applyFill="1" applyBorder="1" applyAlignment="1">
      <alignment wrapText="1"/>
    </xf>
    <xf numFmtId="0" fontId="8" fillId="24" borderId="56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47" xfId="0" applyBorder="1" applyAlignment="1">
      <alignment wrapText="1"/>
    </xf>
    <xf numFmtId="0" fontId="4" fillId="0" borderId="0" xfId="0" applyFont="1" applyAlignment="1"/>
    <xf numFmtId="0" fontId="4" fillId="0" borderId="47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47" xfId="0" applyFont="1" applyBorder="1" applyAlignment="1">
      <alignment wrapText="1"/>
    </xf>
    <xf numFmtId="0" fontId="8" fillId="24" borderId="10" xfId="0" applyFont="1" applyFill="1" applyBorder="1" applyAlignment="1">
      <alignment horizontal="center" wrapText="1"/>
    </xf>
    <xf numFmtId="0" fontId="8" fillId="24" borderId="13" xfId="0" applyFont="1" applyFill="1" applyBorder="1" applyAlignment="1">
      <alignment horizontal="center" wrapText="1"/>
    </xf>
    <xf numFmtId="0" fontId="8" fillId="24" borderId="13" xfId="0" applyFont="1" applyFill="1" applyBorder="1" applyAlignment="1">
      <alignment wrapText="1"/>
    </xf>
  </cellXfs>
  <cellStyles count="139">
    <cellStyle name="=D:\WINNT\SYSTEM32\COMMAND.COM" xfId="102"/>
    <cellStyle name="20% - Accent1" xfId="57"/>
    <cellStyle name="20% - Accent2" xfId="58"/>
    <cellStyle name="20% - Accent3" xfId="59"/>
    <cellStyle name="20% - Accent4" xfId="60"/>
    <cellStyle name="20% - Accent5" xfId="61"/>
    <cellStyle name="20% - Accent6" xfId="62"/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- Accent1" xfId="63"/>
    <cellStyle name="40% - Accent2" xfId="64"/>
    <cellStyle name="40% - Accent3" xfId="65"/>
    <cellStyle name="40% - Accent4" xfId="66"/>
    <cellStyle name="40% - Accent5" xfId="67"/>
    <cellStyle name="40% - Accent6" xfId="68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- Accent1" xfId="69"/>
    <cellStyle name="60% - Accent2" xfId="70"/>
    <cellStyle name="60% - Accent3" xfId="71"/>
    <cellStyle name="60% - Accent4" xfId="72"/>
    <cellStyle name="60% - Accent5" xfId="73"/>
    <cellStyle name="60% - Accent6" xfId="74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ccent1" xfId="75"/>
    <cellStyle name="Accent2" xfId="76"/>
    <cellStyle name="Accent3" xfId="77"/>
    <cellStyle name="Accent4" xfId="78"/>
    <cellStyle name="Accent5" xfId="79"/>
    <cellStyle name="Accent6" xfId="80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Bad" xfId="81"/>
    <cellStyle name="Calculation" xfId="82"/>
    <cellStyle name="Check Cell" xfId="83"/>
    <cellStyle name="Dane wejściowe" xfId="25" builtinId="20" customBuiltin="1"/>
    <cellStyle name="Dane wejściowe 2" xfId="49"/>
    <cellStyle name="Dane wejściowe 2 2" xfId="55"/>
    <cellStyle name="Dane wejściowe 2 2 2" xfId="103"/>
    <cellStyle name="Dane wejściowe 2 3" xfId="113"/>
    <cellStyle name="Dane wejściowe 3" xfId="118"/>
    <cellStyle name="Dane wyjściowe" xfId="26" builtinId="21" customBuiltin="1"/>
    <cellStyle name="Dane wyjściowe 2" xfId="48"/>
    <cellStyle name="Dane wyjściowe 2 2" xfId="54"/>
    <cellStyle name="Dane wyjściowe 2 2 2" xfId="104"/>
    <cellStyle name="Dane wyjściowe 2 3" xfId="114"/>
    <cellStyle name="Dane wyjściowe 3" xfId="109"/>
    <cellStyle name="Dobry" xfId="27" builtinId="26" customBuiltin="1"/>
    <cellStyle name="Dziesiętny 2" xfId="134"/>
    <cellStyle name="Explanatory Text" xfId="84"/>
    <cellStyle name="Good" xfId="85"/>
    <cellStyle name="Heading 1" xfId="86"/>
    <cellStyle name="Heading 2" xfId="87"/>
    <cellStyle name="Heading 3" xfId="88"/>
    <cellStyle name="Heading 4" xfId="89"/>
    <cellStyle name="Input" xfId="90"/>
    <cellStyle name="Komórka połączona" xfId="28" builtinId="24" customBuiltin="1"/>
    <cellStyle name="Komórka zaznaczona" xfId="29" builtinId="23" customBuiltin="1"/>
    <cellStyle name="Linked Cell" xfId="9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" xfId="92"/>
    <cellStyle name="Neutralny" xfId="34" builtinId="28" customBuiltin="1"/>
    <cellStyle name="Normal" xfId="136"/>
    <cellStyle name="Normalny" xfId="0" builtinId="0"/>
    <cellStyle name="Normalny 10" xfId="133"/>
    <cellStyle name="Normalny 2" xfId="44"/>
    <cellStyle name="Normalny 2 2" xfId="124"/>
    <cellStyle name="Normalny 2 2 2" xfId="131"/>
    <cellStyle name="Normalny 2 3" xfId="135"/>
    <cellStyle name="Normalny 2 4" xfId="129"/>
    <cellStyle name="Normalny 2_1.2" xfId="137"/>
    <cellStyle name="Normalny 3" xfId="50"/>
    <cellStyle name="Normalny 3 2" xfId="123"/>
    <cellStyle name="Normalny 3 3" xfId="132"/>
    <cellStyle name="Normalny 4" xfId="56"/>
    <cellStyle name="Normalny 4 2" xfId="112"/>
    <cellStyle name="Normalny 4 3" xfId="128"/>
    <cellStyle name="Normalny 5" xfId="98"/>
    <cellStyle name="Normalny 5 2" xfId="119"/>
    <cellStyle name="Normalny 50" xfId="130"/>
    <cellStyle name="Normalny 6" xfId="101"/>
    <cellStyle name="Normalny 7" xfId="121"/>
    <cellStyle name="Normalny 8" xfId="125"/>
    <cellStyle name="Normalny 9" xfId="127"/>
    <cellStyle name="Normalny_Arkusz1" xfId="35"/>
    <cellStyle name="Normalny_Arkusz1 2" xfId="122"/>
    <cellStyle name="Normalny_Arkusz1_1" xfId="138"/>
    <cellStyle name="Note" xfId="93"/>
    <cellStyle name="Note 2" xfId="99"/>
    <cellStyle name="Note 2 2" xfId="120"/>
    <cellStyle name="Note 3" xfId="100"/>
    <cellStyle name="Obliczenia" xfId="36" builtinId="22" customBuiltin="1"/>
    <cellStyle name="Obliczenia 2" xfId="47"/>
    <cellStyle name="Obliczenia 2 2" xfId="53"/>
    <cellStyle name="Obliczenia 2 2 2" xfId="105"/>
    <cellStyle name="Obliczenia 2 3" xfId="115"/>
    <cellStyle name="Obliczenia 3" xfId="117"/>
    <cellStyle name="Output" xfId="94"/>
    <cellStyle name="Procentowy" xfId="37" builtinId="5"/>
    <cellStyle name="Procentowy 2" xfId="126"/>
    <cellStyle name="Suma" xfId="38" builtinId="25" customBuiltin="1"/>
    <cellStyle name="Suma 2" xfId="46"/>
    <cellStyle name="Suma 2 2" xfId="52"/>
    <cellStyle name="Suma 2 2 2" xfId="106"/>
    <cellStyle name="Suma 2 3" xfId="108"/>
    <cellStyle name="Suma 3" xfId="116"/>
    <cellStyle name="Tekst objaśnienia" xfId="39" builtinId="53" customBuiltin="1"/>
    <cellStyle name="Tekst ostrzeżenia" xfId="40" builtinId="11" customBuiltin="1"/>
    <cellStyle name="Title" xfId="95"/>
    <cellStyle name="Total" xfId="96"/>
    <cellStyle name="Tytuł" xfId="41" builtinId="15" customBuiltin="1"/>
    <cellStyle name="Uwaga" xfId="42" builtinId="10" customBuiltin="1"/>
    <cellStyle name="Uwaga 2" xfId="45"/>
    <cellStyle name="Uwaga 2 2" xfId="51"/>
    <cellStyle name="Uwaga 2 2 2" xfId="107"/>
    <cellStyle name="Uwaga 2 3" xfId="111"/>
    <cellStyle name="Uwaga 3" xfId="110"/>
    <cellStyle name="Warning Text" xfId="97"/>
    <cellStyle name="Zły" xfId="43" builtinId="27" customBuiltin="1"/>
  </cellStyles>
  <dxfs count="0"/>
  <tableStyles count="0" defaultTableStyle="TableStyleMedium9" defaultPivotStyle="PivotStyleLight16"/>
  <colors>
    <mruColors>
      <color rgb="FF00FF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38" Type="http://schemas.openxmlformats.org/officeDocument/2006/relationships/worksheet" Target="worksheets/sheet138.xml"/><Relationship Id="rId154" Type="http://schemas.openxmlformats.org/officeDocument/2006/relationships/worksheet" Target="worksheets/sheet154.xml"/><Relationship Id="rId159" Type="http://schemas.openxmlformats.org/officeDocument/2006/relationships/worksheet" Target="worksheets/sheet159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144" Type="http://schemas.openxmlformats.org/officeDocument/2006/relationships/worksheet" Target="worksheets/sheet144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60" Type="http://schemas.openxmlformats.org/officeDocument/2006/relationships/theme" Target="theme/theme1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55" Type="http://schemas.openxmlformats.org/officeDocument/2006/relationships/worksheet" Target="worksheets/sheet15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6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calcChain" Target="calcChain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4.bin"/></Relationships>
</file>

<file path=xl/worksheets/_rels/sheet1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1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7.bin"/></Relationships>
</file>

<file path=xl/worksheets/_rels/sheet1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8.bin"/></Relationships>
</file>

<file path=xl/worksheets/_rels/sheet1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9.bin"/></Relationships>
</file>

<file path=xl/worksheets/_rels/sheet1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0.bin"/></Relationships>
</file>

<file path=xl/worksheets/_rels/sheet1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1.bin"/></Relationships>
</file>

<file path=xl/worksheets/_rels/sheet1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2.bin"/></Relationships>
</file>

<file path=xl/worksheets/_rels/sheet1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3.bin"/></Relationships>
</file>

<file path=xl/worksheets/_rels/sheet1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4.bin"/></Relationships>
</file>

<file path=xl/worksheets/_rels/sheet1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L81"/>
  <sheetViews>
    <sheetView zoomScale="80" zoomScaleNormal="80" workbookViewId="0">
      <selection activeCell="I19" sqref="I1:L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9" max="9" width="16" bestFit="1" customWidth="1"/>
    <col min="11" max="11" width="16.140625" bestFit="1" customWidth="1"/>
    <col min="12" max="12" width="14.42578125" bestFit="1" customWidth="1"/>
  </cols>
  <sheetData>
    <row r="1" spans="2:5">
      <c r="B1" s="1"/>
      <c r="C1" s="1"/>
      <c r="D1" s="2"/>
      <c r="E1" s="2"/>
    </row>
    <row r="2" spans="2:5" ht="15.75">
      <c r="B2" s="351" t="s">
        <v>0</v>
      </c>
      <c r="C2" s="351"/>
      <c r="D2" s="351"/>
      <c r="E2" s="351"/>
    </row>
    <row r="3" spans="2:5" ht="15.75">
      <c r="B3" s="351" t="s">
        <v>271</v>
      </c>
      <c r="C3" s="351"/>
      <c r="D3" s="351"/>
      <c r="E3" s="351"/>
    </row>
    <row r="4" spans="2:5" ht="15">
      <c r="B4" s="85"/>
      <c r="C4" s="85"/>
      <c r="D4" s="85"/>
      <c r="E4" s="85"/>
    </row>
    <row r="5" spans="2:5" ht="14.25">
      <c r="B5" s="352" t="s">
        <v>1</v>
      </c>
      <c r="C5" s="352"/>
      <c r="D5" s="352"/>
      <c r="E5" s="352"/>
    </row>
    <row r="6" spans="2:5" ht="14.25" customHeight="1">
      <c r="B6" s="353" t="s">
        <v>84</v>
      </c>
      <c r="C6" s="353"/>
      <c r="D6" s="353"/>
      <c r="E6" s="353"/>
    </row>
    <row r="7" spans="2:5" ht="14.25">
      <c r="B7" s="168"/>
      <c r="C7" s="168"/>
      <c r="D7" s="168"/>
      <c r="E7" s="168"/>
    </row>
    <row r="8" spans="2:5" ht="12.75" customHeight="1">
      <c r="B8" s="355" t="s">
        <v>18</v>
      </c>
      <c r="C8" s="355"/>
      <c r="D8" s="355"/>
      <c r="E8" s="355"/>
    </row>
    <row r="9" spans="2:5" ht="15.75" customHeight="1" thickBot="1">
      <c r="B9" s="354" t="s">
        <v>103</v>
      </c>
      <c r="C9" s="354"/>
      <c r="D9" s="354"/>
      <c r="E9" s="354"/>
    </row>
    <row r="10" spans="2:5" ht="13.5" thickBot="1">
      <c r="B10" s="169"/>
      <c r="C10" s="76" t="s">
        <v>2</v>
      </c>
      <c r="D10" s="263" t="s">
        <v>245</v>
      </c>
      <c r="E10" s="262" t="s">
        <v>265</v>
      </c>
    </row>
    <row r="11" spans="2:5">
      <c r="B11" s="90" t="s">
        <v>3</v>
      </c>
      <c r="C11" s="193" t="s">
        <v>109</v>
      </c>
      <c r="D11" s="227">
        <v>156907908.44</v>
      </c>
      <c r="E11" s="228">
        <f>SUM(E12:E14)</f>
        <v>141611549.37</v>
      </c>
    </row>
    <row r="12" spans="2:5">
      <c r="B12" s="106" t="s">
        <v>4</v>
      </c>
      <c r="C12" s="68" t="s">
        <v>5</v>
      </c>
      <c r="D12" s="241">
        <v>156907908.44</v>
      </c>
      <c r="E12" s="245">
        <f>146224580+2986736.46-7599767.09</f>
        <v>141611549.37</v>
      </c>
    </row>
    <row r="13" spans="2:5" ht="12.75" customHeight="1">
      <c r="B13" s="106" t="s">
        <v>6</v>
      </c>
      <c r="C13" s="68" t="s">
        <v>7</v>
      </c>
      <c r="D13" s="237"/>
      <c r="E13" s="246"/>
    </row>
    <row r="14" spans="2:5">
      <c r="B14" s="106" t="s">
        <v>8</v>
      </c>
      <c r="C14" s="68" t="s">
        <v>10</v>
      </c>
      <c r="D14" s="237"/>
      <c r="E14" s="246"/>
    </row>
    <row r="15" spans="2:5">
      <c r="B15" s="106" t="s">
        <v>106</v>
      </c>
      <c r="C15" s="68" t="s">
        <v>11</v>
      </c>
      <c r="D15" s="237"/>
      <c r="E15" s="246"/>
    </row>
    <row r="16" spans="2:5">
      <c r="B16" s="107" t="s">
        <v>107</v>
      </c>
      <c r="C16" s="91" t="s">
        <v>12</v>
      </c>
      <c r="D16" s="239"/>
      <c r="E16" s="247"/>
    </row>
    <row r="17" spans="2:6">
      <c r="B17" s="9" t="s">
        <v>13</v>
      </c>
      <c r="C17" s="209" t="s">
        <v>65</v>
      </c>
      <c r="D17" s="240">
        <v>538113.80000000005</v>
      </c>
      <c r="E17" s="248">
        <f>E18</f>
        <v>88639.72</v>
      </c>
    </row>
    <row r="18" spans="2:6">
      <c r="B18" s="106" t="s">
        <v>4</v>
      </c>
      <c r="C18" s="68" t="s">
        <v>11</v>
      </c>
      <c r="D18" s="239">
        <v>538113.80000000005</v>
      </c>
      <c r="E18" s="247">
        <v>88639.72</v>
      </c>
    </row>
    <row r="19" spans="2:6" ht="15" customHeight="1">
      <c r="B19" s="106" t="s">
        <v>6</v>
      </c>
      <c r="C19" s="68" t="s">
        <v>108</v>
      </c>
      <c r="D19" s="237"/>
      <c r="E19" s="246"/>
    </row>
    <row r="20" spans="2:6" ht="13.5" thickBot="1">
      <c r="B20" s="108" t="s">
        <v>8</v>
      </c>
      <c r="C20" s="69" t="s">
        <v>14</v>
      </c>
      <c r="D20" s="229"/>
      <c r="E20" s="230"/>
    </row>
    <row r="21" spans="2:6" ht="13.5" customHeight="1" thickBot="1">
      <c r="B21" s="359" t="s">
        <v>110</v>
      </c>
      <c r="C21" s="360"/>
      <c r="D21" s="231">
        <v>156369794.63999999</v>
      </c>
      <c r="E21" s="148">
        <f>E11-E17</f>
        <v>141522909.65000001</v>
      </c>
      <c r="F21" s="77"/>
    </row>
    <row r="22" spans="2:6">
      <c r="B22" s="3"/>
      <c r="C22" s="7"/>
      <c r="D22" s="8"/>
      <c r="E22" s="299"/>
    </row>
    <row r="23" spans="2:6" ht="14.25" customHeight="1">
      <c r="B23" s="355" t="s">
        <v>104</v>
      </c>
      <c r="C23" s="355"/>
      <c r="D23" s="355"/>
      <c r="E23" s="355"/>
    </row>
    <row r="24" spans="2:6" ht="16.5" customHeight="1" thickBot="1">
      <c r="B24" s="354" t="s">
        <v>105</v>
      </c>
      <c r="C24" s="354"/>
      <c r="D24" s="354"/>
      <c r="E24" s="354"/>
    </row>
    <row r="25" spans="2:6" ht="13.5" thickBot="1">
      <c r="B25" s="169"/>
      <c r="C25" s="5" t="s">
        <v>2</v>
      </c>
      <c r="D25" s="263" t="s">
        <v>245</v>
      </c>
      <c r="E25" s="262" t="s">
        <v>265</v>
      </c>
    </row>
    <row r="26" spans="2:6">
      <c r="B26" s="95" t="s">
        <v>15</v>
      </c>
      <c r="C26" s="96" t="s">
        <v>16</v>
      </c>
      <c r="D26" s="307">
        <v>194170617.97</v>
      </c>
      <c r="E26" s="232">
        <f>D21</f>
        <v>156369794.63999999</v>
      </c>
      <c r="F26" s="156"/>
    </row>
    <row r="27" spans="2:6">
      <c r="B27" s="266" t="s">
        <v>17</v>
      </c>
      <c r="C27" s="267" t="s">
        <v>111</v>
      </c>
      <c r="D27" s="308">
        <v>-38055607.910000041</v>
      </c>
      <c r="E27" s="274">
        <f>E28-E32</f>
        <v>-15185008.660000004</v>
      </c>
      <c r="F27" s="158"/>
    </row>
    <row r="28" spans="2:6">
      <c r="B28" s="266" t="s">
        <v>18</v>
      </c>
      <c r="C28" s="267" t="s">
        <v>19</v>
      </c>
      <c r="D28" s="308">
        <v>7431752.1400000006</v>
      </c>
      <c r="E28" s="275">
        <v>5750260.9100000001</v>
      </c>
      <c r="F28" s="158"/>
    </row>
    <row r="29" spans="2:6">
      <c r="B29" s="268" t="s">
        <v>4</v>
      </c>
      <c r="C29" s="269" t="s">
        <v>20</v>
      </c>
      <c r="D29" s="309">
        <v>5029197.8000000007</v>
      </c>
      <c r="E29" s="276">
        <v>2265669.23</v>
      </c>
      <c r="F29" s="158"/>
    </row>
    <row r="30" spans="2:6">
      <c r="B30" s="268" t="s">
        <v>6</v>
      </c>
      <c r="C30" s="269" t="s">
        <v>21</v>
      </c>
      <c r="D30" s="309"/>
      <c r="E30" s="276"/>
      <c r="F30" s="158"/>
    </row>
    <row r="31" spans="2:6">
      <c r="B31" s="268" t="s">
        <v>8</v>
      </c>
      <c r="C31" s="269" t="s">
        <v>22</v>
      </c>
      <c r="D31" s="309">
        <v>2402554.34</v>
      </c>
      <c r="E31" s="276">
        <v>3484591.68</v>
      </c>
      <c r="F31" s="158"/>
    </row>
    <row r="32" spans="2:6">
      <c r="B32" s="270" t="s">
        <v>23</v>
      </c>
      <c r="C32" s="271" t="s">
        <v>24</v>
      </c>
      <c r="D32" s="308">
        <v>45487360.050000042</v>
      </c>
      <c r="E32" s="275">
        <f>SUM(E33:E39)</f>
        <v>20935269.570000004</v>
      </c>
      <c r="F32" s="158"/>
    </row>
    <row r="33" spans="2:12">
      <c r="B33" s="268" t="s">
        <v>4</v>
      </c>
      <c r="C33" s="269" t="s">
        <v>25</v>
      </c>
      <c r="D33" s="309">
        <v>41776570.899999999</v>
      </c>
      <c r="E33" s="276">
        <f>18130922.05-522365.54</f>
        <v>17608556.510000002</v>
      </c>
      <c r="F33" s="158"/>
    </row>
    <row r="34" spans="2:12">
      <c r="B34" s="268" t="s">
        <v>6</v>
      </c>
      <c r="C34" s="269" t="s">
        <v>26</v>
      </c>
      <c r="D34" s="309"/>
      <c r="E34" s="276"/>
      <c r="F34" s="158"/>
    </row>
    <row r="35" spans="2:12">
      <c r="B35" s="268" t="s">
        <v>8</v>
      </c>
      <c r="C35" s="269" t="s">
        <v>27</v>
      </c>
      <c r="D35" s="309">
        <v>1498992.47</v>
      </c>
      <c r="E35" s="276">
        <v>1249315.6700000002</v>
      </c>
      <c r="F35" s="158"/>
    </row>
    <row r="36" spans="2:12">
      <c r="B36" s="268" t="s">
        <v>9</v>
      </c>
      <c r="C36" s="269" t="s">
        <v>28</v>
      </c>
      <c r="D36" s="309"/>
      <c r="E36" s="276"/>
      <c r="F36" s="158"/>
    </row>
    <row r="37" spans="2:12" ht="25.5">
      <c r="B37" s="268" t="s">
        <v>29</v>
      </c>
      <c r="C37" s="269" t="s">
        <v>30</v>
      </c>
      <c r="D37" s="309"/>
      <c r="E37" s="276"/>
      <c r="F37" s="158"/>
      <c r="I37" s="249"/>
    </row>
    <row r="38" spans="2:12">
      <c r="B38" s="268" t="s">
        <v>31</v>
      </c>
      <c r="C38" s="269" t="s">
        <v>32</v>
      </c>
      <c r="D38" s="309"/>
      <c r="E38" s="276"/>
      <c r="F38" s="158"/>
      <c r="I38" s="192"/>
    </row>
    <row r="39" spans="2:12">
      <c r="B39" s="272" t="s">
        <v>33</v>
      </c>
      <c r="C39" s="273" t="s">
        <v>34</v>
      </c>
      <c r="D39" s="310">
        <v>2211796.6800000416</v>
      </c>
      <c r="E39" s="277">
        <v>2077397.39</v>
      </c>
      <c r="F39" s="158"/>
      <c r="I39" s="71"/>
      <c r="K39" s="67"/>
      <c r="L39" s="67"/>
    </row>
    <row r="40" spans="2:12" ht="13.5" thickBot="1">
      <c r="B40" s="97" t="s">
        <v>35</v>
      </c>
      <c r="C40" s="98" t="s">
        <v>36</v>
      </c>
      <c r="D40" s="311">
        <v>254784.58</v>
      </c>
      <c r="E40" s="278">
        <v>338123.67</v>
      </c>
      <c r="F40" s="156"/>
    </row>
    <row r="41" spans="2:12" ht="13.5" thickBot="1">
      <c r="B41" s="99" t="s">
        <v>37</v>
      </c>
      <c r="C41" s="100" t="s">
        <v>38</v>
      </c>
      <c r="D41" s="312">
        <v>156369794.63999996</v>
      </c>
      <c r="E41" s="348">
        <f>E26+E27+E40</f>
        <v>141522909.64999998</v>
      </c>
      <c r="F41" s="160"/>
    </row>
    <row r="42" spans="2:12" ht="13.5" customHeight="1">
      <c r="B42" s="93"/>
      <c r="C42" s="93"/>
      <c r="D42" s="94"/>
      <c r="E42" s="94"/>
      <c r="F42" s="77"/>
    </row>
    <row r="43" spans="2:12" ht="13.5">
      <c r="B43" s="356" t="s">
        <v>60</v>
      </c>
      <c r="C43" s="357"/>
      <c r="D43" s="357"/>
      <c r="E43" s="357"/>
    </row>
    <row r="44" spans="2:12" ht="19.5" customHeight="1" thickBot="1">
      <c r="B44" s="354" t="s">
        <v>121</v>
      </c>
      <c r="C44" s="358"/>
      <c r="D44" s="358"/>
      <c r="E44" s="358"/>
    </row>
    <row r="45" spans="2:12" ht="13.5" thickBot="1">
      <c r="B45" s="4"/>
      <c r="C45" s="29" t="s">
        <v>39</v>
      </c>
      <c r="D45" s="263" t="s">
        <v>245</v>
      </c>
      <c r="E45" s="262" t="s">
        <v>265</v>
      </c>
    </row>
    <row r="46" spans="2:12">
      <c r="B46" s="13" t="s">
        <v>18</v>
      </c>
      <c r="C46" s="30" t="s">
        <v>112</v>
      </c>
      <c r="D46" s="161"/>
      <c r="E46" s="162"/>
    </row>
    <row r="47" spans="2:12">
      <c r="B47" s="102" t="s">
        <v>4</v>
      </c>
      <c r="C47" s="15" t="s">
        <v>40</v>
      </c>
      <c r="D47" s="313">
        <v>8601364.3599500004</v>
      </c>
      <c r="E47" s="314">
        <v>6977385.5436999993</v>
      </c>
    </row>
    <row r="48" spans="2:12">
      <c r="B48" s="123" t="s">
        <v>6</v>
      </c>
      <c r="C48" s="22" t="s">
        <v>41</v>
      </c>
      <c r="D48" s="313">
        <v>6977385.5436999993</v>
      </c>
      <c r="E48" s="315">
        <v>6301063.338800001</v>
      </c>
    </row>
    <row r="49" spans="2:5">
      <c r="B49" s="120" t="s">
        <v>23</v>
      </c>
      <c r="C49" s="124" t="s">
        <v>113</v>
      </c>
      <c r="D49" s="316"/>
      <c r="E49" s="317"/>
    </row>
    <row r="50" spans="2:5">
      <c r="B50" s="102" t="s">
        <v>4</v>
      </c>
      <c r="C50" s="15" t="s">
        <v>40</v>
      </c>
      <c r="D50" s="313">
        <v>22.574397484430001</v>
      </c>
      <c r="E50" s="318">
        <v>22.410900000000002</v>
      </c>
    </row>
    <row r="51" spans="2:5">
      <c r="B51" s="102" t="s">
        <v>6</v>
      </c>
      <c r="C51" s="15" t="s">
        <v>114</v>
      </c>
      <c r="D51" s="313">
        <v>22.301200000000001</v>
      </c>
      <c r="E51" s="319">
        <v>22.377099999999999</v>
      </c>
    </row>
    <row r="52" spans="2:5">
      <c r="B52" s="102" t="s">
        <v>8</v>
      </c>
      <c r="C52" s="15" t="s">
        <v>115</v>
      </c>
      <c r="D52" s="313">
        <v>22.574400000000001</v>
      </c>
      <c r="E52" s="319">
        <v>22.467199999999998</v>
      </c>
    </row>
    <row r="53" spans="2:5" ht="13.5" thickBot="1">
      <c r="B53" s="103" t="s">
        <v>9</v>
      </c>
      <c r="C53" s="17" t="s">
        <v>41</v>
      </c>
      <c r="D53" s="320">
        <v>22.410900000000002</v>
      </c>
      <c r="E53" s="321">
        <v>22.4602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5.7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D59+D61+D69</f>
        <v>141611549.37</v>
      </c>
      <c r="E58" s="31">
        <f>D58/E21</f>
        <v>1.0006263277106104</v>
      </c>
    </row>
    <row r="59" spans="2:5" ht="25.5">
      <c r="B59" s="123" t="s">
        <v>4</v>
      </c>
      <c r="C59" s="22" t="s">
        <v>44</v>
      </c>
      <c r="D59" s="80">
        <v>138624812.91</v>
      </c>
      <c r="E59" s="81">
        <f>D59/E21</f>
        <v>0.97952206644728201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8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v>0</v>
      </c>
      <c r="E64" s="81">
        <v>0</v>
      </c>
    </row>
    <row r="65" spans="2:5" ht="13.5" customHeight="1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304">
        <v>2986736.46</v>
      </c>
      <c r="E69" s="79">
        <f>D69/E21</f>
        <v>2.1104261263328258E-2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f>E13</f>
        <v>0</v>
      </c>
      <c r="E71" s="66">
        <f>D71/E21</f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f>D72/E21</f>
        <v>0</v>
      </c>
    </row>
    <row r="73" spans="2:5">
      <c r="B73" s="132" t="s">
        <v>62</v>
      </c>
      <c r="C73" s="24" t="s">
        <v>65</v>
      </c>
      <c r="D73" s="25">
        <f>E17</f>
        <v>88639.72</v>
      </c>
      <c r="E73" s="26">
        <f>D73/E21</f>
        <v>6.263277106103506E-4</v>
      </c>
    </row>
    <row r="74" spans="2:5">
      <c r="B74" s="130" t="s">
        <v>64</v>
      </c>
      <c r="C74" s="121" t="s">
        <v>66</v>
      </c>
      <c r="D74" s="122">
        <f>D58-D73+D72</f>
        <v>141522909.65000001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141522909.65000001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7:C57"/>
    <mergeCell ref="B2:E2"/>
    <mergeCell ref="B3:E3"/>
    <mergeCell ref="B5:E5"/>
    <mergeCell ref="B6:E6"/>
    <mergeCell ref="B9:E9"/>
    <mergeCell ref="B8:E8"/>
    <mergeCell ref="B23:E23"/>
    <mergeCell ref="B24:E24"/>
    <mergeCell ref="B43:E43"/>
    <mergeCell ref="B44:E44"/>
    <mergeCell ref="B55:E55"/>
    <mergeCell ref="B56:E56"/>
    <mergeCell ref="B21:C21"/>
  </mergeCells>
  <phoneticPr fontId="10" type="noConversion"/>
  <pageMargins left="0.47244094488188981" right="0.74803149606299213" top="0.47244094488188981" bottom="0.47244094488188981" header="0.51181102362204722" footer="0.51181102362204722"/>
  <pageSetup paperSize="9" scale="7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81"/>
  <sheetViews>
    <sheetView zoomScale="80" zoomScaleNormal="80" workbookViewId="0">
      <selection activeCell="G16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85"/>
      <c r="C4" s="85"/>
      <c r="D4" s="85"/>
      <c r="E4" s="85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90</v>
      </c>
      <c r="C6" s="353"/>
      <c r="D6" s="353"/>
      <c r="E6" s="353"/>
    </row>
    <row r="7" spans="2:7" ht="14.25">
      <c r="B7" s="89"/>
      <c r="C7" s="89"/>
      <c r="D7" s="89"/>
      <c r="E7" s="8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86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16982951.720000003</v>
      </c>
      <c r="E11" s="228">
        <f>SUM(E12:E14)</f>
        <v>20257323.629999999</v>
      </c>
    </row>
    <row r="12" spans="2:7">
      <c r="B12" s="106" t="s">
        <v>4</v>
      </c>
      <c r="C12" s="6" t="s">
        <v>5</v>
      </c>
      <c r="D12" s="241">
        <v>16914860.510000002</v>
      </c>
      <c r="E12" s="245">
        <f>20185942.56+308131.32-251044.29</f>
        <v>20243029.59</v>
      </c>
    </row>
    <row r="13" spans="2:7">
      <c r="B13" s="106" t="s">
        <v>6</v>
      </c>
      <c r="C13" s="68" t="s">
        <v>7</v>
      </c>
      <c r="D13" s="237"/>
      <c r="E13" s="246"/>
    </row>
    <row r="14" spans="2:7">
      <c r="B14" s="106" t="s">
        <v>8</v>
      </c>
      <c r="C14" s="68" t="s">
        <v>10</v>
      </c>
      <c r="D14" s="237">
        <v>68091.210000000006</v>
      </c>
      <c r="E14" s="246">
        <f>E15</f>
        <v>14294.04</v>
      </c>
    </row>
    <row r="15" spans="2:7">
      <c r="B15" s="106" t="s">
        <v>106</v>
      </c>
      <c r="C15" s="68" t="s">
        <v>11</v>
      </c>
      <c r="D15" s="237">
        <v>68091.210000000006</v>
      </c>
      <c r="E15" s="246">
        <v>14294.04</v>
      </c>
    </row>
    <row r="16" spans="2:7">
      <c r="B16" s="107" t="s">
        <v>107</v>
      </c>
      <c r="C16" s="91" t="s">
        <v>12</v>
      </c>
      <c r="D16" s="239"/>
      <c r="E16" s="247"/>
    </row>
    <row r="17" spans="2:6">
      <c r="B17" s="9" t="s">
        <v>13</v>
      </c>
      <c r="C17" s="11" t="s">
        <v>65</v>
      </c>
      <c r="D17" s="240">
        <v>32269.11</v>
      </c>
      <c r="E17" s="248">
        <f>E18</f>
        <v>37857.94</v>
      </c>
    </row>
    <row r="18" spans="2:6">
      <c r="B18" s="106" t="s">
        <v>4</v>
      </c>
      <c r="C18" s="6" t="s">
        <v>11</v>
      </c>
      <c r="D18" s="239">
        <v>32269.11</v>
      </c>
      <c r="E18" s="247">
        <v>37857.94</v>
      </c>
    </row>
    <row r="19" spans="2:6" ht="15" customHeight="1">
      <c r="B19" s="106" t="s">
        <v>6</v>
      </c>
      <c r="C19" s="68" t="s">
        <v>108</v>
      </c>
      <c r="D19" s="237"/>
      <c r="E19" s="246"/>
    </row>
    <row r="20" spans="2:6" ht="13.5" thickBot="1">
      <c r="B20" s="108" t="s">
        <v>8</v>
      </c>
      <c r="C20" s="6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16950682.610000003</v>
      </c>
      <c r="E21" s="148">
        <f>E11-E17</f>
        <v>20219465.689999998</v>
      </c>
      <c r="F21" s="77"/>
    </row>
    <row r="22" spans="2:6">
      <c r="B22" s="3"/>
      <c r="C22" s="7"/>
      <c r="D22" s="8"/>
      <c r="E22" s="300"/>
    </row>
    <row r="23" spans="2:6" ht="15.75">
      <c r="B23" s="355"/>
      <c r="C23" s="363"/>
      <c r="D23" s="363"/>
      <c r="E23" s="363"/>
    </row>
    <row r="24" spans="2:6" ht="18" customHeight="1" thickBot="1">
      <c r="B24" s="354" t="s">
        <v>105</v>
      </c>
      <c r="C24" s="364"/>
      <c r="D24" s="364"/>
      <c r="E24" s="364"/>
    </row>
    <row r="25" spans="2:6" ht="13.5" thickBot="1">
      <c r="B25" s="86"/>
      <c r="C25" s="5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16831070.630000003</v>
      </c>
      <c r="E26" s="217">
        <f>D21</f>
        <v>16950682.610000003</v>
      </c>
    </row>
    <row r="27" spans="2:6">
      <c r="B27" s="9" t="s">
        <v>17</v>
      </c>
      <c r="C27" s="10" t="s">
        <v>111</v>
      </c>
      <c r="D27" s="323">
        <v>190846.29999999935</v>
      </c>
      <c r="E27" s="274">
        <f>E28-E32</f>
        <v>-303807.81000000006</v>
      </c>
      <c r="F27" s="71"/>
    </row>
    <row r="28" spans="2:6">
      <c r="B28" s="9" t="s">
        <v>18</v>
      </c>
      <c r="C28" s="10" t="s">
        <v>19</v>
      </c>
      <c r="D28" s="323">
        <v>3093400.06</v>
      </c>
      <c r="E28" s="275">
        <v>2850067.13</v>
      </c>
      <c r="F28" s="71"/>
    </row>
    <row r="29" spans="2:6">
      <c r="B29" s="104" t="s">
        <v>4</v>
      </c>
      <c r="C29" s="6" t="s">
        <v>20</v>
      </c>
      <c r="D29" s="324">
        <v>2886844.3899999997</v>
      </c>
      <c r="E29" s="276">
        <v>2502790.46</v>
      </c>
      <c r="F29" s="71"/>
    </row>
    <row r="30" spans="2:6">
      <c r="B30" s="104" t="s">
        <v>6</v>
      </c>
      <c r="C30" s="6" t="s">
        <v>21</v>
      </c>
      <c r="D30" s="324"/>
      <c r="E30" s="276"/>
      <c r="F30" s="71"/>
    </row>
    <row r="31" spans="2:6">
      <c r="B31" s="104" t="s">
        <v>8</v>
      </c>
      <c r="C31" s="6" t="s">
        <v>22</v>
      </c>
      <c r="D31" s="324">
        <v>206555.67</v>
      </c>
      <c r="E31" s="276">
        <v>347276.67</v>
      </c>
      <c r="F31" s="71"/>
    </row>
    <row r="32" spans="2:6">
      <c r="B32" s="92" t="s">
        <v>23</v>
      </c>
      <c r="C32" s="11" t="s">
        <v>24</v>
      </c>
      <c r="D32" s="323">
        <v>2902553.7600000007</v>
      </c>
      <c r="E32" s="275">
        <f>SUM(E33:E39)</f>
        <v>3153874.94</v>
      </c>
      <c r="F32" s="71"/>
    </row>
    <row r="33" spans="2:6">
      <c r="B33" s="104" t="s">
        <v>4</v>
      </c>
      <c r="C33" s="6" t="s">
        <v>25</v>
      </c>
      <c r="D33" s="324">
        <v>2002784.6099999999</v>
      </c>
      <c r="E33" s="276">
        <f>1732157.29+123323.59</f>
        <v>1855480.8800000001</v>
      </c>
      <c r="F33" s="71"/>
    </row>
    <row r="34" spans="2:6">
      <c r="B34" s="104" t="s">
        <v>6</v>
      </c>
      <c r="C34" s="6" t="s">
        <v>26</v>
      </c>
      <c r="D34" s="324"/>
      <c r="E34" s="276"/>
      <c r="F34" s="71"/>
    </row>
    <row r="35" spans="2:6">
      <c r="B35" s="104" t="s">
        <v>8</v>
      </c>
      <c r="C35" s="6" t="s">
        <v>27</v>
      </c>
      <c r="D35" s="324">
        <v>478207.34</v>
      </c>
      <c r="E35" s="276">
        <v>453692.62</v>
      </c>
      <c r="F35" s="71"/>
    </row>
    <row r="36" spans="2:6">
      <c r="B36" s="104" t="s">
        <v>9</v>
      </c>
      <c r="C36" s="6" t="s">
        <v>28</v>
      </c>
      <c r="D36" s="324"/>
      <c r="E36" s="276"/>
      <c r="F36" s="71"/>
    </row>
    <row r="37" spans="2:6" ht="25.5">
      <c r="B37" s="104" t="s">
        <v>29</v>
      </c>
      <c r="C37" s="6" t="s">
        <v>30</v>
      </c>
      <c r="D37" s="324"/>
      <c r="E37" s="276"/>
      <c r="F37" s="71"/>
    </row>
    <row r="38" spans="2:6">
      <c r="B38" s="104" t="s">
        <v>31</v>
      </c>
      <c r="C38" s="6" t="s">
        <v>32</v>
      </c>
      <c r="D38" s="324"/>
      <c r="E38" s="276"/>
      <c r="F38" s="71"/>
    </row>
    <row r="39" spans="2:6">
      <c r="B39" s="105" t="s">
        <v>33</v>
      </c>
      <c r="C39" s="12" t="s">
        <v>34</v>
      </c>
      <c r="D39" s="325">
        <v>421561.81000000087</v>
      </c>
      <c r="E39" s="277">
        <v>844701.44</v>
      </c>
      <c r="F39" s="71"/>
    </row>
    <row r="40" spans="2:6" ht="13.5" thickBot="1">
      <c r="B40" s="97" t="s">
        <v>35</v>
      </c>
      <c r="C40" s="98" t="s">
        <v>36</v>
      </c>
      <c r="D40" s="326">
        <v>-71234.320000000007</v>
      </c>
      <c r="E40" s="279">
        <v>3572590.89</v>
      </c>
    </row>
    <row r="41" spans="2:6" ht="13.5" thickBot="1">
      <c r="B41" s="99" t="s">
        <v>37</v>
      </c>
      <c r="C41" s="100" t="s">
        <v>38</v>
      </c>
      <c r="D41" s="327">
        <v>16950682.610000003</v>
      </c>
      <c r="E41" s="148">
        <f>E26+E27+E40</f>
        <v>20219465.690000001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7.25" customHeight="1" thickBot="1">
      <c r="B44" s="354" t="s">
        <v>121</v>
      </c>
      <c r="C44" s="358"/>
      <c r="D44" s="358"/>
      <c r="E44" s="358"/>
    </row>
    <row r="45" spans="2:6" ht="13.5" thickBot="1">
      <c r="B45" s="86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1617609.36784</v>
      </c>
      <c r="E47" s="73">
        <v>1635876.2345</v>
      </c>
    </row>
    <row r="48" spans="2:6">
      <c r="B48" s="123" t="s">
        <v>6</v>
      </c>
      <c r="C48" s="22" t="s">
        <v>41</v>
      </c>
      <c r="D48" s="200">
        <v>1635876.2345</v>
      </c>
      <c r="E48" s="335">
        <v>1603556.5158000002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02" t="s">
        <v>4</v>
      </c>
      <c r="C50" s="15" t="s">
        <v>40</v>
      </c>
      <c r="D50" s="200">
        <v>10.4049042770367</v>
      </c>
      <c r="E50" s="73">
        <v>10.361800000000001</v>
      </c>
    </row>
    <row r="51" spans="2:5">
      <c r="B51" s="102" t="s">
        <v>6</v>
      </c>
      <c r="C51" s="15" t="s">
        <v>114</v>
      </c>
      <c r="D51" s="200">
        <v>9.9032999999999998</v>
      </c>
      <c r="E51" s="75">
        <v>7.0829000000000004</v>
      </c>
    </row>
    <row r="52" spans="2:5" ht="12.75" customHeight="1">
      <c r="B52" s="102" t="s">
        <v>8</v>
      </c>
      <c r="C52" s="15" t="s">
        <v>115</v>
      </c>
      <c r="D52" s="200">
        <v>11.3018</v>
      </c>
      <c r="E52" s="75">
        <v>12.686999999999999</v>
      </c>
    </row>
    <row r="53" spans="2:5" ht="13.5" thickBot="1">
      <c r="B53" s="103" t="s">
        <v>9</v>
      </c>
      <c r="C53" s="17" t="s">
        <v>41</v>
      </c>
      <c r="D53" s="202">
        <v>10.361800000000001</v>
      </c>
      <c r="E53" s="280">
        <v>12.6091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5.7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SUM(D59:D70)</f>
        <v>20243029.59</v>
      </c>
      <c r="E58" s="31">
        <f>D58/E21</f>
        <v>1.0011654066611491</v>
      </c>
    </row>
    <row r="59" spans="2:5" ht="25.5">
      <c r="B59" s="21" t="s">
        <v>4</v>
      </c>
      <c r="C59" s="22" t="s">
        <v>44</v>
      </c>
      <c r="D59" s="80">
        <v>0</v>
      </c>
      <c r="E59" s="81">
        <v>0</v>
      </c>
    </row>
    <row r="60" spans="2:5" ht="24" customHeight="1">
      <c r="B60" s="14" t="s">
        <v>6</v>
      </c>
      <c r="C60" s="15" t="s">
        <v>45</v>
      </c>
      <c r="D60" s="78">
        <v>0</v>
      </c>
      <c r="E60" s="79">
        <v>0</v>
      </c>
    </row>
    <row r="61" spans="2:5">
      <c r="B61" s="14" t="s">
        <v>8</v>
      </c>
      <c r="C61" s="15" t="s">
        <v>46</v>
      </c>
      <c r="D61" s="78">
        <v>0</v>
      </c>
      <c r="E61" s="79">
        <v>0</v>
      </c>
    </row>
    <row r="62" spans="2:5">
      <c r="B62" s="14" t="s">
        <v>9</v>
      </c>
      <c r="C62" s="15" t="s">
        <v>47</v>
      </c>
      <c r="D62" s="78">
        <v>0</v>
      </c>
      <c r="E62" s="79">
        <v>0</v>
      </c>
    </row>
    <row r="63" spans="2:5">
      <c r="B63" s="14" t="s">
        <v>29</v>
      </c>
      <c r="C63" s="15" t="s">
        <v>48</v>
      </c>
      <c r="D63" s="78">
        <v>0</v>
      </c>
      <c r="E63" s="79">
        <v>0</v>
      </c>
    </row>
    <row r="64" spans="2:5">
      <c r="B64" s="21" t="s">
        <v>31</v>
      </c>
      <c r="C64" s="22" t="s">
        <v>49</v>
      </c>
      <c r="D64" s="234">
        <v>19934898.27</v>
      </c>
      <c r="E64" s="81">
        <f>D64/E21</f>
        <v>0.98592606627875745</v>
      </c>
    </row>
    <row r="65" spans="2:5">
      <c r="B65" s="21" t="s">
        <v>33</v>
      </c>
      <c r="C65" s="22" t="s">
        <v>118</v>
      </c>
      <c r="D65" s="80">
        <v>0</v>
      </c>
      <c r="E65" s="81">
        <v>0</v>
      </c>
    </row>
    <row r="66" spans="2:5">
      <c r="B66" s="21" t="s">
        <v>50</v>
      </c>
      <c r="C66" s="22" t="s">
        <v>51</v>
      </c>
      <c r="D66" s="80">
        <v>0</v>
      </c>
      <c r="E66" s="81">
        <v>0</v>
      </c>
    </row>
    <row r="67" spans="2:5">
      <c r="B67" s="14" t="s">
        <v>52</v>
      </c>
      <c r="C67" s="15" t="s">
        <v>53</v>
      </c>
      <c r="D67" s="78">
        <v>0</v>
      </c>
      <c r="E67" s="79">
        <v>0</v>
      </c>
    </row>
    <row r="68" spans="2:5">
      <c r="B68" s="14" t="s">
        <v>54</v>
      </c>
      <c r="C68" s="15" t="s">
        <v>55</v>
      </c>
      <c r="D68" s="78">
        <v>0</v>
      </c>
      <c r="E68" s="79">
        <v>0</v>
      </c>
    </row>
    <row r="69" spans="2:5">
      <c r="B69" s="14" t="s">
        <v>56</v>
      </c>
      <c r="C69" s="15" t="s">
        <v>57</v>
      </c>
      <c r="D69" s="302">
        <v>308131.32</v>
      </c>
      <c r="E69" s="79">
        <f>D69/E21</f>
        <v>1.523934038239168E-2</v>
      </c>
    </row>
    <row r="70" spans="2:5">
      <c r="B70" s="112" t="s">
        <v>58</v>
      </c>
      <c r="C70" s="113" t="s">
        <v>59</v>
      </c>
      <c r="D70" s="114">
        <v>0</v>
      </c>
      <c r="E70" s="115">
        <v>0</v>
      </c>
    </row>
    <row r="71" spans="2:5">
      <c r="B71" s="120" t="s">
        <v>23</v>
      </c>
      <c r="C71" s="121" t="s">
        <v>61</v>
      </c>
      <c r="D71" s="122">
        <f>E13</f>
        <v>0</v>
      </c>
      <c r="E71" s="66">
        <v>0</v>
      </c>
    </row>
    <row r="72" spans="2:5">
      <c r="B72" s="116" t="s">
        <v>60</v>
      </c>
      <c r="C72" s="117" t="s">
        <v>63</v>
      </c>
      <c r="D72" s="118">
        <f>E14</f>
        <v>14294.04</v>
      </c>
      <c r="E72" s="119">
        <f>D72/E21</f>
        <v>7.069444969097006E-4</v>
      </c>
    </row>
    <row r="73" spans="2:5">
      <c r="B73" s="23" t="s">
        <v>62</v>
      </c>
      <c r="C73" s="24" t="s">
        <v>65</v>
      </c>
      <c r="D73" s="25">
        <f>E17</f>
        <v>37857.94</v>
      </c>
      <c r="E73" s="26">
        <f>D73/E21</f>
        <v>1.8723511580587176E-3</v>
      </c>
    </row>
    <row r="74" spans="2:5">
      <c r="B74" s="120" t="s">
        <v>64</v>
      </c>
      <c r="C74" s="121" t="s">
        <v>66</v>
      </c>
      <c r="D74" s="122">
        <f>D58+D71+D72-D73</f>
        <v>20219465.689999998</v>
      </c>
      <c r="E74" s="66">
        <f>E58+E72-E73</f>
        <v>1</v>
      </c>
    </row>
    <row r="75" spans="2:5">
      <c r="B75" s="14" t="s">
        <v>4</v>
      </c>
      <c r="C75" s="15" t="s">
        <v>67</v>
      </c>
      <c r="D75" s="78">
        <f>D74</f>
        <v>20219465.689999998</v>
      </c>
      <c r="E75" s="79">
        <f>E74</f>
        <v>1</v>
      </c>
    </row>
    <row r="76" spans="2:5">
      <c r="B76" s="14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6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118110236220474" right="0.74803149606299213" top="0.51181102362204722" bottom="0.47244094488188981" header="0.51181102362204722" footer="0.51181102362204722"/>
  <pageSetup paperSize="9" scale="70" orientation="portrait" r:id="rId1"/>
  <headerFooter alignWithMargins="0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6">
    <pageSetUpPr fitToPage="1"/>
  </sheetPr>
  <dimension ref="A1:G81"/>
  <sheetViews>
    <sheetView topLeftCell="A13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1"/>
      <c r="C4" s="141"/>
      <c r="D4" s="141"/>
      <c r="E4" s="141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241</v>
      </c>
      <c r="C6" s="353"/>
      <c r="D6" s="353"/>
      <c r="E6" s="353"/>
    </row>
    <row r="7" spans="2:7" ht="14.25">
      <c r="B7" s="139"/>
      <c r="C7" s="139"/>
      <c r="D7" s="139"/>
      <c r="E7" s="13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40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173324.38</v>
      </c>
      <c r="E11" s="228">
        <f>SUM(E12:E14)</f>
        <v>130712.71</v>
      </c>
    </row>
    <row r="12" spans="2:7">
      <c r="B12" s="173" t="s">
        <v>4</v>
      </c>
      <c r="C12" s="174" t="s">
        <v>5</v>
      </c>
      <c r="D12" s="241">
        <v>173324.38</v>
      </c>
      <c r="E12" s="245">
        <v>130712.71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173324.38</v>
      </c>
      <c r="E21" s="148">
        <f>E11-E17</f>
        <v>130712.71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390879.69</v>
      </c>
      <c r="E26" s="217">
        <f>D21</f>
        <v>173324.38</v>
      </c>
    </row>
    <row r="27" spans="2:6">
      <c r="B27" s="9" t="s">
        <v>17</v>
      </c>
      <c r="C27" s="10" t="s">
        <v>111</v>
      </c>
      <c r="D27" s="323">
        <v>-223160.73</v>
      </c>
      <c r="E27" s="274">
        <v>-45281.36</v>
      </c>
      <c r="F27" s="71"/>
    </row>
    <row r="28" spans="2:6">
      <c r="B28" s="9" t="s">
        <v>18</v>
      </c>
      <c r="C28" s="10" t="s">
        <v>19</v>
      </c>
      <c r="D28" s="323"/>
      <c r="E28" s="275"/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223160.73</v>
      </c>
      <c r="E32" s="275">
        <v>45281.36</v>
      </c>
      <c r="F32" s="71"/>
    </row>
    <row r="33" spans="2:6">
      <c r="B33" s="181" t="s">
        <v>4</v>
      </c>
      <c r="C33" s="174" t="s">
        <v>25</v>
      </c>
      <c r="D33" s="324">
        <v>42466.17</v>
      </c>
      <c r="E33" s="276">
        <v>41290.42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1786.23</v>
      </c>
      <c r="E35" s="276">
        <v>1635.62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5086.82</v>
      </c>
      <c r="E37" s="276">
        <v>2355.3200000000002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>
        <v>173821.51</v>
      </c>
      <c r="E39" s="277"/>
      <c r="F39" s="71"/>
    </row>
    <row r="40" spans="2:6" ht="13.5" thickBot="1">
      <c r="B40" s="97" t="s">
        <v>35</v>
      </c>
      <c r="C40" s="98" t="s">
        <v>36</v>
      </c>
      <c r="D40" s="326">
        <v>5605.42</v>
      </c>
      <c r="E40" s="279">
        <v>2669.69</v>
      </c>
    </row>
    <row r="41" spans="2:6" ht="13.5" thickBot="1">
      <c r="B41" s="99" t="s">
        <v>37</v>
      </c>
      <c r="C41" s="100" t="s">
        <v>38</v>
      </c>
      <c r="D41" s="327">
        <v>173324.38</v>
      </c>
      <c r="E41" s="148">
        <f>E26+E27+E40</f>
        <v>130712.71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31096.236000000001</v>
      </c>
      <c r="E47" s="149">
        <v>13572.778</v>
      </c>
    </row>
    <row r="48" spans="2:6">
      <c r="B48" s="186" t="s">
        <v>6</v>
      </c>
      <c r="C48" s="187" t="s">
        <v>41</v>
      </c>
      <c r="D48" s="200">
        <v>13572.778</v>
      </c>
      <c r="E48" s="149">
        <v>10070.316999999999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84" t="s">
        <v>4</v>
      </c>
      <c r="C50" s="185" t="s">
        <v>40</v>
      </c>
      <c r="D50" s="200">
        <v>12.57</v>
      </c>
      <c r="E50" s="149">
        <v>12.77</v>
      </c>
    </row>
    <row r="51" spans="2:5">
      <c r="B51" s="184" t="s">
        <v>6</v>
      </c>
      <c r="C51" s="185" t="s">
        <v>114</v>
      </c>
      <c r="D51" s="200">
        <v>12.56</v>
      </c>
      <c r="E51" s="149">
        <v>12.64</v>
      </c>
    </row>
    <row r="52" spans="2:5">
      <c r="B52" s="184" t="s">
        <v>8</v>
      </c>
      <c r="C52" s="185" t="s">
        <v>115</v>
      </c>
      <c r="D52" s="200">
        <v>12.77</v>
      </c>
      <c r="E52" s="75">
        <v>12.99</v>
      </c>
    </row>
    <row r="53" spans="2:5" ht="13.5" customHeight="1" thickBot="1">
      <c r="B53" s="188" t="s">
        <v>9</v>
      </c>
      <c r="C53" s="189" t="s">
        <v>41</v>
      </c>
      <c r="D53" s="202">
        <v>12.77</v>
      </c>
      <c r="E53" s="280">
        <v>12.98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7.2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130712.71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2.7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130712.71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130712.71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130712.71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7"/>
  <dimension ref="A1:G81"/>
  <sheetViews>
    <sheetView topLeftCell="A13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1"/>
      <c r="C4" s="141"/>
      <c r="D4" s="141"/>
      <c r="E4" s="141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199</v>
      </c>
      <c r="C6" s="353"/>
      <c r="D6" s="353"/>
      <c r="E6" s="353"/>
    </row>
    <row r="7" spans="2:7" ht="14.25">
      <c r="B7" s="139"/>
      <c r="C7" s="139"/>
      <c r="D7" s="139"/>
      <c r="E7" s="13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40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871158.36</v>
      </c>
      <c r="E11" s="228">
        <f>SUM(E12:E14)</f>
        <v>844250.4</v>
      </c>
    </row>
    <row r="12" spans="2:7">
      <c r="B12" s="173" t="s">
        <v>4</v>
      </c>
      <c r="C12" s="174" t="s">
        <v>5</v>
      </c>
      <c r="D12" s="241">
        <v>871158.36</v>
      </c>
      <c r="E12" s="245">
        <v>844250.4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871158.36</v>
      </c>
      <c r="E21" s="148">
        <f>E11-E17</f>
        <v>844250.4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772365.77</v>
      </c>
      <c r="E26" s="217">
        <f>D21</f>
        <v>871158.36</v>
      </c>
    </row>
    <row r="27" spans="2:6">
      <c r="B27" s="9" t="s">
        <v>17</v>
      </c>
      <c r="C27" s="10" t="s">
        <v>111</v>
      </c>
      <c r="D27" s="323">
        <v>-13943.2</v>
      </c>
      <c r="E27" s="274">
        <v>-13276.720000000001</v>
      </c>
      <c r="F27" s="71"/>
    </row>
    <row r="28" spans="2:6">
      <c r="B28" s="9" t="s">
        <v>18</v>
      </c>
      <c r="C28" s="10" t="s">
        <v>19</v>
      </c>
      <c r="D28" s="323"/>
      <c r="E28" s="275"/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13943.2</v>
      </c>
      <c r="E32" s="275">
        <v>13276.720000000001</v>
      </c>
      <c r="F32" s="71"/>
    </row>
    <row r="33" spans="2:6">
      <c r="B33" s="181" t="s">
        <v>4</v>
      </c>
      <c r="C33" s="174" t="s">
        <v>25</v>
      </c>
      <c r="D33" s="324">
        <v>374.8</v>
      </c>
      <c r="E33" s="276"/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140.06</v>
      </c>
      <c r="E35" s="276">
        <v>552.17999999999995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13428.34</v>
      </c>
      <c r="E37" s="276">
        <v>12724.54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/>
      <c r="F39" s="71"/>
    </row>
    <row r="40" spans="2:6" ht="13.5" thickBot="1">
      <c r="B40" s="97" t="s">
        <v>35</v>
      </c>
      <c r="C40" s="98" t="s">
        <v>36</v>
      </c>
      <c r="D40" s="326">
        <v>112735.79</v>
      </c>
      <c r="E40" s="279">
        <v>-13631.24</v>
      </c>
    </row>
    <row r="41" spans="2:6" ht="13.5" thickBot="1">
      <c r="B41" s="99" t="s">
        <v>37</v>
      </c>
      <c r="C41" s="100" t="s">
        <v>38</v>
      </c>
      <c r="D41" s="327">
        <v>871158.3600000001</v>
      </c>
      <c r="E41" s="148">
        <f>E26+E27+E40</f>
        <v>844250.4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71317.245999999999</v>
      </c>
      <c r="E47" s="149">
        <v>70141.574999999997</v>
      </c>
    </row>
    <row r="48" spans="2:6">
      <c r="B48" s="186" t="s">
        <v>6</v>
      </c>
      <c r="C48" s="187" t="s">
        <v>41</v>
      </c>
      <c r="D48" s="200">
        <v>70141.574999999997</v>
      </c>
      <c r="E48" s="149">
        <v>68974.706000000006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84" t="s">
        <v>4</v>
      </c>
      <c r="C50" s="185" t="s">
        <v>40</v>
      </c>
      <c r="D50" s="200">
        <v>10.83</v>
      </c>
      <c r="E50" s="149">
        <v>12.42</v>
      </c>
    </row>
    <row r="51" spans="2:5">
      <c r="B51" s="184" t="s">
        <v>6</v>
      </c>
      <c r="C51" s="185" t="s">
        <v>114</v>
      </c>
      <c r="D51" s="200">
        <v>10.83</v>
      </c>
      <c r="E51" s="149">
        <v>9.82</v>
      </c>
    </row>
    <row r="52" spans="2:5">
      <c r="B52" s="184" t="s">
        <v>8</v>
      </c>
      <c r="C52" s="185" t="s">
        <v>115</v>
      </c>
      <c r="D52" s="200">
        <v>12.46</v>
      </c>
      <c r="E52" s="75">
        <v>12.71</v>
      </c>
    </row>
    <row r="53" spans="2:5" ht="13.5" customHeight="1" thickBot="1">
      <c r="B53" s="188" t="s">
        <v>9</v>
      </c>
      <c r="C53" s="189" t="s">
        <v>41</v>
      </c>
      <c r="D53" s="202">
        <v>12.42</v>
      </c>
      <c r="E53" s="280">
        <v>12.24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6.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844250.4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844250.4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844250.4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844250.4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8"/>
  <dimension ref="A1:G81"/>
  <sheetViews>
    <sheetView topLeftCell="A13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1"/>
      <c r="C4" s="141"/>
      <c r="D4" s="141"/>
      <c r="E4" s="141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200</v>
      </c>
      <c r="C6" s="353"/>
      <c r="D6" s="353"/>
      <c r="E6" s="353"/>
    </row>
    <row r="7" spans="2:7" ht="14.25">
      <c r="B7" s="139"/>
      <c r="C7" s="139"/>
      <c r="D7" s="139"/>
      <c r="E7" s="13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40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42568.53</v>
      </c>
      <c r="E11" s="228">
        <f>SUM(E12:E14)</f>
        <v>29139.59</v>
      </c>
    </row>
    <row r="12" spans="2:7">
      <c r="B12" s="173" t="s">
        <v>4</v>
      </c>
      <c r="C12" s="174" t="s">
        <v>5</v>
      </c>
      <c r="D12" s="241">
        <v>42568.53</v>
      </c>
      <c r="E12" s="245">
        <v>29139.59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42568.53</v>
      </c>
      <c r="E21" s="148">
        <f>E11-E17</f>
        <v>29139.59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44887.59</v>
      </c>
      <c r="E26" s="217">
        <f>D21</f>
        <v>42568.53</v>
      </c>
    </row>
    <row r="27" spans="2:6">
      <c r="B27" s="9" t="s">
        <v>17</v>
      </c>
      <c r="C27" s="10" t="s">
        <v>111</v>
      </c>
      <c r="D27" s="323">
        <v>-5636.22</v>
      </c>
      <c r="E27" s="274">
        <f>E28-E32</f>
        <v>-713.08000000000175</v>
      </c>
      <c r="F27" s="71"/>
    </row>
    <row r="28" spans="2:6">
      <c r="B28" s="9" t="s">
        <v>18</v>
      </c>
      <c r="C28" s="10" t="s">
        <v>19</v>
      </c>
      <c r="D28" s="323">
        <v>3218.47</v>
      </c>
      <c r="E28" s="275">
        <v>111631.18</v>
      </c>
      <c r="F28" s="71"/>
    </row>
    <row r="29" spans="2:6">
      <c r="B29" s="181" t="s">
        <v>4</v>
      </c>
      <c r="C29" s="174" t="s">
        <v>20</v>
      </c>
      <c r="D29" s="324">
        <v>3218.47</v>
      </c>
      <c r="E29" s="276">
        <v>3687.03</v>
      </c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>
        <v>107944.15</v>
      </c>
      <c r="F31" s="71"/>
    </row>
    <row r="32" spans="2:6">
      <c r="B32" s="92" t="s">
        <v>23</v>
      </c>
      <c r="C32" s="11" t="s">
        <v>24</v>
      </c>
      <c r="D32" s="323">
        <v>8854.69</v>
      </c>
      <c r="E32" s="275">
        <f>SUM(E33:E39)</f>
        <v>112344.26</v>
      </c>
      <c r="F32" s="71"/>
    </row>
    <row r="33" spans="2:6">
      <c r="B33" s="181" t="s">
        <v>4</v>
      </c>
      <c r="C33" s="174" t="s">
        <v>25</v>
      </c>
      <c r="D33" s="324">
        <v>4585.74</v>
      </c>
      <c r="E33" s="276">
        <f>12536.74+1738.14</f>
        <v>14274.88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594.07000000000005</v>
      </c>
      <c r="E35" s="276">
        <v>561.29999999999995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533.32000000000005</v>
      </c>
      <c r="E37" s="276">
        <v>726.55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>
        <v>3141.56</v>
      </c>
      <c r="E39" s="277">
        <v>96781.53</v>
      </c>
      <c r="F39" s="71"/>
    </row>
    <row r="40" spans="2:6" ht="13.5" thickBot="1">
      <c r="B40" s="97" t="s">
        <v>35</v>
      </c>
      <c r="C40" s="98" t="s">
        <v>36</v>
      </c>
      <c r="D40" s="326">
        <v>3317.16</v>
      </c>
      <c r="E40" s="279">
        <v>-12715.86</v>
      </c>
    </row>
    <row r="41" spans="2:6" ht="13.5" thickBot="1">
      <c r="B41" s="99" t="s">
        <v>37</v>
      </c>
      <c r="C41" s="100" t="s">
        <v>38</v>
      </c>
      <c r="D41" s="327">
        <v>42568.53</v>
      </c>
      <c r="E41" s="148">
        <f>E26+E27+E40</f>
        <v>29139.589999999997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8599.1550000000007</v>
      </c>
      <c r="E47" s="149">
        <v>7561.0169999999998</v>
      </c>
    </row>
    <row r="48" spans="2:6">
      <c r="B48" s="186" t="s">
        <v>6</v>
      </c>
      <c r="C48" s="187" t="s">
        <v>41</v>
      </c>
      <c r="D48" s="200">
        <v>7561.0169999999998</v>
      </c>
      <c r="E48" s="149">
        <v>5386.2460000000001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84" t="s">
        <v>4</v>
      </c>
      <c r="C50" s="185" t="s">
        <v>40</v>
      </c>
      <c r="D50" s="200">
        <v>5.22</v>
      </c>
      <c r="E50" s="149">
        <v>5.63</v>
      </c>
    </row>
    <row r="51" spans="2:5">
      <c r="B51" s="184" t="s">
        <v>6</v>
      </c>
      <c r="C51" s="185" t="s">
        <v>114</v>
      </c>
      <c r="D51" s="200">
        <v>5.2</v>
      </c>
      <c r="E51" s="149">
        <v>4.3</v>
      </c>
    </row>
    <row r="52" spans="2:5">
      <c r="B52" s="184" t="s">
        <v>8</v>
      </c>
      <c r="C52" s="185" t="s">
        <v>115</v>
      </c>
      <c r="D52" s="200">
        <v>5.67</v>
      </c>
      <c r="E52" s="149">
        <v>5.65</v>
      </c>
    </row>
    <row r="53" spans="2:5" ht="13.5" customHeight="1" thickBot="1">
      <c r="B53" s="188" t="s">
        <v>9</v>
      </c>
      <c r="C53" s="189" t="s">
        <v>41</v>
      </c>
      <c r="D53" s="202">
        <v>5.63</v>
      </c>
      <c r="E53" s="280">
        <v>5.41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6.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29139.59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29139.59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29139.59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29139.59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9"/>
  <dimension ref="A1:G81"/>
  <sheetViews>
    <sheetView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1"/>
      <c r="C4" s="141"/>
      <c r="D4" s="141"/>
      <c r="E4" s="141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201</v>
      </c>
      <c r="C6" s="353"/>
      <c r="D6" s="353"/>
      <c r="E6" s="353"/>
    </row>
    <row r="7" spans="2:7" ht="14.25">
      <c r="B7" s="139"/>
      <c r="C7" s="139"/>
      <c r="D7" s="139"/>
      <c r="E7" s="13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40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86.29</v>
      </c>
      <c r="E11" s="228">
        <f>SUM(E12:E14)</f>
        <v>63.05</v>
      </c>
    </row>
    <row r="12" spans="2:7">
      <c r="B12" s="173" t="s">
        <v>4</v>
      </c>
      <c r="C12" s="174" t="s">
        <v>5</v>
      </c>
      <c r="D12" s="241">
        <v>86.29</v>
      </c>
      <c r="E12" s="245">
        <v>63.05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86.29</v>
      </c>
      <c r="E21" s="148">
        <f>E11-E17</f>
        <v>63.05</v>
      </c>
      <c r="F21" s="77"/>
    </row>
    <row r="22" spans="2:6">
      <c r="B22" s="3"/>
      <c r="C22" s="7"/>
      <c r="D22" s="8"/>
      <c r="E22" s="215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79.06</v>
      </c>
      <c r="E26" s="217">
        <f>D21</f>
        <v>86.29</v>
      </c>
    </row>
    <row r="27" spans="2:6">
      <c r="B27" s="9" t="s">
        <v>17</v>
      </c>
      <c r="C27" s="10" t="s">
        <v>111</v>
      </c>
      <c r="D27" s="323">
        <v>5.3599999999999994</v>
      </c>
      <c r="E27" s="274">
        <v>-35.28</v>
      </c>
      <c r="F27" s="71"/>
    </row>
    <row r="28" spans="2:6">
      <c r="B28" s="9" t="s">
        <v>18</v>
      </c>
      <c r="C28" s="10" t="s">
        <v>19</v>
      </c>
      <c r="D28" s="323">
        <v>79.64</v>
      </c>
      <c r="E28" s="275">
        <v>14989.78</v>
      </c>
      <c r="F28" s="71"/>
    </row>
    <row r="29" spans="2:6">
      <c r="B29" s="181" t="s">
        <v>4</v>
      </c>
      <c r="C29" s="174" t="s">
        <v>20</v>
      </c>
      <c r="D29" s="324">
        <v>79.64</v>
      </c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>
        <v>14989.78</v>
      </c>
      <c r="F31" s="71"/>
    </row>
    <row r="32" spans="2:6">
      <c r="B32" s="92" t="s">
        <v>23</v>
      </c>
      <c r="C32" s="11" t="s">
        <v>24</v>
      </c>
      <c r="D32" s="323">
        <v>74.28</v>
      </c>
      <c r="E32" s="275">
        <v>15025.06</v>
      </c>
      <c r="F32" s="71"/>
    </row>
    <row r="33" spans="2:6">
      <c r="B33" s="181" t="s">
        <v>4</v>
      </c>
      <c r="C33" s="174" t="s">
        <v>25</v>
      </c>
      <c r="D33" s="324">
        <v>72.52</v>
      </c>
      <c r="E33" s="276">
        <v>15019.62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1.36</v>
      </c>
      <c r="E35" s="276">
        <v>2.1800000000000002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0.4</v>
      </c>
      <c r="E37" s="276">
        <v>3.26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/>
      <c r="F39" s="71"/>
    </row>
    <row r="40" spans="2:6" ht="13.5" thickBot="1">
      <c r="B40" s="97" t="s">
        <v>35</v>
      </c>
      <c r="C40" s="98" t="s">
        <v>36</v>
      </c>
      <c r="D40" s="326">
        <v>1.87</v>
      </c>
      <c r="E40" s="279">
        <v>12.04</v>
      </c>
    </row>
    <row r="41" spans="2:6" ht="13.5" thickBot="1">
      <c r="B41" s="99" t="s">
        <v>37</v>
      </c>
      <c r="C41" s="100" t="s">
        <v>38</v>
      </c>
      <c r="D41" s="327">
        <v>86.29</v>
      </c>
      <c r="E41" s="148">
        <f>E26+E27+E40</f>
        <v>63.050000000000004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3.8530000000000002</v>
      </c>
      <c r="E47" s="149">
        <v>4.0759999999999996</v>
      </c>
    </row>
    <row r="48" spans="2:6">
      <c r="B48" s="186" t="s">
        <v>6</v>
      </c>
      <c r="C48" s="187" t="s">
        <v>41</v>
      </c>
      <c r="D48" s="200">
        <v>4.0759999999999996</v>
      </c>
      <c r="E48" s="149">
        <v>3.0789999999999997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84" t="s">
        <v>4</v>
      </c>
      <c r="C50" s="185" t="s">
        <v>40</v>
      </c>
      <c r="D50" s="200">
        <v>20.52</v>
      </c>
      <c r="E50" s="149">
        <v>21.17</v>
      </c>
    </row>
    <row r="51" spans="2:5">
      <c r="B51" s="184" t="s">
        <v>6</v>
      </c>
      <c r="C51" s="185" t="s">
        <v>114</v>
      </c>
      <c r="D51" s="200">
        <v>20.100000000000001</v>
      </c>
      <c r="E51" s="149">
        <v>13.9</v>
      </c>
    </row>
    <row r="52" spans="2:5">
      <c r="B52" s="184" t="s">
        <v>8</v>
      </c>
      <c r="C52" s="185" t="s">
        <v>115</v>
      </c>
      <c r="D52" s="200">
        <v>22.22</v>
      </c>
      <c r="E52" s="75">
        <v>21.56</v>
      </c>
    </row>
    <row r="53" spans="2:5" ht="14.25" customHeight="1" thickBot="1">
      <c r="B53" s="188" t="s">
        <v>9</v>
      </c>
      <c r="C53" s="189" t="s">
        <v>41</v>
      </c>
      <c r="D53" s="202">
        <v>21.17</v>
      </c>
      <c r="E53" s="280">
        <v>20.48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7.2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63.05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3.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63.05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63.05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63.05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" right="0.75" top="0.62" bottom="0.52" header="0.5" footer="0.5"/>
  <pageSetup paperSize="9" scale="70" orientation="portrait" r:id="rId1"/>
  <headerFooter alignWithMargins="0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0"/>
  <dimension ref="A1:G81"/>
  <sheetViews>
    <sheetView topLeftCell="A13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1"/>
      <c r="C4" s="141"/>
      <c r="D4" s="141"/>
      <c r="E4" s="141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202</v>
      </c>
      <c r="C6" s="353"/>
      <c r="D6" s="353"/>
      <c r="E6" s="353"/>
    </row>
    <row r="7" spans="2:7" ht="14.25">
      <c r="B7" s="139"/>
      <c r="C7" s="139"/>
      <c r="D7" s="139"/>
      <c r="E7" s="13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40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1445908.38</v>
      </c>
      <c r="E11" s="228">
        <f>SUM(E12:E14)</f>
        <v>1071430.03</v>
      </c>
    </row>
    <row r="12" spans="2:7">
      <c r="B12" s="173" t="s">
        <v>4</v>
      </c>
      <c r="C12" s="174" t="s">
        <v>5</v>
      </c>
      <c r="D12" s="241">
        <v>1445908.38</v>
      </c>
      <c r="E12" s="245">
        <v>1071430.03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1445908.38</v>
      </c>
      <c r="E21" s="148">
        <f>E11-E17</f>
        <v>1071430.03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1288997.19</v>
      </c>
      <c r="E26" s="217">
        <f>D21</f>
        <v>1445908.38</v>
      </c>
    </row>
    <row r="27" spans="2:6">
      <c r="B27" s="9" t="s">
        <v>17</v>
      </c>
      <c r="C27" s="10" t="s">
        <v>111</v>
      </c>
      <c r="D27" s="323">
        <v>-22512.19</v>
      </c>
      <c r="E27" s="274">
        <v>-540457.39</v>
      </c>
      <c r="F27" s="71"/>
    </row>
    <row r="28" spans="2:6">
      <c r="B28" s="9" t="s">
        <v>18</v>
      </c>
      <c r="C28" s="10" t="s">
        <v>19</v>
      </c>
      <c r="D28" s="323">
        <v>0</v>
      </c>
      <c r="E28" s="275">
        <v>0</v>
      </c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22512.19</v>
      </c>
      <c r="E32" s="275">
        <v>540457.39</v>
      </c>
      <c r="F32" s="71"/>
    </row>
    <row r="33" spans="2:6">
      <c r="B33" s="181" t="s">
        <v>4</v>
      </c>
      <c r="C33" s="174" t="s">
        <v>25</v>
      </c>
      <c r="D33" s="324"/>
      <c r="E33" s="276"/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365.78</v>
      </c>
      <c r="E35" s="276">
        <v>1310.97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22146.41</v>
      </c>
      <c r="E37" s="276">
        <v>14929.69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>
        <v>524216.73</v>
      </c>
      <c r="F39" s="71"/>
    </row>
    <row r="40" spans="2:6" ht="13.5" thickBot="1">
      <c r="B40" s="97" t="s">
        <v>35</v>
      </c>
      <c r="C40" s="98" t="s">
        <v>36</v>
      </c>
      <c r="D40" s="326">
        <v>179423.38</v>
      </c>
      <c r="E40" s="279">
        <v>165979.04</v>
      </c>
    </row>
    <row r="41" spans="2:6" ht="13.5" thickBot="1">
      <c r="B41" s="99" t="s">
        <v>37</v>
      </c>
      <c r="C41" s="100" t="s">
        <v>38</v>
      </c>
      <c r="D41" s="327">
        <v>1445908.38</v>
      </c>
      <c r="E41" s="148">
        <f>E26+E27+E40</f>
        <v>1071430.0299999998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81737.297999999995</v>
      </c>
      <c r="E47" s="149">
        <v>80417.596000000005</v>
      </c>
    </row>
    <row r="48" spans="2:6">
      <c r="B48" s="186" t="s">
        <v>6</v>
      </c>
      <c r="C48" s="187" t="s">
        <v>41</v>
      </c>
      <c r="D48" s="200">
        <v>80417.596000000005</v>
      </c>
      <c r="E48" s="149">
        <v>49283.81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84" t="s">
        <v>4</v>
      </c>
      <c r="C50" s="185" t="s">
        <v>40</v>
      </c>
      <c r="D50" s="200">
        <v>15.77</v>
      </c>
      <c r="E50" s="149">
        <v>17.98</v>
      </c>
    </row>
    <row r="51" spans="2:5">
      <c r="B51" s="184" t="s">
        <v>6</v>
      </c>
      <c r="C51" s="185" t="s">
        <v>114</v>
      </c>
      <c r="D51" s="200">
        <v>15.68</v>
      </c>
      <c r="E51" s="149">
        <v>13.02</v>
      </c>
    </row>
    <row r="52" spans="2:5">
      <c r="B52" s="184" t="s">
        <v>8</v>
      </c>
      <c r="C52" s="185" t="s">
        <v>115</v>
      </c>
      <c r="D52" s="200">
        <v>17.98</v>
      </c>
      <c r="E52" s="75">
        <v>21.76</v>
      </c>
    </row>
    <row r="53" spans="2:5" ht="13.5" customHeight="1" thickBot="1">
      <c r="B53" s="188" t="s">
        <v>9</v>
      </c>
      <c r="C53" s="189" t="s">
        <v>41</v>
      </c>
      <c r="D53" s="202">
        <v>17.98</v>
      </c>
      <c r="E53" s="280">
        <v>21.74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6.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1071430.03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2.7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1071430.03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1071430.03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1071430.03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1">
    <pageSetUpPr fitToPage="1"/>
  </sheetPr>
  <dimension ref="A1:G81"/>
  <sheetViews>
    <sheetView topLeftCell="A13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1"/>
      <c r="C4" s="141"/>
      <c r="D4" s="141"/>
      <c r="E4" s="141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203</v>
      </c>
      <c r="C6" s="353"/>
      <c r="D6" s="353"/>
      <c r="E6" s="353"/>
    </row>
    <row r="7" spans="2:7" ht="14.25">
      <c r="B7" s="139"/>
      <c r="C7" s="139"/>
      <c r="D7" s="139"/>
      <c r="E7" s="13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40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16873.509999999998</v>
      </c>
      <c r="E11" s="228">
        <f>SUM(E12:E14)</f>
        <v>23185.539999999997</v>
      </c>
    </row>
    <row r="12" spans="2:7">
      <c r="B12" s="173" t="s">
        <v>4</v>
      </c>
      <c r="C12" s="174" t="s">
        <v>5</v>
      </c>
      <c r="D12" s="241">
        <v>16873.509999999998</v>
      </c>
      <c r="E12" s="245">
        <v>23185.539999999997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16873.509999999998</v>
      </c>
      <c r="E21" s="148">
        <f>E11-E17</f>
        <v>23185.539999999997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34626.68</v>
      </c>
      <c r="E26" s="217">
        <f>D21</f>
        <v>16873.509999999998</v>
      </c>
    </row>
    <row r="27" spans="2:6">
      <c r="B27" s="9" t="s">
        <v>17</v>
      </c>
      <c r="C27" s="10" t="s">
        <v>111</v>
      </c>
      <c r="D27" s="323">
        <v>-18774.13</v>
      </c>
      <c r="E27" s="274">
        <f>E28-E32</f>
        <v>5320.49</v>
      </c>
      <c r="F27" s="71"/>
    </row>
    <row r="28" spans="2:6">
      <c r="B28" s="9" t="s">
        <v>18</v>
      </c>
      <c r="C28" s="10" t="s">
        <v>19</v>
      </c>
      <c r="D28" s="323">
        <v>8182.03</v>
      </c>
      <c r="E28" s="275">
        <v>11545.64</v>
      </c>
      <c r="F28" s="71"/>
    </row>
    <row r="29" spans="2:6">
      <c r="B29" s="181" t="s">
        <v>4</v>
      </c>
      <c r="C29" s="174" t="s">
        <v>20</v>
      </c>
      <c r="D29" s="324">
        <v>7838.5</v>
      </c>
      <c r="E29" s="276">
        <v>6795.05</v>
      </c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>
        <v>343.53</v>
      </c>
      <c r="E31" s="276">
        <v>4750.59</v>
      </c>
      <c r="F31" s="71"/>
    </row>
    <row r="32" spans="2:6">
      <c r="B32" s="92" t="s">
        <v>23</v>
      </c>
      <c r="C32" s="11" t="s">
        <v>24</v>
      </c>
      <c r="D32" s="323">
        <v>26956.16</v>
      </c>
      <c r="E32" s="275">
        <f>SUM(E33:E39)</f>
        <v>6225.15</v>
      </c>
      <c r="F32" s="71"/>
    </row>
    <row r="33" spans="2:6">
      <c r="B33" s="181" t="s">
        <v>4</v>
      </c>
      <c r="C33" s="174" t="s">
        <v>25</v>
      </c>
      <c r="D33" s="324">
        <v>25988.12</v>
      </c>
      <c r="E33" s="276">
        <f>2041.93+4.27</f>
        <v>2046.2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441.56</v>
      </c>
      <c r="E35" s="276">
        <v>549.57000000000005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462.05</v>
      </c>
      <c r="E37" s="276">
        <v>182.47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>
        <v>64.430000000000291</v>
      </c>
      <c r="E39" s="277">
        <v>3446.91</v>
      </c>
      <c r="F39" s="71"/>
    </row>
    <row r="40" spans="2:6" ht="13.5" thickBot="1">
      <c r="B40" s="97" t="s">
        <v>35</v>
      </c>
      <c r="C40" s="98" t="s">
        <v>36</v>
      </c>
      <c r="D40" s="326">
        <v>1020.96</v>
      </c>
      <c r="E40" s="279">
        <v>991.54</v>
      </c>
    </row>
    <row r="41" spans="2:6" ht="13.5" thickBot="1">
      <c r="B41" s="99" t="s">
        <v>37</v>
      </c>
      <c r="C41" s="100" t="s">
        <v>38</v>
      </c>
      <c r="D41" s="327">
        <v>16873.509999999998</v>
      </c>
      <c r="E41" s="148">
        <f>E26+E27+E40</f>
        <v>23185.54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579.62302999999997</v>
      </c>
      <c r="E47" s="149">
        <v>275.666</v>
      </c>
    </row>
    <row r="48" spans="2:6">
      <c r="B48" s="186" t="s">
        <v>6</v>
      </c>
      <c r="C48" s="187" t="s">
        <v>41</v>
      </c>
      <c r="D48" s="200">
        <v>275.666</v>
      </c>
      <c r="E48" s="149">
        <v>361.42700000000002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84" t="s">
        <v>4</v>
      </c>
      <c r="C50" s="185" t="s">
        <v>40</v>
      </c>
      <c r="D50" s="200">
        <v>59.74</v>
      </c>
      <c r="E50" s="149">
        <v>61.21</v>
      </c>
    </row>
    <row r="51" spans="2:5">
      <c r="B51" s="184" t="s">
        <v>6</v>
      </c>
      <c r="C51" s="185" t="s">
        <v>114</v>
      </c>
      <c r="D51" s="200">
        <v>59.68</v>
      </c>
      <c r="E51" s="149">
        <v>60.85</v>
      </c>
    </row>
    <row r="52" spans="2:5">
      <c r="B52" s="184" t="s">
        <v>8</v>
      </c>
      <c r="C52" s="185" t="s">
        <v>115</v>
      </c>
      <c r="D52" s="200">
        <v>61.56</v>
      </c>
      <c r="E52" s="75">
        <v>64.22</v>
      </c>
    </row>
    <row r="53" spans="2:5" ht="12.75" customHeight="1" thickBot="1">
      <c r="B53" s="188" t="s">
        <v>9</v>
      </c>
      <c r="C53" s="189" t="s">
        <v>41</v>
      </c>
      <c r="D53" s="202">
        <v>61.21</v>
      </c>
      <c r="E53" s="280">
        <v>64.150000000000006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7.2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23185.539999999997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2.7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23185.539999999997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23185.539999999997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23185.539999999997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2"/>
  <dimension ref="A1:F81"/>
  <sheetViews>
    <sheetView topLeftCell="A16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1" t="s">
        <v>0</v>
      </c>
      <c r="C2" s="351"/>
      <c r="D2" s="351"/>
      <c r="E2" s="351"/>
    </row>
    <row r="3" spans="2:5" ht="15.75">
      <c r="B3" s="351" t="s">
        <v>271</v>
      </c>
      <c r="C3" s="351"/>
      <c r="D3" s="351"/>
      <c r="E3" s="351"/>
    </row>
    <row r="4" spans="2:5" ht="15">
      <c r="B4" s="141"/>
      <c r="C4" s="141"/>
      <c r="D4" s="141"/>
      <c r="E4" s="141"/>
    </row>
    <row r="5" spans="2:5" ht="21" customHeight="1">
      <c r="B5" s="352" t="s">
        <v>1</v>
      </c>
      <c r="C5" s="352"/>
      <c r="D5" s="352"/>
      <c r="E5" s="352"/>
    </row>
    <row r="6" spans="2:5" ht="14.25">
      <c r="B6" s="353" t="s">
        <v>242</v>
      </c>
      <c r="C6" s="353"/>
      <c r="D6" s="353"/>
      <c r="E6" s="353"/>
    </row>
    <row r="7" spans="2:5" ht="14.25">
      <c r="B7" s="139"/>
      <c r="C7" s="139"/>
      <c r="D7" s="139"/>
      <c r="E7" s="139"/>
    </row>
    <row r="8" spans="2:5" ht="13.5">
      <c r="B8" s="355" t="s">
        <v>18</v>
      </c>
      <c r="C8" s="357"/>
      <c r="D8" s="357"/>
      <c r="E8" s="357"/>
    </row>
    <row r="9" spans="2:5" ht="16.5" thickBot="1">
      <c r="B9" s="354" t="s">
        <v>103</v>
      </c>
      <c r="C9" s="354"/>
      <c r="D9" s="354"/>
      <c r="E9" s="354"/>
    </row>
    <row r="10" spans="2:5" ht="13.5" thickBot="1">
      <c r="B10" s="140"/>
      <c r="C10" s="76" t="s">
        <v>2</v>
      </c>
      <c r="D10" s="70" t="s">
        <v>245</v>
      </c>
      <c r="E10" s="255" t="s">
        <v>265</v>
      </c>
    </row>
    <row r="11" spans="2:5">
      <c r="B11" s="90" t="s">
        <v>3</v>
      </c>
      <c r="C11" s="128" t="s">
        <v>109</v>
      </c>
      <c r="D11" s="227">
        <v>4476349.07</v>
      </c>
      <c r="E11" s="228">
        <f>SUM(E12:E14)</f>
        <v>5389760.7599999998</v>
      </c>
    </row>
    <row r="12" spans="2:5">
      <c r="B12" s="173" t="s">
        <v>4</v>
      </c>
      <c r="C12" s="174" t="s">
        <v>5</v>
      </c>
      <c r="D12" s="241">
        <v>4476349.07</v>
      </c>
      <c r="E12" s="245">
        <v>5389760.7599999998</v>
      </c>
    </row>
    <row r="13" spans="2:5">
      <c r="B13" s="173" t="s">
        <v>6</v>
      </c>
      <c r="C13" s="175" t="s">
        <v>7</v>
      </c>
      <c r="D13" s="237"/>
      <c r="E13" s="246"/>
    </row>
    <row r="14" spans="2:5">
      <c r="B14" s="173" t="s">
        <v>8</v>
      </c>
      <c r="C14" s="175" t="s">
        <v>10</v>
      </c>
      <c r="D14" s="237"/>
      <c r="E14" s="246"/>
    </row>
    <row r="15" spans="2:5">
      <c r="B15" s="173" t="s">
        <v>106</v>
      </c>
      <c r="C15" s="175" t="s">
        <v>11</v>
      </c>
      <c r="D15" s="237"/>
      <c r="E15" s="246"/>
    </row>
    <row r="16" spans="2:5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4476349.07</v>
      </c>
      <c r="E21" s="148">
        <f>E11-E17</f>
        <v>5389760.7599999998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5017536.5999999996</v>
      </c>
      <c r="E26" s="217">
        <f>D21</f>
        <v>4476349.07</v>
      </c>
    </row>
    <row r="27" spans="2:6">
      <c r="B27" s="9" t="s">
        <v>17</v>
      </c>
      <c r="C27" s="10" t="s">
        <v>111</v>
      </c>
      <c r="D27" s="323">
        <v>-631778.48</v>
      </c>
      <c r="E27" s="274">
        <v>813817.41</v>
      </c>
      <c r="F27" s="71"/>
    </row>
    <row r="28" spans="2:6">
      <c r="B28" s="9" t="s">
        <v>18</v>
      </c>
      <c r="C28" s="10" t="s">
        <v>19</v>
      </c>
      <c r="D28" s="323">
        <v>141390.82999999999</v>
      </c>
      <c r="E28" s="275">
        <v>1963048.14</v>
      </c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>
        <v>141390.82999999999</v>
      </c>
      <c r="E31" s="276">
        <v>1963048.14</v>
      </c>
      <c r="F31" s="71"/>
    </row>
    <row r="32" spans="2:6">
      <c r="B32" s="92" t="s">
        <v>23</v>
      </c>
      <c r="C32" s="11" t="s">
        <v>24</v>
      </c>
      <c r="D32" s="323">
        <v>773169.31</v>
      </c>
      <c r="E32" s="275">
        <v>1149230.73</v>
      </c>
      <c r="F32" s="71"/>
    </row>
    <row r="33" spans="2:6">
      <c r="B33" s="181" t="s">
        <v>4</v>
      </c>
      <c r="C33" s="174" t="s">
        <v>25</v>
      </c>
      <c r="D33" s="324">
        <v>465630.33</v>
      </c>
      <c r="E33" s="276">
        <v>443250.69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12810.51</v>
      </c>
      <c r="E35" s="276">
        <v>15961.13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76707.289999999994</v>
      </c>
      <c r="E37" s="276">
        <v>89072.65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>
        <v>218021.18</v>
      </c>
      <c r="E39" s="277">
        <v>600946.26</v>
      </c>
      <c r="F39" s="71"/>
    </row>
    <row r="40" spans="2:6" ht="13.5" thickBot="1">
      <c r="B40" s="97" t="s">
        <v>35</v>
      </c>
      <c r="C40" s="98" t="s">
        <v>36</v>
      </c>
      <c r="D40" s="326">
        <v>90590.95</v>
      </c>
      <c r="E40" s="279">
        <v>99594.28</v>
      </c>
    </row>
    <row r="41" spans="2:6" ht="13.5" thickBot="1">
      <c r="B41" s="99" t="s">
        <v>37</v>
      </c>
      <c r="C41" s="100" t="s">
        <v>38</v>
      </c>
      <c r="D41" s="327">
        <v>4476349.0699999994</v>
      </c>
      <c r="E41" s="148">
        <f>E26+E27+E40</f>
        <v>5389760.7600000007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25602.289000000001</v>
      </c>
      <c r="E47" s="149">
        <v>22414.245999999999</v>
      </c>
    </row>
    <row r="48" spans="2:6">
      <c r="B48" s="186" t="s">
        <v>6</v>
      </c>
      <c r="C48" s="187" t="s">
        <v>41</v>
      </c>
      <c r="D48" s="200">
        <v>22414.245999999999</v>
      </c>
      <c r="E48" s="149">
        <v>26534.86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84" t="s">
        <v>4</v>
      </c>
      <c r="C50" s="185" t="s">
        <v>40</v>
      </c>
      <c r="D50" s="200">
        <v>195.98</v>
      </c>
      <c r="E50" s="149">
        <v>199.71</v>
      </c>
    </row>
    <row r="51" spans="2:5">
      <c r="B51" s="184" t="s">
        <v>6</v>
      </c>
      <c r="C51" s="185" t="s">
        <v>114</v>
      </c>
      <c r="D51" s="200">
        <v>195.72</v>
      </c>
      <c r="E51" s="149">
        <v>195.76</v>
      </c>
    </row>
    <row r="52" spans="2:5">
      <c r="B52" s="184" t="s">
        <v>8</v>
      </c>
      <c r="C52" s="185" t="s">
        <v>115</v>
      </c>
      <c r="D52" s="200">
        <v>199.71</v>
      </c>
      <c r="E52" s="75">
        <v>203.37</v>
      </c>
    </row>
    <row r="53" spans="2:5" ht="12.75" customHeight="1" thickBot="1">
      <c r="B53" s="188" t="s">
        <v>9</v>
      </c>
      <c r="C53" s="189" t="s">
        <v>41</v>
      </c>
      <c r="D53" s="202">
        <v>199.71</v>
      </c>
      <c r="E53" s="280">
        <v>203.12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5.7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5389760.7599999998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3.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5389760.7599999998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5389760.7599999998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5389760.7599999998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3"/>
  <dimension ref="A1:G81"/>
  <sheetViews>
    <sheetView topLeftCell="A13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1"/>
      <c r="C4" s="141"/>
      <c r="D4" s="141"/>
      <c r="E4" s="141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243</v>
      </c>
      <c r="C6" s="353"/>
      <c r="D6" s="353"/>
      <c r="E6" s="353"/>
    </row>
    <row r="7" spans="2:7" ht="14.25">
      <c r="B7" s="139"/>
      <c r="C7" s="139"/>
      <c r="D7" s="139"/>
      <c r="E7" s="13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40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5467492.3099999996</v>
      </c>
      <c r="E11" s="228">
        <f>SUM(E12:E14)</f>
        <v>9399837.5299999993</v>
      </c>
    </row>
    <row r="12" spans="2:7">
      <c r="B12" s="173" t="s">
        <v>4</v>
      </c>
      <c r="C12" s="174" t="s">
        <v>5</v>
      </c>
      <c r="D12" s="241">
        <v>5467492.3099999996</v>
      </c>
      <c r="E12" s="245">
        <v>9399837.5299999993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5467492.3099999996</v>
      </c>
      <c r="E21" s="148">
        <f>E11-E17</f>
        <v>9399837.5299999993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5116051.53</v>
      </c>
      <c r="E26" s="217">
        <f>D21</f>
        <v>5467492.3099999996</v>
      </c>
    </row>
    <row r="27" spans="2:6">
      <c r="B27" s="9" t="s">
        <v>17</v>
      </c>
      <c r="C27" s="10" t="s">
        <v>111</v>
      </c>
      <c r="D27" s="323">
        <v>153259.74</v>
      </c>
      <c r="E27" s="274">
        <v>3815126.97</v>
      </c>
      <c r="F27" s="71"/>
    </row>
    <row r="28" spans="2:6">
      <c r="B28" s="9" t="s">
        <v>18</v>
      </c>
      <c r="C28" s="10" t="s">
        <v>19</v>
      </c>
      <c r="D28" s="323">
        <v>5293295.72</v>
      </c>
      <c r="E28" s="275">
        <v>4341456.29</v>
      </c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>
        <v>5293295.72</v>
      </c>
      <c r="E31" s="276">
        <v>4341456.29</v>
      </c>
      <c r="F31" s="71"/>
    </row>
    <row r="32" spans="2:6">
      <c r="B32" s="92" t="s">
        <v>23</v>
      </c>
      <c r="C32" s="11" t="s">
        <v>24</v>
      </c>
      <c r="D32" s="323">
        <v>5140035.9800000004</v>
      </c>
      <c r="E32" s="275">
        <v>526329.31999999995</v>
      </c>
      <c r="F32" s="71"/>
    </row>
    <row r="33" spans="2:6">
      <c r="B33" s="181" t="s">
        <v>4</v>
      </c>
      <c r="C33" s="174" t="s">
        <v>25</v>
      </c>
      <c r="D33" s="324">
        <v>4953463.6100000003</v>
      </c>
      <c r="E33" s="276">
        <v>382904.29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10746.41</v>
      </c>
      <c r="E35" s="276">
        <v>10577.58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132132.47</v>
      </c>
      <c r="E37" s="276">
        <v>132847.45000000001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>
        <v>43693.49</v>
      </c>
      <c r="E39" s="277"/>
      <c r="F39" s="71"/>
    </row>
    <row r="40" spans="2:6" ht="13.5" thickBot="1">
      <c r="B40" s="97" t="s">
        <v>35</v>
      </c>
      <c r="C40" s="98" t="s">
        <v>36</v>
      </c>
      <c r="D40" s="326">
        <v>198181.04</v>
      </c>
      <c r="E40" s="279">
        <v>117218.25</v>
      </c>
    </row>
    <row r="41" spans="2:6" ht="13.5" thickBot="1">
      <c r="B41" s="99" t="s">
        <v>37</v>
      </c>
      <c r="C41" s="100" t="s">
        <v>38</v>
      </c>
      <c r="D41" s="327">
        <v>5467492.3100000005</v>
      </c>
      <c r="E41" s="148">
        <f>E26+E27+E40</f>
        <v>9399837.5299999993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454356.26400000002</v>
      </c>
      <c r="E47" s="149">
        <v>473786.16200000001</v>
      </c>
    </row>
    <row r="48" spans="2:6">
      <c r="B48" s="186" t="s">
        <v>6</v>
      </c>
      <c r="C48" s="187" t="s">
        <v>41</v>
      </c>
      <c r="D48" s="200">
        <v>473786.16200000001</v>
      </c>
      <c r="E48" s="149">
        <v>806853.00699999998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84" t="s">
        <v>4</v>
      </c>
      <c r="C50" s="185" t="s">
        <v>40</v>
      </c>
      <c r="D50" s="200">
        <v>11.26</v>
      </c>
      <c r="E50" s="149">
        <v>11.54</v>
      </c>
    </row>
    <row r="51" spans="2:5">
      <c r="B51" s="184" t="s">
        <v>6</v>
      </c>
      <c r="C51" s="185" t="s">
        <v>114</v>
      </c>
      <c r="D51" s="200">
        <v>11.24</v>
      </c>
      <c r="E51" s="149">
        <v>11.02</v>
      </c>
    </row>
    <row r="52" spans="2:5">
      <c r="B52" s="184" t="s">
        <v>8</v>
      </c>
      <c r="C52" s="185" t="s">
        <v>115</v>
      </c>
      <c r="D52" s="200">
        <v>11.54</v>
      </c>
      <c r="E52" s="75">
        <v>11.67</v>
      </c>
    </row>
    <row r="53" spans="2:5" ht="12.75" customHeight="1" thickBot="1">
      <c r="B53" s="188" t="s">
        <v>9</v>
      </c>
      <c r="C53" s="189" t="s">
        <v>41</v>
      </c>
      <c r="D53" s="202">
        <v>11.54</v>
      </c>
      <c r="E53" s="280">
        <v>11.65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6.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9399837.5299999993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2.7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9399837.5299999993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9399837.5299999993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9399837.5299999993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4"/>
  <dimension ref="A1:G81"/>
  <sheetViews>
    <sheetView topLeftCell="A19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1"/>
      <c r="C4" s="141"/>
      <c r="D4" s="141"/>
      <c r="E4" s="141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268</v>
      </c>
      <c r="C6" s="353"/>
      <c r="D6" s="353"/>
      <c r="E6" s="353"/>
    </row>
    <row r="7" spans="2:7" ht="14.25">
      <c r="B7" s="139"/>
      <c r="C7" s="139"/>
      <c r="D7" s="139"/>
      <c r="E7" s="13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40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207089.8</v>
      </c>
      <c r="E11" s="228">
        <f>SUM(E12:E14)</f>
        <v>202901.63</v>
      </c>
    </row>
    <row r="12" spans="2:7">
      <c r="B12" s="173" t="s">
        <v>4</v>
      </c>
      <c r="C12" s="174" t="s">
        <v>5</v>
      </c>
      <c r="D12" s="241">
        <v>207089.8</v>
      </c>
      <c r="E12" s="245">
        <v>202901.63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207089.8</v>
      </c>
      <c r="E21" s="148">
        <f>E11-E17</f>
        <v>202901.63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203932.92</v>
      </c>
      <c r="E26" s="217">
        <f>D21</f>
        <v>207089.8</v>
      </c>
    </row>
    <row r="27" spans="2:6">
      <c r="B27" s="9" t="s">
        <v>17</v>
      </c>
      <c r="C27" s="10" t="s">
        <v>111</v>
      </c>
      <c r="D27" s="323">
        <v>-3301.42</v>
      </c>
      <c r="E27" s="274">
        <v>-3407.99</v>
      </c>
      <c r="F27" s="71"/>
    </row>
    <row r="28" spans="2:6">
      <c r="B28" s="9" t="s">
        <v>18</v>
      </c>
      <c r="C28" s="10" t="s">
        <v>19</v>
      </c>
      <c r="D28" s="323">
        <v>0</v>
      </c>
      <c r="E28" s="275">
        <v>0</v>
      </c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3301.42</v>
      </c>
      <c r="E32" s="275">
        <v>3407.99</v>
      </c>
      <c r="F32" s="71"/>
    </row>
    <row r="33" spans="2:6">
      <c r="B33" s="181" t="s">
        <v>4</v>
      </c>
      <c r="C33" s="174" t="s">
        <v>25</v>
      </c>
      <c r="D33" s="324"/>
      <c r="E33" s="276"/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/>
      <c r="E35" s="276"/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3301.42</v>
      </c>
      <c r="E37" s="276">
        <v>3407.99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/>
      <c r="F39" s="71"/>
    </row>
    <row r="40" spans="2:6" ht="13.5" thickBot="1">
      <c r="B40" s="97" t="s">
        <v>35</v>
      </c>
      <c r="C40" s="98" t="s">
        <v>36</v>
      </c>
      <c r="D40" s="326">
        <v>6458.3</v>
      </c>
      <c r="E40" s="279">
        <v>-780.18</v>
      </c>
    </row>
    <row r="41" spans="2:6" ht="13.5" thickBot="1">
      <c r="B41" s="99" t="s">
        <v>37</v>
      </c>
      <c r="C41" s="100" t="s">
        <v>38</v>
      </c>
      <c r="D41" s="327">
        <v>207089.8</v>
      </c>
      <c r="E41" s="148">
        <f>E26+E27+E40</f>
        <v>202901.63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306"/>
    </row>
    <row r="47" spans="2:6">
      <c r="B47" s="184" t="s">
        <v>4</v>
      </c>
      <c r="C47" s="185" t="s">
        <v>40</v>
      </c>
      <c r="D47" s="200">
        <v>17565.281999999999</v>
      </c>
      <c r="E47" s="242">
        <v>17286.294000000002</v>
      </c>
    </row>
    <row r="48" spans="2:6">
      <c r="B48" s="186" t="s">
        <v>6</v>
      </c>
      <c r="C48" s="187" t="s">
        <v>41</v>
      </c>
      <c r="D48" s="200">
        <v>17286.294000000002</v>
      </c>
      <c r="E48" s="149">
        <v>16993.436000000002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84" t="s">
        <v>4</v>
      </c>
      <c r="C50" s="185" t="s">
        <v>40</v>
      </c>
      <c r="D50" s="200">
        <v>11.61</v>
      </c>
      <c r="E50" s="75">
        <v>11.98</v>
      </c>
    </row>
    <row r="51" spans="2:5">
      <c r="B51" s="184" t="s">
        <v>6</v>
      </c>
      <c r="C51" s="185" t="s">
        <v>114</v>
      </c>
      <c r="D51" s="200">
        <v>11.56</v>
      </c>
      <c r="E51" s="75">
        <v>10.5</v>
      </c>
    </row>
    <row r="52" spans="2:5">
      <c r="B52" s="184" t="s">
        <v>8</v>
      </c>
      <c r="C52" s="185" t="s">
        <v>115</v>
      </c>
      <c r="D52" s="200">
        <v>12.05</v>
      </c>
      <c r="E52" s="75">
        <v>12.04</v>
      </c>
    </row>
    <row r="53" spans="2:5" ht="14.25" customHeight="1" thickBot="1">
      <c r="B53" s="188" t="s">
        <v>9</v>
      </c>
      <c r="C53" s="189" t="s">
        <v>41</v>
      </c>
      <c r="D53" s="202">
        <v>11.98</v>
      </c>
      <c r="E53" s="280">
        <v>11.94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5.7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202901.63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2.7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202901.63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202901.63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202901.63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5"/>
  <dimension ref="A1:G81"/>
  <sheetViews>
    <sheetView topLeftCell="A13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1"/>
      <c r="C4" s="141"/>
      <c r="D4" s="141"/>
      <c r="E4" s="141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204</v>
      </c>
      <c r="C6" s="353"/>
      <c r="D6" s="353"/>
      <c r="E6" s="353"/>
    </row>
    <row r="7" spans="2:7" ht="14.25">
      <c r="B7" s="139"/>
      <c r="C7" s="139"/>
      <c r="D7" s="139"/>
      <c r="E7" s="13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40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253284.17</v>
      </c>
      <c r="E11" s="228">
        <f>SUM(E12:E14)</f>
        <v>166157.74</v>
      </c>
    </row>
    <row r="12" spans="2:7">
      <c r="B12" s="173" t="s">
        <v>4</v>
      </c>
      <c r="C12" s="174" t="s">
        <v>5</v>
      </c>
      <c r="D12" s="241">
        <v>253284.17</v>
      </c>
      <c r="E12" s="245">
        <v>166157.74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253284.17</v>
      </c>
      <c r="E21" s="148">
        <f>E11-E17</f>
        <v>166157.74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365492.24</v>
      </c>
      <c r="E26" s="217">
        <f>D21</f>
        <v>253284.17</v>
      </c>
    </row>
    <row r="27" spans="2:6">
      <c r="B27" s="9" t="s">
        <v>17</v>
      </c>
      <c r="C27" s="10" t="s">
        <v>111</v>
      </c>
      <c r="D27" s="323">
        <v>-122275.55</v>
      </c>
      <c r="E27" s="274">
        <v>-98278.650000000009</v>
      </c>
      <c r="F27" s="71"/>
    </row>
    <row r="28" spans="2:6">
      <c r="B28" s="9" t="s">
        <v>18</v>
      </c>
      <c r="C28" s="10" t="s">
        <v>19</v>
      </c>
      <c r="D28" s="323">
        <v>0</v>
      </c>
      <c r="E28" s="275">
        <v>0</v>
      </c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122275.55</v>
      </c>
      <c r="E32" s="275">
        <v>98278.650000000009</v>
      </c>
      <c r="F32" s="71"/>
    </row>
    <row r="33" spans="2:6">
      <c r="B33" s="181" t="s">
        <v>4</v>
      </c>
      <c r="C33" s="174" t="s">
        <v>25</v>
      </c>
      <c r="D33" s="324">
        <v>75284.83</v>
      </c>
      <c r="E33" s="276">
        <v>93678.26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1347.78</v>
      </c>
      <c r="E35" s="276">
        <v>1098.57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4679.83</v>
      </c>
      <c r="E37" s="276">
        <v>3501.82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>
        <v>40963.11</v>
      </c>
      <c r="E39" s="277"/>
      <c r="F39" s="71"/>
    </row>
    <row r="40" spans="2:6" ht="13.5" thickBot="1">
      <c r="B40" s="97" t="s">
        <v>35</v>
      </c>
      <c r="C40" s="98" t="s">
        <v>36</v>
      </c>
      <c r="D40" s="326">
        <v>10067.48</v>
      </c>
      <c r="E40" s="279">
        <v>11152.22</v>
      </c>
    </row>
    <row r="41" spans="2:6" ht="13.5" thickBot="1">
      <c r="B41" s="99" t="s">
        <v>37</v>
      </c>
      <c r="C41" s="100" t="s">
        <v>38</v>
      </c>
      <c r="D41" s="327">
        <v>253284.17</v>
      </c>
      <c r="E41" s="148">
        <f>E26+E27+E40</f>
        <v>166157.74000000002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29192.670999999998</v>
      </c>
      <c r="E47" s="149">
        <v>19588.876</v>
      </c>
    </row>
    <row r="48" spans="2:6">
      <c r="B48" s="186" t="s">
        <v>6</v>
      </c>
      <c r="C48" s="187" t="s">
        <v>41</v>
      </c>
      <c r="D48" s="200">
        <v>19588.876</v>
      </c>
      <c r="E48" s="149">
        <v>12253.521000000001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84" t="s">
        <v>4</v>
      </c>
      <c r="C50" s="185" t="s">
        <v>40</v>
      </c>
      <c r="D50" s="200">
        <v>12.52</v>
      </c>
      <c r="E50" s="149">
        <v>12.93</v>
      </c>
    </row>
    <row r="51" spans="2:5">
      <c r="B51" s="184" t="s">
        <v>6</v>
      </c>
      <c r="C51" s="185" t="s">
        <v>114</v>
      </c>
      <c r="D51" s="200">
        <v>12.51</v>
      </c>
      <c r="E51" s="149">
        <v>12.82</v>
      </c>
    </row>
    <row r="52" spans="2:5">
      <c r="B52" s="184" t="s">
        <v>8</v>
      </c>
      <c r="C52" s="185" t="s">
        <v>115</v>
      </c>
      <c r="D52" s="200">
        <v>12.97</v>
      </c>
      <c r="E52" s="75">
        <v>13.57</v>
      </c>
    </row>
    <row r="53" spans="2:5" ht="13.5" customHeight="1" thickBot="1">
      <c r="B53" s="188" t="s">
        <v>9</v>
      </c>
      <c r="C53" s="189" t="s">
        <v>41</v>
      </c>
      <c r="D53" s="202">
        <v>12.93</v>
      </c>
      <c r="E53" s="280">
        <v>13.56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8.7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166157.74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2.7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166157.74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166157.74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166157.74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G81"/>
  <sheetViews>
    <sheetView zoomScale="75" zoomScaleNormal="75" workbookViewId="0">
      <selection activeCell="G10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7"/>
      <c r="C4" s="147"/>
      <c r="D4" s="147"/>
      <c r="E4" s="147"/>
    </row>
    <row r="5" spans="2:7" ht="21" customHeight="1">
      <c r="B5" s="352" t="s">
        <v>1</v>
      </c>
      <c r="C5" s="352"/>
      <c r="D5" s="352"/>
      <c r="E5" s="352"/>
    </row>
    <row r="6" spans="2:7" ht="14.25" customHeight="1">
      <c r="B6" s="353" t="s">
        <v>101</v>
      </c>
      <c r="C6" s="353"/>
      <c r="D6" s="353"/>
      <c r="E6" s="353"/>
    </row>
    <row r="7" spans="2:7" ht="14.25">
      <c r="B7" s="257"/>
      <c r="C7" s="257"/>
      <c r="D7" s="257"/>
      <c r="E7" s="257"/>
    </row>
    <row r="8" spans="2:7" ht="13.5" customHeight="1">
      <c r="B8" s="355" t="s">
        <v>18</v>
      </c>
      <c r="C8" s="357"/>
      <c r="D8" s="357"/>
      <c r="E8" s="357"/>
    </row>
    <row r="9" spans="2:7" ht="16.5" customHeight="1" thickBot="1">
      <c r="B9" s="354" t="s">
        <v>103</v>
      </c>
      <c r="C9" s="354"/>
      <c r="D9" s="354"/>
      <c r="E9" s="354"/>
    </row>
    <row r="10" spans="2:7" ht="13.5" thickBot="1">
      <c r="B10" s="258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622947.14</v>
      </c>
      <c r="E11" s="228">
        <f>SUM(E12:E14)</f>
        <v>721348.93</v>
      </c>
    </row>
    <row r="12" spans="2:7">
      <c r="B12" s="106" t="s">
        <v>4</v>
      </c>
      <c r="C12" s="6" t="s">
        <v>5</v>
      </c>
      <c r="D12" s="241">
        <v>621391.55000000005</v>
      </c>
      <c r="E12" s="245">
        <f>705809.33+15993.15-560.98</f>
        <v>721241.5</v>
      </c>
    </row>
    <row r="13" spans="2:7">
      <c r="B13" s="106" t="s">
        <v>6</v>
      </c>
      <c r="C13" s="68" t="s">
        <v>7</v>
      </c>
      <c r="D13" s="237"/>
      <c r="E13" s="246"/>
    </row>
    <row r="14" spans="2:7">
      <c r="B14" s="106" t="s">
        <v>8</v>
      </c>
      <c r="C14" s="68" t="s">
        <v>10</v>
      </c>
      <c r="D14" s="237">
        <v>1555.59</v>
      </c>
      <c r="E14" s="246">
        <f>E15</f>
        <v>107.43</v>
      </c>
    </row>
    <row r="15" spans="2:7">
      <c r="B15" s="106" t="s">
        <v>106</v>
      </c>
      <c r="C15" s="68" t="s">
        <v>11</v>
      </c>
      <c r="D15" s="237">
        <v>1555.59</v>
      </c>
      <c r="E15" s="246">
        <v>107.43</v>
      </c>
    </row>
    <row r="16" spans="2:7">
      <c r="B16" s="107" t="s">
        <v>107</v>
      </c>
      <c r="C16" s="91" t="s">
        <v>12</v>
      </c>
      <c r="D16" s="239"/>
      <c r="E16" s="247"/>
    </row>
    <row r="17" spans="2:6">
      <c r="B17" s="9" t="s">
        <v>13</v>
      </c>
      <c r="C17" s="11" t="s">
        <v>65</v>
      </c>
      <c r="D17" s="240">
        <v>1131.44</v>
      </c>
      <c r="E17" s="248">
        <f>E18</f>
        <v>4094.2</v>
      </c>
    </row>
    <row r="18" spans="2:6">
      <c r="B18" s="106" t="s">
        <v>4</v>
      </c>
      <c r="C18" s="6" t="s">
        <v>11</v>
      </c>
      <c r="D18" s="239">
        <v>1131.44</v>
      </c>
      <c r="E18" s="247">
        <v>4094.2</v>
      </c>
    </row>
    <row r="19" spans="2:6" ht="15" customHeight="1">
      <c r="B19" s="106" t="s">
        <v>6</v>
      </c>
      <c r="C19" s="68" t="s">
        <v>108</v>
      </c>
      <c r="D19" s="237"/>
      <c r="E19" s="246"/>
    </row>
    <row r="20" spans="2:6" ht="13.5" thickBot="1">
      <c r="B20" s="108" t="s">
        <v>8</v>
      </c>
      <c r="C20" s="69" t="s">
        <v>14</v>
      </c>
      <c r="D20" s="229"/>
      <c r="E20" s="230"/>
    </row>
    <row r="21" spans="2:6" ht="13.5" customHeight="1" thickBot="1">
      <c r="B21" s="361" t="s">
        <v>110</v>
      </c>
      <c r="C21" s="362"/>
      <c r="D21" s="231">
        <v>621815.70000000007</v>
      </c>
      <c r="E21" s="148">
        <f>E11-E17</f>
        <v>717254.7300000001</v>
      </c>
      <c r="F21" s="77"/>
    </row>
    <row r="22" spans="2:6">
      <c r="B22" s="3"/>
      <c r="C22" s="7"/>
      <c r="D22" s="8"/>
      <c r="E22" s="299"/>
    </row>
    <row r="23" spans="2:6" ht="13.5" customHeight="1">
      <c r="B23" s="355" t="s">
        <v>104</v>
      </c>
      <c r="C23" s="363"/>
      <c r="D23" s="363"/>
      <c r="E23" s="363"/>
    </row>
    <row r="24" spans="2:6" ht="18" customHeight="1" thickBot="1">
      <c r="B24" s="354" t="s">
        <v>105</v>
      </c>
      <c r="C24" s="364"/>
      <c r="D24" s="364"/>
      <c r="E24" s="364"/>
    </row>
    <row r="25" spans="2:6" ht="13.5" thickBot="1">
      <c r="B25" s="258"/>
      <c r="C25" s="5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472868.56</v>
      </c>
      <c r="E26" s="217">
        <f>D21</f>
        <v>621815.70000000007</v>
      </c>
    </row>
    <row r="27" spans="2:6">
      <c r="B27" s="9" t="s">
        <v>17</v>
      </c>
      <c r="C27" s="10" t="s">
        <v>111</v>
      </c>
      <c r="D27" s="323">
        <v>56859.800000000017</v>
      </c>
      <c r="E27" s="274">
        <f>E28-E32</f>
        <v>-7693.75</v>
      </c>
      <c r="F27" s="71"/>
    </row>
    <row r="28" spans="2:6">
      <c r="B28" s="9" t="s">
        <v>18</v>
      </c>
      <c r="C28" s="10" t="s">
        <v>19</v>
      </c>
      <c r="D28" s="323">
        <v>242677.63</v>
      </c>
      <c r="E28" s="275">
        <v>271707.34999999998</v>
      </c>
      <c r="F28" s="71"/>
    </row>
    <row r="29" spans="2:6">
      <c r="B29" s="104" t="s">
        <v>4</v>
      </c>
      <c r="C29" s="6" t="s">
        <v>20</v>
      </c>
      <c r="D29" s="324">
        <v>142230.46</v>
      </c>
      <c r="E29" s="276">
        <v>140788.35</v>
      </c>
      <c r="F29" s="71"/>
    </row>
    <row r="30" spans="2:6">
      <c r="B30" s="104" t="s">
        <v>6</v>
      </c>
      <c r="C30" s="6" t="s">
        <v>21</v>
      </c>
      <c r="D30" s="324"/>
      <c r="E30" s="276"/>
      <c r="F30" s="71"/>
    </row>
    <row r="31" spans="2:6">
      <c r="B31" s="104" t="s">
        <v>8</v>
      </c>
      <c r="C31" s="6" t="s">
        <v>22</v>
      </c>
      <c r="D31" s="324">
        <v>100447.17</v>
      </c>
      <c r="E31" s="276">
        <v>130919</v>
      </c>
      <c r="F31" s="71"/>
    </row>
    <row r="32" spans="2:6">
      <c r="B32" s="92" t="s">
        <v>23</v>
      </c>
      <c r="C32" s="11" t="s">
        <v>24</v>
      </c>
      <c r="D32" s="323">
        <v>185817.83</v>
      </c>
      <c r="E32" s="275">
        <f>SUM(E33:E39)</f>
        <v>279401.09999999998</v>
      </c>
      <c r="F32" s="71"/>
    </row>
    <row r="33" spans="2:6">
      <c r="B33" s="104" t="s">
        <v>4</v>
      </c>
      <c r="C33" s="6" t="s">
        <v>25</v>
      </c>
      <c r="D33" s="324">
        <v>56193.34</v>
      </c>
      <c r="E33" s="276">
        <f>93410.52+560.98</f>
        <v>93971.5</v>
      </c>
      <c r="F33" s="71"/>
    </row>
    <row r="34" spans="2:6">
      <c r="B34" s="104" t="s">
        <v>6</v>
      </c>
      <c r="C34" s="6" t="s">
        <v>26</v>
      </c>
      <c r="D34" s="324"/>
      <c r="E34" s="276"/>
      <c r="F34" s="71"/>
    </row>
    <row r="35" spans="2:6">
      <c r="B35" s="104" t="s">
        <v>8</v>
      </c>
      <c r="C35" s="6" t="s">
        <v>27</v>
      </c>
      <c r="D35" s="324">
        <v>13734.01</v>
      </c>
      <c r="E35" s="276">
        <v>13246.68</v>
      </c>
      <c r="F35" s="71"/>
    </row>
    <row r="36" spans="2:6">
      <c r="B36" s="104" t="s">
        <v>9</v>
      </c>
      <c r="C36" s="6" t="s">
        <v>28</v>
      </c>
      <c r="D36" s="324"/>
      <c r="E36" s="276"/>
      <c r="F36" s="71"/>
    </row>
    <row r="37" spans="2:6" ht="25.5">
      <c r="B37" s="104" t="s">
        <v>29</v>
      </c>
      <c r="C37" s="6" t="s">
        <v>30</v>
      </c>
      <c r="D37" s="324"/>
      <c r="E37" s="276"/>
      <c r="F37" s="71"/>
    </row>
    <row r="38" spans="2:6">
      <c r="B38" s="104" t="s">
        <v>31</v>
      </c>
      <c r="C38" s="6" t="s">
        <v>32</v>
      </c>
      <c r="D38" s="324"/>
      <c r="E38" s="276"/>
      <c r="F38" s="71"/>
    </row>
    <row r="39" spans="2:6">
      <c r="B39" s="105" t="s">
        <v>33</v>
      </c>
      <c r="C39" s="12" t="s">
        <v>34</v>
      </c>
      <c r="D39" s="325">
        <v>115890.47999999991</v>
      </c>
      <c r="E39" s="277">
        <v>172182.92</v>
      </c>
      <c r="F39" s="71"/>
    </row>
    <row r="40" spans="2:6" ht="13.5" thickBot="1">
      <c r="B40" s="97" t="s">
        <v>35</v>
      </c>
      <c r="C40" s="98" t="s">
        <v>36</v>
      </c>
      <c r="D40" s="326">
        <v>92087.34</v>
      </c>
      <c r="E40" s="279">
        <v>103132.78</v>
      </c>
    </row>
    <row r="41" spans="2:6" ht="13.5" thickBot="1">
      <c r="B41" s="99" t="s">
        <v>37</v>
      </c>
      <c r="C41" s="100" t="s">
        <v>38</v>
      </c>
      <c r="D41" s="327">
        <v>621815.69999999995</v>
      </c>
      <c r="E41" s="148">
        <f>E26+E27+E40</f>
        <v>717254.7300000001</v>
      </c>
      <c r="F41" s="77"/>
    </row>
    <row r="42" spans="2:6">
      <c r="B42" s="93"/>
      <c r="C42" s="93"/>
      <c r="D42" s="94"/>
      <c r="E42" s="94"/>
      <c r="F42" s="77"/>
    </row>
    <row r="43" spans="2:6" ht="13.5" customHeight="1">
      <c r="B43" s="356" t="s">
        <v>60</v>
      </c>
      <c r="C43" s="357"/>
      <c r="D43" s="357"/>
      <c r="E43" s="357"/>
    </row>
    <row r="44" spans="2:6" ht="17.25" customHeight="1" thickBot="1">
      <c r="B44" s="354" t="s">
        <v>121</v>
      </c>
      <c r="C44" s="358"/>
      <c r="D44" s="358"/>
      <c r="E44" s="358"/>
    </row>
    <row r="45" spans="2:6" ht="13.5" thickBot="1">
      <c r="B45" s="258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46187.157399999996</v>
      </c>
      <c r="E47" s="73">
        <v>51026.936900000001</v>
      </c>
    </row>
    <row r="48" spans="2:6">
      <c r="B48" s="123" t="s">
        <v>6</v>
      </c>
      <c r="C48" s="22" t="s">
        <v>41</v>
      </c>
      <c r="D48" s="200">
        <v>51026.936900000001</v>
      </c>
      <c r="E48" s="335">
        <v>50570.208599999998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02" t="s">
        <v>4</v>
      </c>
      <c r="C50" s="15" t="s">
        <v>40</v>
      </c>
      <c r="D50" s="200">
        <v>10.238096185586</v>
      </c>
      <c r="E50" s="73">
        <v>12.186</v>
      </c>
    </row>
    <row r="51" spans="2:5">
      <c r="B51" s="102" t="s">
        <v>6</v>
      </c>
      <c r="C51" s="15" t="s">
        <v>114</v>
      </c>
      <c r="D51" s="200">
        <v>10.175700000000001</v>
      </c>
      <c r="E51" s="75">
        <v>8.6113999999999997</v>
      </c>
    </row>
    <row r="52" spans="2:5" ht="12.75" customHeight="1">
      <c r="B52" s="102" t="s">
        <v>8</v>
      </c>
      <c r="C52" s="15" t="s">
        <v>115</v>
      </c>
      <c r="D52" s="200">
        <v>12.199299999999999</v>
      </c>
      <c r="E52" s="75">
        <v>14.1869</v>
      </c>
    </row>
    <row r="53" spans="2:5" ht="13.5" thickBot="1">
      <c r="B53" s="103" t="s">
        <v>9</v>
      </c>
      <c r="C53" s="17" t="s">
        <v>41</v>
      </c>
      <c r="D53" s="202">
        <v>12.186</v>
      </c>
      <c r="E53" s="280">
        <v>14.183300000000001</v>
      </c>
    </row>
    <row r="54" spans="2:5">
      <c r="B54" s="109"/>
      <c r="C54" s="110"/>
      <c r="D54" s="111"/>
      <c r="E54" s="111"/>
    </row>
    <row r="55" spans="2:5" ht="13.5" customHeight="1">
      <c r="B55" s="356" t="s">
        <v>62</v>
      </c>
      <c r="C55" s="357"/>
      <c r="D55" s="357"/>
      <c r="E55" s="357"/>
    </row>
    <row r="56" spans="2:5" ht="15.75" customHeight="1" thickBot="1">
      <c r="B56" s="354" t="s">
        <v>116</v>
      </c>
      <c r="C56" s="358"/>
      <c r="D56" s="358"/>
      <c r="E56" s="358"/>
    </row>
    <row r="57" spans="2:5" ht="23.25" customHeight="1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SUM(D59:D70)</f>
        <v>721241.5</v>
      </c>
      <c r="E58" s="31">
        <f>D58/E21</f>
        <v>1.0055583739405942</v>
      </c>
    </row>
    <row r="59" spans="2:5" ht="25.5">
      <c r="B59" s="21" t="s">
        <v>4</v>
      </c>
      <c r="C59" s="22" t="s">
        <v>44</v>
      </c>
      <c r="D59" s="80">
        <v>0</v>
      </c>
      <c r="E59" s="81">
        <v>0</v>
      </c>
    </row>
    <row r="60" spans="2:5" ht="24" customHeight="1">
      <c r="B60" s="14" t="s">
        <v>6</v>
      </c>
      <c r="C60" s="15" t="s">
        <v>45</v>
      </c>
      <c r="D60" s="78">
        <v>0</v>
      </c>
      <c r="E60" s="79">
        <v>0</v>
      </c>
    </row>
    <row r="61" spans="2:5">
      <c r="B61" s="14" t="s">
        <v>8</v>
      </c>
      <c r="C61" s="15" t="s">
        <v>46</v>
      </c>
      <c r="D61" s="78">
        <v>0</v>
      </c>
      <c r="E61" s="79">
        <v>0</v>
      </c>
    </row>
    <row r="62" spans="2:5">
      <c r="B62" s="14" t="s">
        <v>9</v>
      </c>
      <c r="C62" s="15" t="s">
        <v>47</v>
      </c>
      <c r="D62" s="78">
        <v>0</v>
      </c>
      <c r="E62" s="79">
        <v>0</v>
      </c>
    </row>
    <row r="63" spans="2:5">
      <c r="B63" s="14" t="s">
        <v>29</v>
      </c>
      <c r="C63" s="15" t="s">
        <v>48</v>
      </c>
      <c r="D63" s="78">
        <v>0</v>
      </c>
      <c r="E63" s="79">
        <v>0</v>
      </c>
    </row>
    <row r="64" spans="2:5">
      <c r="B64" s="21" t="s">
        <v>31</v>
      </c>
      <c r="C64" s="22" t="s">
        <v>49</v>
      </c>
      <c r="D64" s="234">
        <v>705248.35</v>
      </c>
      <c r="E64" s="81">
        <f>D64/E21</f>
        <v>0.98326064716227091</v>
      </c>
    </row>
    <row r="65" spans="2:5">
      <c r="B65" s="21" t="s">
        <v>33</v>
      </c>
      <c r="C65" s="22" t="s">
        <v>118</v>
      </c>
      <c r="D65" s="80">
        <v>0</v>
      </c>
      <c r="E65" s="81">
        <v>0</v>
      </c>
    </row>
    <row r="66" spans="2:5">
      <c r="B66" s="21" t="s">
        <v>50</v>
      </c>
      <c r="C66" s="22" t="s">
        <v>51</v>
      </c>
      <c r="D66" s="80">
        <v>0</v>
      </c>
      <c r="E66" s="81">
        <v>0</v>
      </c>
    </row>
    <row r="67" spans="2:5">
      <c r="B67" s="14" t="s">
        <v>52</v>
      </c>
      <c r="C67" s="15" t="s">
        <v>53</v>
      </c>
      <c r="D67" s="78">
        <v>0</v>
      </c>
      <c r="E67" s="79">
        <v>0</v>
      </c>
    </row>
    <row r="68" spans="2:5">
      <c r="B68" s="14" t="s">
        <v>54</v>
      </c>
      <c r="C68" s="15" t="s">
        <v>55</v>
      </c>
      <c r="D68" s="78">
        <v>0</v>
      </c>
      <c r="E68" s="79">
        <v>0</v>
      </c>
    </row>
    <row r="69" spans="2:5">
      <c r="B69" s="14" t="s">
        <v>56</v>
      </c>
      <c r="C69" s="15" t="s">
        <v>57</v>
      </c>
      <c r="D69" s="302">
        <v>15993.15</v>
      </c>
      <c r="E69" s="79">
        <f>D69/E21</f>
        <v>2.2297726778323229E-2</v>
      </c>
    </row>
    <row r="70" spans="2:5">
      <c r="B70" s="112" t="s">
        <v>58</v>
      </c>
      <c r="C70" s="113" t="s">
        <v>59</v>
      </c>
      <c r="D70" s="114">
        <v>0</v>
      </c>
      <c r="E70" s="115">
        <v>0</v>
      </c>
    </row>
    <row r="71" spans="2:5">
      <c r="B71" s="120" t="s">
        <v>23</v>
      </c>
      <c r="C71" s="121" t="s">
        <v>61</v>
      </c>
      <c r="D71" s="122">
        <f>E13</f>
        <v>0</v>
      </c>
      <c r="E71" s="66">
        <v>0</v>
      </c>
    </row>
    <row r="72" spans="2:5">
      <c r="B72" s="116" t="s">
        <v>60</v>
      </c>
      <c r="C72" s="117" t="s">
        <v>63</v>
      </c>
      <c r="D72" s="118">
        <f>E14</f>
        <v>107.43</v>
      </c>
      <c r="E72" s="119">
        <f>D72/E21</f>
        <v>1.4977942355291264E-4</v>
      </c>
    </row>
    <row r="73" spans="2:5">
      <c r="B73" s="23" t="s">
        <v>62</v>
      </c>
      <c r="C73" s="24" t="s">
        <v>65</v>
      </c>
      <c r="D73" s="25">
        <f>E17</f>
        <v>4094.2</v>
      </c>
      <c r="E73" s="26">
        <f>D73/E21</f>
        <v>5.7081533641472103E-3</v>
      </c>
    </row>
    <row r="74" spans="2:5">
      <c r="B74" s="120" t="s">
        <v>64</v>
      </c>
      <c r="C74" s="121" t="s">
        <v>66</v>
      </c>
      <c r="D74" s="122">
        <f>D58+D71+D72-D73</f>
        <v>717254.7300000001</v>
      </c>
      <c r="E74" s="66">
        <f>E58+E72-E73</f>
        <v>1</v>
      </c>
    </row>
    <row r="75" spans="2:5">
      <c r="B75" s="14" t="s">
        <v>4</v>
      </c>
      <c r="C75" s="15" t="s">
        <v>67</v>
      </c>
      <c r="D75" s="78">
        <f>D74</f>
        <v>717254.7300000001</v>
      </c>
      <c r="E75" s="79">
        <f>E74</f>
        <v>1</v>
      </c>
    </row>
    <row r="76" spans="2:5">
      <c r="B76" s="14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6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2" right="0.75" top="0.6" bottom="0.4" header="0.5" footer="0.5"/>
  <pageSetup paperSize="9" scale="70" orientation="portrait" r:id="rId1"/>
  <headerFooter alignWithMargins="0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6"/>
  <dimension ref="A1:G81"/>
  <sheetViews>
    <sheetView topLeftCell="A16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1"/>
      <c r="C4" s="141"/>
      <c r="D4" s="141"/>
      <c r="E4" s="141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205</v>
      </c>
      <c r="C6" s="353"/>
      <c r="D6" s="353"/>
      <c r="E6" s="353"/>
    </row>
    <row r="7" spans="2:7" ht="14.25">
      <c r="B7" s="139"/>
      <c r="C7" s="139"/>
      <c r="D7" s="139"/>
      <c r="E7" s="13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40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1059.5899999999999</v>
      </c>
      <c r="E11" s="228">
        <f>SUM(E12:E14)</f>
        <v>8591.7800000000007</v>
      </c>
    </row>
    <row r="12" spans="2:7">
      <c r="B12" s="173" t="s">
        <v>4</v>
      </c>
      <c r="C12" s="174" t="s">
        <v>5</v>
      </c>
      <c r="D12" s="241">
        <v>1059.5899999999999</v>
      </c>
      <c r="E12" s="245">
        <v>8591.7800000000007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1059.5899999999999</v>
      </c>
      <c r="E21" s="148">
        <f>E11-E17</f>
        <v>8591.7800000000007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994.75</v>
      </c>
      <c r="E26" s="217">
        <f>D21</f>
        <v>1059.5899999999999</v>
      </c>
    </row>
    <row r="27" spans="2:6">
      <c r="B27" s="9" t="s">
        <v>17</v>
      </c>
      <c r="C27" s="10" t="s">
        <v>111</v>
      </c>
      <c r="D27" s="323">
        <v>-49.4</v>
      </c>
      <c r="E27" s="274">
        <v>6416.41</v>
      </c>
      <c r="F27" s="71"/>
    </row>
    <row r="28" spans="2:6">
      <c r="B28" s="9" t="s">
        <v>18</v>
      </c>
      <c r="C28" s="10" t="s">
        <v>19</v>
      </c>
      <c r="D28" s="323">
        <v>0</v>
      </c>
      <c r="E28" s="275">
        <v>6477.3</v>
      </c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>
        <v>6477.3</v>
      </c>
      <c r="F31" s="71"/>
    </row>
    <row r="32" spans="2:6">
      <c r="B32" s="92" t="s">
        <v>23</v>
      </c>
      <c r="C32" s="11" t="s">
        <v>24</v>
      </c>
      <c r="D32" s="323">
        <v>49.4</v>
      </c>
      <c r="E32" s="275">
        <v>60.89</v>
      </c>
      <c r="F32" s="71"/>
    </row>
    <row r="33" spans="2:6">
      <c r="B33" s="181" t="s">
        <v>4</v>
      </c>
      <c r="C33" s="174" t="s">
        <v>25</v>
      </c>
      <c r="D33" s="324"/>
      <c r="E33" s="276"/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/>
      <c r="E35" s="276">
        <v>17.53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49.4</v>
      </c>
      <c r="E37" s="276">
        <v>43.36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>
        <v>0</v>
      </c>
      <c r="E39" s="277"/>
      <c r="F39" s="71"/>
    </row>
    <row r="40" spans="2:6" ht="13.5" thickBot="1">
      <c r="B40" s="97" t="s">
        <v>35</v>
      </c>
      <c r="C40" s="98" t="s">
        <v>36</v>
      </c>
      <c r="D40" s="326">
        <v>114.24</v>
      </c>
      <c r="E40" s="279">
        <v>1115.78</v>
      </c>
    </row>
    <row r="41" spans="2:6" ht="13.5" thickBot="1">
      <c r="B41" s="99" t="s">
        <v>37</v>
      </c>
      <c r="C41" s="100" t="s">
        <v>38</v>
      </c>
      <c r="D41" s="327">
        <v>1059.5899999999999</v>
      </c>
      <c r="E41" s="148">
        <f>E26+E27+E40</f>
        <v>8591.7800000000007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103.94499999999999</v>
      </c>
      <c r="E47" s="149">
        <v>99.212999999999994</v>
      </c>
    </row>
    <row r="48" spans="2:6">
      <c r="B48" s="186" t="s">
        <v>6</v>
      </c>
      <c r="C48" s="187" t="s">
        <v>41</v>
      </c>
      <c r="D48" s="200">
        <v>99.212999999999994</v>
      </c>
      <c r="E48" s="149">
        <v>675.98599999999999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84" t="s">
        <v>4</v>
      </c>
      <c r="C50" s="185" t="s">
        <v>40</v>
      </c>
      <c r="D50" s="200">
        <v>9.57</v>
      </c>
      <c r="E50" s="149">
        <v>10.68</v>
      </c>
    </row>
    <row r="51" spans="2:5">
      <c r="B51" s="184" t="s">
        <v>6</v>
      </c>
      <c r="C51" s="185" t="s">
        <v>114</v>
      </c>
      <c r="D51" s="200">
        <v>9.42</v>
      </c>
      <c r="E51" s="149">
        <v>7.79</v>
      </c>
    </row>
    <row r="52" spans="2:5">
      <c r="B52" s="184" t="s">
        <v>8</v>
      </c>
      <c r="C52" s="185" t="s">
        <v>115</v>
      </c>
      <c r="D52" s="200">
        <v>10.68</v>
      </c>
      <c r="E52" s="75">
        <v>12.75</v>
      </c>
    </row>
    <row r="53" spans="2:5" ht="12.75" customHeight="1" thickBot="1">
      <c r="B53" s="188" t="s">
        <v>9</v>
      </c>
      <c r="C53" s="189" t="s">
        <v>41</v>
      </c>
      <c r="D53" s="202">
        <v>10.68</v>
      </c>
      <c r="E53" s="280">
        <v>12.71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6.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8591.7800000000007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8591.7800000000007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8591.7800000000007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8591.7800000000007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8"/>
  <dimension ref="A1:F81"/>
  <sheetViews>
    <sheetView topLeftCell="A16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1" t="s">
        <v>0</v>
      </c>
      <c r="C2" s="351"/>
      <c r="D2" s="351"/>
      <c r="E2" s="351"/>
    </row>
    <row r="3" spans="2:5" ht="15.75">
      <c r="B3" s="351" t="s">
        <v>271</v>
      </c>
      <c r="C3" s="351"/>
      <c r="D3" s="351"/>
      <c r="E3" s="351"/>
    </row>
    <row r="4" spans="2:5" ht="15">
      <c r="B4" s="141"/>
      <c r="C4" s="141"/>
      <c r="D4" s="141"/>
      <c r="E4" s="141"/>
    </row>
    <row r="5" spans="2:5" ht="21" customHeight="1">
      <c r="B5" s="352" t="s">
        <v>1</v>
      </c>
      <c r="C5" s="352"/>
      <c r="D5" s="352"/>
      <c r="E5" s="352"/>
    </row>
    <row r="6" spans="2:5" ht="14.25">
      <c r="B6" s="353" t="s">
        <v>206</v>
      </c>
      <c r="C6" s="353"/>
      <c r="D6" s="353"/>
      <c r="E6" s="353"/>
    </row>
    <row r="7" spans="2:5" ht="14.25">
      <c r="B7" s="139"/>
      <c r="C7" s="139"/>
      <c r="D7" s="139"/>
      <c r="E7" s="139"/>
    </row>
    <row r="8" spans="2:5" ht="13.5">
      <c r="B8" s="355" t="s">
        <v>18</v>
      </c>
      <c r="C8" s="357"/>
      <c r="D8" s="357"/>
      <c r="E8" s="357"/>
    </row>
    <row r="9" spans="2:5" ht="16.5" thickBot="1">
      <c r="B9" s="354" t="s">
        <v>103</v>
      </c>
      <c r="C9" s="354"/>
      <c r="D9" s="354"/>
      <c r="E9" s="354"/>
    </row>
    <row r="10" spans="2:5" ht="13.5" thickBot="1">
      <c r="B10" s="140"/>
      <c r="C10" s="76" t="s">
        <v>2</v>
      </c>
      <c r="D10" s="70" t="s">
        <v>245</v>
      </c>
      <c r="E10" s="255" t="s">
        <v>265</v>
      </c>
    </row>
    <row r="11" spans="2:5">
      <c r="B11" s="90" t="s">
        <v>3</v>
      </c>
      <c r="C11" s="128" t="s">
        <v>109</v>
      </c>
      <c r="D11" s="227">
        <v>196572.73</v>
      </c>
      <c r="E11" s="228"/>
    </row>
    <row r="12" spans="2:5">
      <c r="B12" s="173" t="s">
        <v>4</v>
      </c>
      <c r="C12" s="174" t="s">
        <v>5</v>
      </c>
      <c r="D12" s="241">
        <v>196572.73</v>
      </c>
      <c r="E12" s="245"/>
    </row>
    <row r="13" spans="2:5">
      <c r="B13" s="173" t="s">
        <v>6</v>
      </c>
      <c r="C13" s="175" t="s">
        <v>7</v>
      </c>
      <c r="D13" s="237"/>
      <c r="E13" s="246"/>
    </row>
    <row r="14" spans="2:5">
      <c r="B14" s="173" t="s">
        <v>8</v>
      </c>
      <c r="C14" s="175" t="s">
        <v>10</v>
      </c>
      <c r="D14" s="237"/>
      <c r="E14" s="246"/>
    </row>
    <row r="15" spans="2:5">
      <c r="B15" s="173" t="s">
        <v>106</v>
      </c>
      <c r="C15" s="175" t="s">
        <v>11</v>
      </c>
      <c r="D15" s="237"/>
      <c r="E15" s="246"/>
    </row>
    <row r="16" spans="2:5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196572.73</v>
      </c>
      <c r="E21" s="148"/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203163.85</v>
      </c>
      <c r="E26" s="217">
        <f>D21</f>
        <v>196572.73</v>
      </c>
    </row>
    <row r="27" spans="2:6">
      <c r="B27" s="9" t="s">
        <v>17</v>
      </c>
      <c r="C27" s="10" t="s">
        <v>111</v>
      </c>
      <c r="D27" s="323">
        <v>-45720.130000000005</v>
      </c>
      <c r="E27" s="274">
        <v>-198083.69</v>
      </c>
      <c r="F27" s="71"/>
    </row>
    <row r="28" spans="2:6">
      <c r="B28" s="9" t="s">
        <v>18</v>
      </c>
      <c r="C28" s="10" t="s">
        <v>19</v>
      </c>
      <c r="D28" s="323"/>
      <c r="E28" s="275"/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45720.130000000005</v>
      </c>
      <c r="E32" s="275">
        <v>198083.69</v>
      </c>
      <c r="F32" s="71"/>
    </row>
    <row r="33" spans="2:6">
      <c r="B33" s="181" t="s">
        <v>4</v>
      </c>
      <c r="C33" s="174" t="s">
        <v>25</v>
      </c>
      <c r="D33" s="324"/>
      <c r="E33" s="276"/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49.79</v>
      </c>
      <c r="E35" s="276"/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3083.93</v>
      </c>
      <c r="E37" s="276">
        <v>736.3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>
        <v>42586.41</v>
      </c>
      <c r="E39" s="277">
        <v>197347.39</v>
      </c>
      <c r="F39" s="71"/>
    </row>
    <row r="40" spans="2:6" ht="13.5" thickBot="1">
      <c r="B40" s="97" t="s">
        <v>35</v>
      </c>
      <c r="C40" s="98" t="s">
        <v>36</v>
      </c>
      <c r="D40" s="326">
        <v>39129.01</v>
      </c>
      <c r="E40" s="279">
        <v>1510.96</v>
      </c>
    </row>
    <row r="41" spans="2:6" ht="13.5" thickBot="1">
      <c r="B41" s="99" t="s">
        <v>37</v>
      </c>
      <c r="C41" s="100" t="s">
        <v>38</v>
      </c>
      <c r="D41" s="327">
        <v>196572.73</v>
      </c>
      <c r="E41" s="148" t="s">
        <v>123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4741.28</v>
      </c>
      <c r="E47" s="149">
        <v>3779.518</v>
      </c>
    </row>
    <row r="48" spans="2:6">
      <c r="B48" s="186" t="s">
        <v>6</v>
      </c>
      <c r="C48" s="187" t="s">
        <v>41</v>
      </c>
      <c r="D48" s="200">
        <v>3779.518</v>
      </c>
      <c r="E48" s="149"/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84" t="s">
        <v>4</v>
      </c>
      <c r="C50" s="185" t="s">
        <v>40</v>
      </c>
      <c r="D50" s="200">
        <v>42.85</v>
      </c>
      <c r="E50" s="149">
        <v>52.01</v>
      </c>
    </row>
    <row r="51" spans="2:5">
      <c r="B51" s="184" t="s">
        <v>6</v>
      </c>
      <c r="C51" s="185" t="s">
        <v>114</v>
      </c>
      <c r="D51" s="200">
        <v>42.83</v>
      </c>
      <c r="E51" s="149">
        <v>52.01</v>
      </c>
    </row>
    <row r="52" spans="2:5">
      <c r="B52" s="184" t="s">
        <v>8</v>
      </c>
      <c r="C52" s="185" t="s">
        <v>115</v>
      </c>
      <c r="D52" s="200">
        <v>52.36</v>
      </c>
      <c r="E52" s="75">
        <v>53.89</v>
      </c>
    </row>
    <row r="53" spans="2:5" ht="13.5" customHeight="1" thickBot="1">
      <c r="B53" s="188" t="s">
        <v>9</v>
      </c>
      <c r="C53" s="189" t="s">
        <v>41</v>
      </c>
      <c r="D53" s="202">
        <v>52.01</v>
      </c>
      <c r="E53" s="280"/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7.2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0</v>
      </c>
      <c r="E58" s="31">
        <v>0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0</v>
      </c>
      <c r="E64" s="81">
        <v>0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0</v>
      </c>
      <c r="E74" s="66">
        <f>E58+E72-E73</f>
        <v>0</v>
      </c>
    </row>
    <row r="75" spans="2:5">
      <c r="B75" s="102" t="s">
        <v>4</v>
      </c>
      <c r="C75" s="15" t="s">
        <v>67</v>
      </c>
      <c r="D75" s="78">
        <f>D74</f>
        <v>0</v>
      </c>
      <c r="E75" s="79">
        <f>E74</f>
        <v>0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9"/>
  <dimension ref="A1:F81"/>
  <sheetViews>
    <sheetView topLeftCell="A16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1" t="s">
        <v>0</v>
      </c>
      <c r="C2" s="351"/>
      <c r="D2" s="351"/>
      <c r="E2" s="351"/>
    </row>
    <row r="3" spans="2:5" ht="15.75">
      <c r="B3" s="351" t="s">
        <v>271</v>
      </c>
      <c r="C3" s="351"/>
      <c r="D3" s="351"/>
      <c r="E3" s="351"/>
    </row>
    <row r="4" spans="2:5" ht="15">
      <c r="B4" s="141"/>
      <c r="C4" s="141"/>
      <c r="D4" s="141"/>
      <c r="E4" s="141"/>
    </row>
    <row r="5" spans="2:5" ht="21" customHeight="1">
      <c r="B5" s="352" t="s">
        <v>1</v>
      </c>
      <c r="C5" s="352"/>
      <c r="D5" s="352"/>
      <c r="E5" s="352"/>
    </row>
    <row r="6" spans="2:5" ht="14.25">
      <c r="B6" s="353" t="s">
        <v>207</v>
      </c>
      <c r="C6" s="353"/>
      <c r="D6" s="353"/>
      <c r="E6" s="353"/>
    </row>
    <row r="7" spans="2:5" ht="14.25">
      <c r="B7" s="139"/>
      <c r="C7" s="139"/>
      <c r="D7" s="139"/>
      <c r="E7" s="139"/>
    </row>
    <row r="8" spans="2:5" ht="13.5">
      <c r="B8" s="355" t="s">
        <v>18</v>
      </c>
      <c r="C8" s="357"/>
      <c r="D8" s="357"/>
      <c r="E8" s="357"/>
    </row>
    <row r="9" spans="2:5" ht="16.5" thickBot="1">
      <c r="B9" s="354" t="s">
        <v>103</v>
      </c>
      <c r="C9" s="354"/>
      <c r="D9" s="354"/>
      <c r="E9" s="354"/>
    </row>
    <row r="10" spans="2:5" ht="13.5" thickBot="1">
      <c r="B10" s="140"/>
      <c r="C10" s="76" t="s">
        <v>2</v>
      </c>
      <c r="D10" s="70" t="s">
        <v>245</v>
      </c>
      <c r="E10" s="255" t="s">
        <v>265</v>
      </c>
    </row>
    <row r="11" spans="2:5">
      <c r="B11" s="90" t="s">
        <v>3</v>
      </c>
      <c r="C11" s="128" t="s">
        <v>109</v>
      </c>
      <c r="D11" s="227">
        <v>858890.75</v>
      </c>
      <c r="E11" s="228">
        <f>SUM(E12:E14)</f>
        <v>678751.03</v>
      </c>
    </row>
    <row r="12" spans="2:5">
      <c r="B12" s="173" t="s">
        <v>4</v>
      </c>
      <c r="C12" s="174" t="s">
        <v>5</v>
      </c>
      <c r="D12" s="241">
        <v>858890.75</v>
      </c>
      <c r="E12" s="245">
        <v>678751.03</v>
      </c>
    </row>
    <row r="13" spans="2:5">
      <c r="B13" s="173" t="s">
        <v>6</v>
      </c>
      <c r="C13" s="175" t="s">
        <v>7</v>
      </c>
      <c r="D13" s="237"/>
      <c r="E13" s="246"/>
    </row>
    <row r="14" spans="2:5">
      <c r="B14" s="173" t="s">
        <v>8</v>
      </c>
      <c r="C14" s="175" t="s">
        <v>10</v>
      </c>
      <c r="D14" s="237"/>
      <c r="E14" s="246"/>
    </row>
    <row r="15" spans="2:5">
      <c r="B15" s="173" t="s">
        <v>106</v>
      </c>
      <c r="C15" s="175" t="s">
        <v>11</v>
      </c>
      <c r="D15" s="237"/>
      <c r="E15" s="246"/>
    </row>
    <row r="16" spans="2:5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858890.75</v>
      </c>
      <c r="E21" s="148">
        <f>E11-E17</f>
        <v>678751.03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342366.49</v>
      </c>
      <c r="E26" s="217">
        <f>D21</f>
        <v>858890.75</v>
      </c>
    </row>
    <row r="27" spans="2:6">
      <c r="B27" s="9" t="s">
        <v>17</v>
      </c>
      <c r="C27" s="10" t="s">
        <v>111</v>
      </c>
      <c r="D27" s="323">
        <v>458000.12</v>
      </c>
      <c r="E27" s="274">
        <v>-220006.44</v>
      </c>
      <c r="F27" s="71"/>
    </row>
    <row r="28" spans="2:6">
      <c r="B28" s="9" t="s">
        <v>18</v>
      </c>
      <c r="C28" s="10" t="s">
        <v>19</v>
      </c>
      <c r="D28" s="323">
        <v>487420.2</v>
      </c>
      <c r="E28" s="275"/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>
        <v>487420.2</v>
      </c>
      <c r="E31" s="276"/>
      <c r="F31" s="71"/>
    </row>
    <row r="32" spans="2:6">
      <c r="B32" s="92" t="s">
        <v>23</v>
      </c>
      <c r="C32" s="11" t="s">
        <v>24</v>
      </c>
      <c r="D32" s="323">
        <v>29420.080000000002</v>
      </c>
      <c r="E32" s="275">
        <v>220006.44</v>
      </c>
      <c r="F32" s="71"/>
    </row>
    <row r="33" spans="2:6">
      <c r="B33" s="181" t="s">
        <v>4</v>
      </c>
      <c r="C33" s="174" t="s">
        <v>25</v>
      </c>
      <c r="D33" s="324">
        <v>22663.54</v>
      </c>
      <c r="E33" s="276"/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981.21</v>
      </c>
      <c r="E35" s="276">
        <v>2206.5500000000002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5775.33</v>
      </c>
      <c r="E37" s="276">
        <v>10145.959999999999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>
        <v>207653.93</v>
      </c>
      <c r="F39" s="71"/>
    </row>
    <row r="40" spans="2:6" ht="13.5" thickBot="1">
      <c r="B40" s="97" t="s">
        <v>35</v>
      </c>
      <c r="C40" s="98" t="s">
        <v>36</v>
      </c>
      <c r="D40" s="326">
        <v>58524.14</v>
      </c>
      <c r="E40" s="279">
        <v>39866.720000000001</v>
      </c>
    </row>
    <row r="41" spans="2:6" ht="13.5" thickBot="1">
      <c r="B41" s="99" t="s">
        <v>37</v>
      </c>
      <c r="C41" s="100" t="s">
        <v>38</v>
      </c>
      <c r="D41" s="327">
        <v>858890.75</v>
      </c>
      <c r="E41" s="148">
        <f>E26+E27+E40</f>
        <v>678751.03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18506.296999999999</v>
      </c>
      <c r="E47" s="149">
        <v>40210.241000000002</v>
      </c>
    </row>
    <row r="48" spans="2:6">
      <c r="B48" s="186" t="s">
        <v>6</v>
      </c>
      <c r="C48" s="187" t="s">
        <v>41</v>
      </c>
      <c r="D48" s="200">
        <v>40210.241000000002</v>
      </c>
      <c r="E48" s="149">
        <v>29927.294000000002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84" t="s">
        <v>4</v>
      </c>
      <c r="C50" s="185" t="s">
        <v>40</v>
      </c>
      <c r="D50" s="200">
        <v>18.5</v>
      </c>
      <c r="E50" s="149">
        <v>21.36</v>
      </c>
    </row>
    <row r="51" spans="2:5">
      <c r="B51" s="184" t="s">
        <v>6</v>
      </c>
      <c r="C51" s="185" t="s">
        <v>114</v>
      </c>
      <c r="D51" s="200">
        <v>18.490000000000002</v>
      </c>
      <c r="E51" s="75">
        <v>17.02</v>
      </c>
    </row>
    <row r="52" spans="2:5">
      <c r="B52" s="184" t="s">
        <v>8</v>
      </c>
      <c r="C52" s="185" t="s">
        <v>115</v>
      </c>
      <c r="D52" s="200">
        <v>21.59</v>
      </c>
      <c r="E52" s="75">
        <v>22.68</v>
      </c>
    </row>
    <row r="53" spans="2:5" ht="12.75" customHeight="1" thickBot="1">
      <c r="B53" s="188" t="s">
        <v>9</v>
      </c>
      <c r="C53" s="189" t="s">
        <v>41</v>
      </c>
      <c r="D53" s="202">
        <v>21.36</v>
      </c>
      <c r="E53" s="280">
        <v>22.68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8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678751.03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678751.03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678751.03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678751.03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0"/>
  <dimension ref="A1:G81"/>
  <sheetViews>
    <sheetView topLeftCell="A13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7"/>
      <c r="C4" s="147"/>
      <c r="D4" s="147"/>
      <c r="E4" s="147"/>
    </row>
    <row r="5" spans="2:7" ht="14.25">
      <c r="B5" s="352" t="s">
        <v>1</v>
      </c>
      <c r="C5" s="352"/>
      <c r="D5" s="352"/>
      <c r="E5" s="352"/>
    </row>
    <row r="6" spans="2:7" ht="14.25">
      <c r="B6" s="353" t="s">
        <v>208</v>
      </c>
      <c r="C6" s="353"/>
      <c r="D6" s="353"/>
      <c r="E6" s="353"/>
    </row>
    <row r="7" spans="2:7" ht="14.25">
      <c r="B7" s="164"/>
      <c r="C7" s="164"/>
      <c r="D7" s="164"/>
      <c r="E7" s="164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65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1707497.05</v>
      </c>
      <c r="E11" s="228">
        <f>SUM(E12:E14)</f>
        <v>115854.54</v>
      </c>
    </row>
    <row r="12" spans="2:7">
      <c r="B12" s="173" t="s">
        <v>4</v>
      </c>
      <c r="C12" s="174" t="s">
        <v>5</v>
      </c>
      <c r="D12" s="241">
        <v>1707497.05</v>
      </c>
      <c r="E12" s="245">
        <v>115854.54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1707497.05</v>
      </c>
      <c r="E21" s="148">
        <f>E11-E17</f>
        <v>115854.54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1390286.91</v>
      </c>
      <c r="E26" s="217">
        <f>D21</f>
        <v>1707497.05</v>
      </c>
    </row>
    <row r="27" spans="2:6">
      <c r="B27" s="9" t="s">
        <v>17</v>
      </c>
      <c r="C27" s="10" t="s">
        <v>111</v>
      </c>
      <c r="D27" s="323">
        <v>-26306.17</v>
      </c>
      <c r="E27" s="274">
        <v>-1529350.31</v>
      </c>
      <c r="F27" s="71"/>
    </row>
    <row r="28" spans="2:6">
      <c r="B28" s="9" t="s">
        <v>18</v>
      </c>
      <c r="C28" s="10" t="s">
        <v>19</v>
      </c>
      <c r="D28" s="323"/>
      <c r="E28" s="275"/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26306.17</v>
      </c>
      <c r="E32" s="275">
        <v>1529350.31</v>
      </c>
      <c r="F32" s="71"/>
    </row>
    <row r="33" spans="2:6">
      <c r="B33" s="181" t="s">
        <v>4</v>
      </c>
      <c r="C33" s="174" t="s">
        <v>25</v>
      </c>
      <c r="D33" s="324"/>
      <c r="E33" s="276"/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1031.3399999999999</v>
      </c>
      <c r="E35" s="276">
        <v>1129.26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25274.83</v>
      </c>
      <c r="E37" s="276">
        <v>6985.45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>
        <v>1521235.6</v>
      </c>
      <c r="F39" s="71"/>
    </row>
    <row r="40" spans="2:6" ht="13.5" thickBot="1">
      <c r="B40" s="97" t="s">
        <v>35</v>
      </c>
      <c r="C40" s="98" t="s">
        <v>36</v>
      </c>
      <c r="D40" s="326">
        <v>343516.31</v>
      </c>
      <c r="E40" s="279">
        <v>-62292.2</v>
      </c>
    </row>
    <row r="41" spans="2:6" ht="13.5" thickBot="1">
      <c r="B41" s="99" t="s">
        <v>37</v>
      </c>
      <c r="C41" s="100" t="s">
        <v>38</v>
      </c>
      <c r="D41" s="327">
        <v>1707497.05</v>
      </c>
      <c r="E41" s="148">
        <f>E26+E27+E40</f>
        <v>115854.54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135110.48699999999</v>
      </c>
      <c r="E47" s="149">
        <v>132879.14799999999</v>
      </c>
    </row>
    <row r="48" spans="2:6">
      <c r="B48" s="186" t="s">
        <v>6</v>
      </c>
      <c r="C48" s="187" t="s">
        <v>41</v>
      </c>
      <c r="D48" s="200">
        <v>132879.14799999999</v>
      </c>
      <c r="E48" s="149">
        <v>8383.107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84" t="s">
        <v>4</v>
      </c>
      <c r="C50" s="185" t="s">
        <v>40</v>
      </c>
      <c r="D50" s="200">
        <v>10.29</v>
      </c>
      <c r="E50" s="149">
        <v>12.85</v>
      </c>
    </row>
    <row r="51" spans="2:5">
      <c r="B51" s="184" t="s">
        <v>6</v>
      </c>
      <c r="C51" s="185" t="s">
        <v>114</v>
      </c>
      <c r="D51" s="200">
        <v>10.29</v>
      </c>
      <c r="E51" s="75">
        <v>8.6999999999999993</v>
      </c>
    </row>
    <row r="52" spans="2:5">
      <c r="B52" s="184" t="s">
        <v>8</v>
      </c>
      <c r="C52" s="185" t="s">
        <v>115</v>
      </c>
      <c r="D52" s="200">
        <v>12.87</v>
      </c>
      <c r="E52" s="75">
        <v>13.84</v>
      </c>
    </row>
    <row r="53" spans="2:5" ht="13.5" thickBot="1">
      <c r="B53" s="188" t="s">
        <v>9</v>
      </c>
      <c r="C53" s="189" t="s">
        <v>41</v>
      </c>
      <c r="D53" s="202">
        <v>12.85</v>
      </c>
      <c r="E53" s="280">
        <v>13.82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4.25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115854.54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115854.54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115854.54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115854.54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6:E56"/>
    <mergeCell ref="B57:C57"/>
    <mergeCell ref="B21:C21"/>
    <mergeCell ref="B23:E23"/>
    <mergeCell ref="B24:E24"/>
    <mergeCell ref="B43:E43"/>
    <mergeCell ref="B44:E44"/>
    <mergeCell ref="B55:E55"/>
    <mergeCell ref="B9:E9"/>
    <mergeCell ref="B2:E2"/>
    <mergeCell ref="B3:E3"/>
    <mergeCell ref="B5:E5"/>
    <mergeCell ref="B6:E6"/>
    <mergeCell ref="B8:E8"/>
  </mergeCells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1"/>
  <dimension ref="A1:G81"/>
  <sheetViews>
    <sheetView topLeftCell="A13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7"/>
      <c r="C4" s="147"/>
      <c r="D4" s="147"/>
      <c r="E4" s="147"/>
    </row>
    <row r="5" spans="2:7" ht="14.25">
      <c r="B5" s="352" t="s">
        <v>1</v>
      </c>
      <c r="C5" s="352"/>
      <c r="D5" s="352"/>
      <c r="E5" s="352"/>
    </row>
    <row r="6" spans="2:7" ht="14.25">
      <c r="B6" s="353" t="s">
        <v>209</v>
      </c>
      <c r="C6" s="353"/>
      <c r="D6" s="353"/>
      <c r="E6" s="353"/>
    </row>
    <row r="7" spans="2:7" ht="14.25">
      <c r="B7" s="197"/>
      <c r="C7" s="197"/>
      <c r="D7" s="197"/>
      <c r="E7" s="197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98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1389309.54</v>
      </c>
      <c r="E11" s="228">
        <f>SUM(E12:E14)</f>
        <v>548513.01</v>
      </c>
    </row>
    <row r="12" spans="2:7">
      <c r="B12" s="173" t="s">
        <v>4</v>
      </c>
      <c r="C12" s="174" t="s">
        <v>5</v>
      </c>
      <c r="D12" s="241">
        <v>1389309.54</v>
      </c>
      <c r="E12" s="245">
        <v>548513.01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1389309.54</v>
      </c>
      <c r="E21" s="148">
        <f>E11-E17</f>
        <v>548513.01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1286523.32</v>
      </c>
      <c r="E26" s="217">
        <f>D21</f>
        <v>1389309.54</v>
      </c>
    </row>
    <row r="27" spans="2:6">
      <c r="B27" s="9" t="s">
        <v>17</v>
      </c>
      <c r="C27" s="10" t="s">
        <v>111</v>
      </c>
      <c r="D27" s="323">
        <v>-22581.030000000002</v>
      </c>
      <c r="E27" s="274">
        <v>-839323.23</v>
      </c>
      <c r="F27" s="71"/>
    </row>
    <row r="28" spans="2:6">
      <c r="B28" s="9" t="s">
        <v>18</v>
      </c>
      <c r="C28" s="10" t="s">
        <v>19</v>
      </c>
      <c r="D28" s="323"/>
      <c r="E28" s="275"/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22581.030000000002</v>
      </c>
      <c r="E32" s="275">
        <v>839323.23</v>
      </c>
      <c r="F32" s="71"/>
    </row>
    <row r="33" spans="2:6">
      <c r="B33" s="181" t="s">
        <v>4</v>
      </c>
      <c r="C33" s="174" t="s">
        <v>25</v>
      </c>
      <c r="D33" s="324"/>
      <c r="E33" s="276"/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848.9</v>
      </c>
      <c r="E35" s="276">
        <v>1899.99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21732.13</v>
      </c>
      <c r="E37" s="276">
        <v>12002.84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>
        <v>825420.4</v>
      </c>
      <c r="F39" s="71"/>
    </row>
    <row r="40" spans="2:6" ht="13.5" thickBot="1">
      <c r="B40" s="97" t="s">
        <v>35</v>
      </c>
      <c r="C40" s="98" t="s">
        <v>36</v>
      </c>
      <c r="D40" s="326">
        <v>125367.25</v>
      </c>
      <c r="E40" s="279">
        <v>-1473.3</v>
      </c>
    </row>
    <row r="41" spans="2:6" ht="13.5" thickBot="1">
      <c r="B41" s="99" t="s">
        <v>37</v>
      </c>
      <c r="C41" s="100" t="s">
        <v>38</v>
      </c>
      <c r="D41" s="327">
        <v>1389309.54</v>
      </c>
      <c r="E41" s="148">
        <f>E26+E27+E40</f>
        <v>548513.01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116744.40300000001</v>
      </c>
      <c r="E47" s="149">
        <v>114818.97</v>
      </c>
    </row>
    <row r="48" spans="2:6">
      <c r="B48" s="186" t="s">
        <v>6</v>
      </c>
      <c r="C48" s="187" t="s">
        <v>41</v>
      </c>
      <c r="D48" s="200">
        <v>114818.97</v>
      </c>
      <c r="E48" s="149">
        <v>45369.148999999998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84" t="s">
        <v>4</v>
      </c>
      <c r="C50" s="185" t="s">
        <v>40</v>
      </c>
      <c r="D50" s="200">
        <v>11.02</v>
      </c>
      <c r="E50" s="149">
        <v>12.1</v>
      </c>
    </row>
    <row r="51" spans="2:5">
      <c r="B51" s="184" t="s">
        <v>6</v>
      </c>
      <c r="C51" s="185" t="s">
        <v>114</v>
      </c>
      <c r="D51" s="200">
        <v>11.01</v>
      </c>
      <c r="E51" s="75">
        <v>9.7100000000000009</v>
      </c>
    </row>
    <row r="52" spans="2:5">
      <c r="B52" s="184" t="s">
        <v>8</v>
      </c>
      <c r="C52" s="185" t="s">
        <v>115</v>
      </c>
      <c r="D52" s="200">
        <v>12.11</v>
      </c>
      <c r="E52" s="75">
        <v>12.3</v>
      </c>
    </row>
    <row r="53" spans="2:5" ht="13.5" thickBot="1">
      <c r="B53" s="188" t="s">
        <v>9</v>
      </c>
      <c r="C53" s="189" t="s">
        <v>41</v>
      </c>
      <c r="D53" s="202">
        <v>12.1</v>
      </c>
      <c r="E53" s="280">
        <v>12.09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4.25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548513.01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548513.01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548513.01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548513.01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6:E56"/>
    <mergeCell ref="B57:C57"/>
    <mergeCell ref="B21:C21"/>
    <mergeCell ref="B23:E23"/>
    <mergeCell ref="B24:E24"/>
    <mergeCell ref="B43:E43"/>
    <mergeCell ref="B44:E44"/>
    <mergeCell ref="B55:E55"/>
    <mergeCell ref="B9:E9"/>
    <mergeCell ref="B2:E2"/>
    <mergeCell ref="B3:E3"/>
    <mergeCell ref="B5:E5"/>
    <mergeCell ref="B6:E6"/>
    <mergeCell ref="B8:E8"/>
  </mergeCells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2"/>
  <dimension ref="A1:G81"/>
  <sheetViews>
    <sheetView topLeftCell="A16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1"/>
      <c r="C4" s="141"/>
      <c r="D4" s="141"/>
      <c r="E4" s="141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210</v>
      </c>
      <c r="C6" s="353"/>
      <c r="D6" s="353"/>
      <c r="E6" s="353"/>
    </row>
    <row r="7" spans="2:7" ht="14.25">
      <c r="B7" s="139"/>
      <c r="C7" s="139"/>
      <c r="D7" s="139"/>
      <c r="E7" s="13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40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117066.88</v>
      </c>
      <c r="E11" s="228">
        <f>SUM(E12:E14)</f>
        <v>20567.25</v>
      </c>
    </row>
    <row r="12" spans="2:7">
      <c r="B12" s="173" t="s">
        <v>4</v>
      </c>
      <c r="C12" s="174" t="s">
        <v>5</v>
      </c>
      <c r="D12" s="241">
        <v>117066.88</v>
      </c>
      <c r="E12" s="245">
        <v>20567.25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117066.88</v>
      </c>
      <c r="E21" s="148">
        <f>E11-E17</f>
        <v>20567.25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4881.57</v>
      </c>
      <c r="E26" s="217">
        <f>D21</f>
        <v>117066.88</v>
      </c>
    </row>
    <row r="27" spans="2:6">
      <c r="B27" s="9" t="s">
        <v>17</v>
      </c>
      <c r="C27" s="10" t="s">
        <v>111</v>
      </c>
      <c r="D27" s="323">
        <v>108524.17000000001</v>
      </c>
      <c r="E27" s="274">
        <f>E28-E32</f>
        <v>-96511.51999999999</v>
      </c>
      <c r="F27" s="71"/>
    </row>
    <row r="28" spans="2:6">
      <c r="B28" s="9" t="s">
        <v>18</v>
      </c>
      <c r="C28" s="10" t="s">
        <v>19</v>
      </c>
      <c r="D28" s="323">
        <v>223840.77</v>
      </c>
      <c r="E28" s="275">
        <v>85948.22</v>
      </c>
      <c r="F28" s="71"/>
    </row>
    <row r="29" spans="2:6">
      <c r="B29" s="181" t="s">
        <v>4</v>
      </c>
      <c r="C29" s="174" t="s">
        <v>20</v>
      </c>
      <c r="D29" s="324">
        <v>730.11</v>
      </c>
      <c r="E29" s="276">
        <v>316.99</v>
      </c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>
        <v>223110.66</v>
      </c>
      <c r="E31" s="276">
        <v>85631.23</v>
      </c>
      <c r="F31" s="71"/>
    </row>
    <row r="32" spans="2:6">
      <c r="B32" s="92" t="s">
        <v>23</v>
      </c>
      <c r="C32" s="11" t="s">
        <v>24</v>
      </c>
      <c r="D32" s="323">
        <v>115316.59999999998</v>
      </c>
      <c r="E32" s="275">
        <f>SUM(E33:E39)</f>
        <v>182459.74</v>
      </c>
      <c r="F32" s="71"/>
    </row>
    <row r="33" spans="2:6">
      <c r="B33" s="181" t="s">
        <v>4</v>
      </c>
      <c r="C33" s="174" t="s">
        <v>25</v>
      </c>
      <c r="D33" s="324">
        <v>3399.29</v>
      </c>
      <c r="E33" s="276">
        <f>16723.67+174.74</f>
        <v>16898.41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174.17</v>
      </c>
      <c r="E35" s="276">
        <v>151.06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214.58</v>
      </c>
      <c r="E37" s="276">
        <v>135.52000000000001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>
        <v>111528.55999999998</v>
      </c>
      <c r="E39" s="277">
        <v>165274.75</v>
      </c>
      <c r="F39" s="71"/>
    </row>
    <row r="40" spans="2:6" ht="13.5" thickBot="1">
      <c r="B40" s="97" t="s">
        <v>35</v>
      </c>
      <c r="C40" s="98" t="s">
        <v>36</v>
      </c>
      <c r="D40" s="326">
        <v>3661.14</v>
      </c>
      <c r="E40" s="279">
        <v>11.89</v>
      </c>
    </row>
    <row r="41" spans="2:6" ht="13.5" thickBot="1">
      <c r="B41" s="99" t="s">
        <v>37</v>
      </c>
      <c r="C41" s="100" t="s">
        <v>38</v>
      </c>
      <c r="D41" s="327">
        <v>117066.88000000002</v>
      </c>
      <c r="E41" s="148">
        <f>E26+E27+E40</f>
        <v>20567.250000000015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50.686</v>
      </c>
      <c r="E47" s="149">
        <v>1015.9410000000001</v>
      </c>
    </row>
    <row r="48" spans="2:6">
      <c r="B48" s="186" t="s">
        <v>6</v>
      </c>
      <c r="C48" s="187" t="s">
        <v>41</v>
      </c>
      <c r="D48" s="200">
        <v>1015.9410000000001</v>
      </c>
      <c r="E48" s="149">
        <v>185.37400000000002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84" t="s">
        <v>4</v>
      </c>
      <c r="C50" s="185" t="s">
        <v>40</v>
      </c>
      <c r="D50" s="200">
        <v>96.31</v>
      </c>
      <c r="E50" s="149">
        <v>115.23</v>
      </c>
    </row>
    <row r="51" spans="2:5">
      <c r="B51" s="184" t="s">
        <v>6</v>
      </c>
      <c r="C51" s="185" t="s">
        <v>114</v>
      </c>
      <c r="D51" s="200">
        <v>94.75</v>
      </c>
      <c r="E51" s="149">
        <v>77.8</v>
      </c>
    </row>
    <row r="52" spans="2:5">
      <c r="B52" s="184" t="s">
        <v>8</v>
      </c>
      <c r="C52" s="185" t="s">
        <v>115</v>
      </c>
      <c r="D52" s="200">
        <v>115.74</v>
      </c>
      <c r="E52" s="75">
        <v>119.11</v>
      </c>
    </row>
    <row r="53" spans="2:5" ht="13.5" customHeight="1" thickBot="1">
      <c r="B53" s="188" t="s">
        <v>9</v>
      </c>
      <c r="C53" s="189" t="s">
        <v>41</v>
      </c>
      <c r="D53" s="202">
        <v>115.23</v>
      </c>
      <c r="E53" s="280">
        <v>110.95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7.2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20567.25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20567.25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20567.25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20567.25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3"/>
  <dimension ref="A1:G81"/>
  <sheetViews>
    <sheetView topLeftCell="A16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1"/>
      <c r="C4" s="141"/>
      <c r="D4" s="141"/>
      <c r="E4" s="141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211</v>
      </c>
      <c r="C6" s="353"/>
      <c r="D6" s="353"/>
      <c r="E6" s="353"/>
    </row>
    <row r="7" spans="2:7" ht="14.25">
      <c r="B7" s="139"/>
      <c r="C7" s="139"/>
      <c r="D7" s="139"/>
      <c r="E7" s="13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40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530572.31000000006</v>
      </c>
      <c r="E11" s="228">
        <f>SUM(E12:E14)</f>
        <v>520801.38999999996</v>
      </c>
    </row>
    <row r="12" spans="2:7">
      <c r="B12" s="173" t="s">
        <v>4</v>
      </c>
      <c r="C12" s="174" t="s">
        <v>5</v>
      </c>
      <c r="D12" s="241">
        <v>530572.31000000006</v>
      </c>
      <c r="E12" s="245">
        <v>520801.38999999996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530572.31000000006</v>
      </c>
      <c r="E21" s="148">
        <f>E11-E17</f>
        <v>520801.38999999996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532372</v>
      </c>
      <c r="E26" s="217">
        <f>D21</f>
        <v>530572.31000000006</v>
      </c>
    </row>
    <row r="27" spans="2:6">
      <c r="B27" s="9" t="s">
        <v>17</v>
      </c>
      <c r="C27" s="10" t="s">
        <v>111</v>
      </c>
      <c r="D27" s="323">
        <v>-12151.459999999948</v>
      </c>
      <c r="E27" s="274">
        <f>E28-E32</f>
        <v>-30075.42</v>
      </c>
      <c r="F27" s="71"/>
    </row>
    <row r="28" spans="2:6">
      <c r="B28" s="9" t="s">
        <v>18</v>
      </c>
      <c r="C28" s="10" t="s">
        <v>19</v>
      </c>
      <c r="D28" s="323">
        <v>67177.22</v>
      </c>
      <c r="E28" s="275">
        <v>36244.86</v>
      </c>
      <c r="F28" s="71"/>
    </row>
    <row r="29" spans="2:6">
      <c r="B29" s="181" t="s">
        <v>4</v>
      </c>
      <c r="C29" s="174" t="s">
        <v>20</v>
      </c>
      <c r="D29" s="324">
        <v>36081.57</v>
      </c>
      <c r="E29" s="276">
        <v>26672.21</v>
      </c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>
        <v>31095.65</v>
      </c>
      <c r="E31" s="276">
        <v>9572.65</v>
      </c>
      <c r="F31" s="71"/>
    </row>
    <row r="32" spans="2:6">
      <c r="B32" s="92" t="s">
        <v>23</v>
      </c>
      <c r="C32" s="11" t="s">
        <v>24</v>
      </c>
      <c r="D32" s="323">
        <v>79328.679999999949</v>
      </c>
      <c r="E32" s="275">
        <f>SUM(E33:E39)</f>
        <v>66320.28</v>
      </c>
      <c r="F32" s="71"/>
    </row>
    <row r="33" spans="2:6">
      <c r="B33" s="181" t="s">
        <v>4</v>
      </c>
      <c r="C33" s="174" t="s">
        <v>25</v>
      </c>
      <c r="D33" s="324">
        <v>62281.35</v>
      </c>
      <c r="E33" s="276">
        <f>8297.79+2665.49</f>
        <v>10963.28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3205.4</v>
      </c>
      <c r="E35" s="276">
        <v>2617.38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8153.86</v>
      </c>
      <c r="E37" s="276">
        <v>7733.28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>
        <v>5688.0699999999442</v>
      </c>
      <c r="E39" s="277">
        <v>45006.34</v>
      </c>
      <c r="F39" s="71"/>
    </row>
    <row r="40" spans="2:6" ht="13.5" thickBot="1">
      <c r="B40" s="97" t="s">
        <v>35</v>
      </c>
      <c r="C40" s="98" t="s">
        <v>36</v>
      </c>
      <c r="D40" s="326">
        <v>10351.77</v>
      </c>
      <c r="E40" s="279">
        <v>20304.5</v>
      </c>
    </row>
    <row r="41" spans="2:6" ht="13.5" thickBot="1">
      <c r="B41" s="99" t="s">
        <v>37</v>
      </c>
      <c r="C41" s="100" t="s">
        <v>38</v>
      </c>
      <c r="D41" s="327">
        <v>530572.31000000006</v>
      </c>
      <c r="E41" s="148">
        <f>E26+E27+E40</f>
        <v>520801.39000000007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2482.7309599999999</v>
      </c>
      <c r="E47" s="149">
        <v>2428.5819999999999</v>
      </c>
    </row>
    <row r="48" spans="2:6">
      <c r="B48" s="186" t="s">
        <v>6</v>
      </c>
      <c r="C48" s="187" t="s">
        <v>41</v>
      </c>
      <c r="D48" s="200">
        <v>2428.5819999999999</v>
      </c>
      <c r="E48" s="149">
        <v>2293.6730000000002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84" t="s">
        <v>4</v>
      </c>
      <c r="C50" s="185" t="s">
        <v>40</v>
      </c>
      <c r="D50" s="200">
        <v>214.43</v>
      </c>
      <c r="E50" s="149">
        <v>218.47</v>
      </c>
    </row>
    <row r="51" spans="2:5">
      <c r="B51" s="184" t="s">
        <v>6</v>
      </c>
      <c r="C51" s="185" t="s">
        <v>114</v>
      </c>
      <c r="D51" s="200">
        <v>214.09</v>
      </c>
      <c r="E51" s="149">
        <v>215.49</v>
      </c>
    </row>
    <row r="52" spans="2:5">
      <c r="B52" s="184" t="s">
        <v>8</v>
      </c>
      <c r="C52" s="185" t="s">
        <v>115</v>
      </c>
      <c r="D52" s="200">
        <v>219.54</v>
      </c>
      <c r="E52" s="75">
        <v>227.16</v>
      </c>
    </row>
    <row r="53" spans="2:5" ht="13.5" thickBot="1">
      <c r="B53" s="188" t="s">
        <v>9</v>
      </c>
      <c r="C53" s="189" t="s">
        <v>41</v>
      </c>
      <c r="D53" s="202">
        <v>218.47</v>
      </c>
      <c r="E53" s="280">
        <v>227.06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4.25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520801.38999999996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24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520801.38999999996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520801.38999999996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520801.38999999996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" right="0.75" top="0.56000000000000005" bottom="0.59" header="0.5" footer="0.5"/>
  <pageSetup paperSize="9" scale="70" orientation="portrait" r:id="rId1"/>
  <headerFooter alignWithMargins="0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4"/>
  <dimension ref="A1:G81"/>
  <sheetViews>
    <sheetView topLeftCell="A16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1"/>
      <c r="C4" s="141"/>
      <c r="D4" s="141"/>
      <c r="E4" s="141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212</v>
      </c>
      <c r="C6" s="353"/>
      <c r="D6" s="353"/>
      <c r="E6" s="353"/>
    </row>
    <row r="7" spans="2:7" ht="14.25">
      <c r="B7" s="139"/>
      <c r="C7" s="139"/>
      <c r="D7" s="139"/>
      <c r="E7" s="13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40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147532.22</v>
      </c>
      <c r="E11" s="228">
        <f>SUM(E12:E14)</f>
        <v>136870.95000000001</v>
      </c>
    </row>
    <row r="12" spans="2:7">
      <c r="B12" s="173" t="s">
        <v>4</v>
      </c>
      <c r="C12" s="174" t="s">
        <v>5</v>
      </c>
      <c r="D12" s="241">
        <v>147532.22</v>
      </c>
      <c r="E12" s="245">
        <v>136870.95000000001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147532.22</v>
      </c>
      <c r="E21" s="148">
        <f>E11-E17</f>
        <v>136870.95000000001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208477.12</v>
      </c>
      <c r="E26" s="217">
        <f>D21</f>
        <v>147532.22</v>
      </c>
    </row>
    <row r="27" spans="2:6">
      <c r="B27" s="9" t="s">
        <v>17</v>
      </c>
      <c r="C27" s="10" t="s">
        <v>111</v>
      </c>
      <c r="D27" s="323">
        <v>-62676.82999999998</v>
      </c>
      <c r="E27" s="274">
        <f>E28-E32</f>
        <v>-9709.7100000000028</v>
      </c>
      <c r="F27" s="71"/>
    </row>
    <row r="28" spans="2:6">
      <c r="B28" s="9" t="s">
        <v>18</v>
      </c>
      <c r="C28" s="10" t="s">
        <v>19</v>
      </c>
      <c r="D28" s="323">
        <v>30892.71</v>
      </c>
      <c r="E28" s="275">
        <v>20497.23</v>
      </c>
      <c r="F28" s="71"/>
    </row>
    <row r="29" spans="2:6">
      <c r="B29" s="181" t="s">
        <v>4</v>
      </c>
      <c r="C29" s="174" t="s">
        <v>20</v>
      </c>
      <c r="D29" s="324">
        <v>23388.93</v>
      </c>
      <c r="E29" s="276">
        <v>20497.23</v>
      </c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>
        <v>7503.78</v>
      </c>
      <c r="E31" s="276"/>
      <c r="F31" s="71"/>
    </row>
    <row r="32" spans="2:6">
      <c r="B32" s="92" t="s">
        <v>23</v>
      </c>
      <c r="C32" s="11" t="s">
        <v>24</v>
      </c>
      <c r="D32" s="323">
        <v>93569.539999999979</v>
      </c>
      <c r="E32" s="275">
        <f>SUM(E33:E39)</f>
        <v>30206.940000000002</v>
      </c>
      <c r="F32" s="71"/>
    </row>
    <row r="33" spans="2:6">
      <c r="B33" s="181" t="s">
        <v>4</v>
      </c>
      <c r="C33" s="174" t="s">
        <v>25</v>
      </c>
      <c r="D33" s="324">
        <v>27988.77</v>
      </c>
      <c r="E33" s="276">
        <f>20179.24+1425.56-0.27</f>
        <v>21604.530000000002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2556.7399999999998</v>
      </c>
      <c r="E35" s="276">
        <v>2097.75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1227.72</v>
      </c>
      <c r="E37" s="276">
        <v>967.67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>
        <v>61796.309999999983</v>
      </c>
      <c r="E39" s="277">
        <v>5536.99</v>
      </c>
      <c r="F39" s="71"/>
    </row>
    <row r="40" spans="2:6" ht="13.5" thickBot="1">
      <c r="B40" s="97" t="s">
        <v>35</v>
      </c>
      <c r="C40" s="98" t="s">
        <v>36</v>
      </c>
      <c r="D40" s="326">
        <v>1731.93</v>
      </c>
      <c r="E40" s="279">
        <v>-951.56</v>
      </c>
    </row>
    <row r="41" spans="2:6" ht="13.5" thickBot="1">
      <c r="B41" s="99" t="s">
        <v>37</v>
      </c>
      <c r="C41" s="100" t="s">
        <v>38</v>
      </c>
      <c r="D41" s="327">
        <v>147532.22</v>
      </c>
      <c r="E41" s="148">
        <f>E26+E27+E40</f>
        <v>136870.95000000001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1300.21903</v>
      </c>
      <c r="E47" s="218">
        <v>914.81499999999994</v>
      </c>
    </row>
    <row r="48" spans="2:6">
      <c r="B48" s="186" t="s">
        <v>6</v>
      </c>
      <c r="C48" s="187" t="s">
        <v>41</v>
      </c>
      <c r="D48" s="200">
        <v>914.81499999999994</v>
      </c>
      <c r="E48" s="218">
        <v>844.25699999999995</v>
      </c>
    </row>
    <row r="49" spans="2:5">
      <c r="B49" s="120" t="s">
        <v>23</v>
      </c>
      <c r="C49" s="124" t="s">
        <v>113</v>
      </c>
      <c r="D49" s="201"/>
      <c r="E49" s="204"/>
    </row>
    <row r="50" spans="2:5">
      <c r="B50" s="184" t="s">
        <v>4</v>
      </c>
      <c r="C50" s="185" t="s">
        <v>40</v>
      </c>
      <c r="D50" s="200">
        <v>160.34</v>
      </c>
      <c r="E50" s="219">
        <v>161.27000000000001</v>
      </c>
    </row>
    <row r="51" spans="2:5">
      <c r="B51" s="184" t="s">
        <v>6</v>
      </c>
      <c r="C51" s="185" t="s">
        <v>114</v>
      </c>
      <c r="D51" s="200">
        <v>158.82</v>
      </c>
      <c r="E51" s="294">
        <v>138.05000000000001</v>
      </c>
    </row>
    <row r="52" spans="2:5">
      <c r="B52" s="184" t="s">
        <v>8</v>
      </c>
      <c r="C52" s="185" t="s">
        <v>115</v>
      </c>
      <c r="D52" s="200">
        <v>163.69</v>
      </c>
      <c r="E52" s="294">
        <v>162.4</v>
      </c>
    </row>
    <row r="53" spans="2:5" ht="13.5" customHeight="1" thickBot="1">
      <c r="B53" s="188" t="s">
        <v>9</v>
      </c>
      <c r="C53" s="189" t="s">
        <v>41</v>
      </c>
      <c r="D53" s="202">
        <v>161.27000000000001</v>
      </c>
      <c r="E53" s="280">
        <v>162.12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7.2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136870.95000000001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4.2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E12</f>
        <v>136870.95000000001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f>E17</f>
        <v>0</v>
      </c>
      <c r="E73" s="26">
        <f>D73/E21</f>
        <v>0</v>
      </c>
    </row>
    <row r="74" spans="2:5">
      <c r="B74" s="130" t="s">
        <v>64</v>
      </c>
      <c r="C74" s="121" t="s">
        <v>66</v>
      </c>
      <c r="D74" s="122">
        <f>D58-D73</f>
        <v>136870.95000000001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136870.95000000001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1" right="0.75" top="0.55000000000000004" bottom="0.46" header="0.5" footer="0.5"/>
  <pageSetup paperSize="9" scale="70" orientation="portrait" r:id="rId1"/>
  <headerFooter alignWithMargins="0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5"/>
  <dimension ref="A1:G81"/>
  <sheetViews>
    <sheetView topLeftCell="A19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1"/>
      <c r="C4" s="141"/>
      <c r="D4" s="141"/>
      <c r="E4" s="141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213</v>
      </c>
      <c r="C6" s="353"/>
      <c r="D6" s="353"/>
      <c r="E6" s="353"/>
    </row>
    <row r="7" spans="2:7" ht="14.25">
      <c r="B7" s="139"/>
      <c r="C7" s="139"/>
      <c r="D7" s="139"/>
      <c r="E7" s="13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40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16934.560000000001</v>
      </c>
      <c r="E11" s="228">
        <f>SUM(E12:E14)</f>
        <v>17248.93</v>
      </c>
    </row>
    <row r="12" spans="2:7">
      <c r="B12" s="173" t="s">
        <v>4</v>
      </c>
      <c r="C12" s="174" t="s">
        <v>5</v>
      </c>
      <c r="D12" s="241">
        <v>16934.560000000001</v>
      </c>
      <c r="E12" s="245">
        <v>17248.93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16934.560000000001</v>
      </c>
      <c r="E21" s="148">
        <f>E11-E17</f>
        <v>17248.93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104822.06</v>
      </c>
      <c r="E26" s="217">
        <f>D21</f>
        <v>16934.560000000001</v>
      </c>
    </row>
    <row r="27" spans="2:6">
      <c r="B27" s="9" t="s">
        <v>17</v>
      </c>
      <c r="C27" s="10" t="s">
        <v>111</v>
      </c>
      <c r="D27" s="323">
        <v>-89992.97</v>
      </c>
      <c r="E27" s="274">
        <f>E28-E32</f>
        <v>263.55999999999949</v>
      </c>
      <c r="F27" s="71"/>
    </row>
    <row r="28" spans="2:6">
      <c r="B28" s="9" t="s">
        <v>18</v>
      </c>
      <c r="C28" s="10" t="s">
        <v>19</v>
      </c>
      <c r="D28" s="323">
        <v>6006.37</v>
      </c>
      <c r="E28" s="275">
        <v>4872.93</v>
      </c>
      <c r="F28" s="71"/>
    </row>
    <row r="29" spans="2:6">
      <c r="B29" s="181" t="s">
        <v>4</v>
      </c>
      <c r="C29" s="174" t="s">
        <v>20</v>
      </c>
      <c r="D29" s="324">
        <v>6006.37</v>
      </c>
      <c r="E29" s="276">
        <v>4872.93</v>
      </c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95999.34</v>
      </c>
      <c r="E32" s="275">
        <f>SUM(E33:E39)</f>
        <v>4609.3700000000008</v>
      </c>
      <c r="F32" s="71"/>
    </row>
    <row r="33" spans="2:6">
      <c r="B33" s="181" t="s">
        <v>4</v>
      </c>
      <c r="C33" s="174" t="s">
        <v>25</v>
      </c>
      <c r="D33" s="324">
        <v>25146.850000000002</v>
      </c>
      <c r="E33" s="276">
        <f>1243.63-6.9-0.35</f>
        <v>1236.3800000000001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462.33</v>
      </c>
      <c r="E35" s="276">
        <v>229.2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341.46</v>
      </c>
      <c r="E37" s="276">
        <v>115.72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>
        <v>70048.7</v>
      </c>
      <c r="E39" s="277">
        <v>3028.07</v>
      </c>
      <c r="F39" s="71"/>
    </row>
    <row r="40" spans="2:6" ht="13.5" thickBot="1">
      <c r="B40" s="97" t="s">
        <v>35</v>
      </c>
      <c r="C40" s="98" t="s">
        <v>36</v>
      </c>
      <c r="D40" s="326">
        <v>2105.4699999999998</v>
      </c>
      <c r="E40" s="279">
        <v>50.81</v>
      </c>
    </row>
    <row r="41" spans="2:6" ht="13.5" thickBot="1">
      <c r="B41" s="99" t="s">
        <v>37</v>
      </c>
      <c r="C41" s="100" t="s">
        <v>38</v>
      </c>
      <c r="D41" s="327">
        <v>16934.559999999998</v>
      </c>
      <c r="E41" s="148">
        <f>E26+E27+E40</f>
        <v>17248.930000000004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763.28594999999996</v>
      </c>
      <c r="E47" s="149">
        <v>123.854</v>
      </c>
    </row>
    <row r="48" spans="2:6">
      <c r="B48" s="186" t="s">
        <v>6</v>
      </c>
      <c r="C48" s="187" t="s">
        <v>41</v>
      </c>
      <c r="D48" s="200">
        <v>123.854</v>
      </c>
      <c r="E48" s="149">
        <v>127.383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84" t="s">
        <v>4</v>
      </c>
      <c r="C50" s="185" t="s">
        <v>40</v>
      </c>
      <c r="D50" s="200">
        <v>137.33000000000001</v>
      </c>
      <c r="E50" s="149">
        <v>136.72999999999999</v>
      </c>
    </row>
    <row r="51" spans="2:5">
      <c r="B51" s="184" t="s">
        <v>6</v>
      </c>
      <c r="C51" s="185" t="s">
        <v>114</v>
      </c>
      <c r="D51" s="200">
        <v>133.77000000000001</v>
      </c>
      <c r="E51" s="149">
        <v>106.65</v>
      </c>
    </row>
    <row r="52" spans="2:5">
      <c r="B52" s="184" t="s">
        <v>8</v>
      </c>
      <c r="C52" s="185" t="s">
        <v>115</v>
      </c>
      <c r="D52" s="200">
        <v>142.28</v>
      </c>
      <c r="E52" s="75">
        <v>138.30000000000001</v>
      </c>
    </row>
    <row r="53" spans="2:5" ht="12.75" customHeight="1" thickBot="1">
      <c r="B53" s="188" t="s">
        <v>9</v>
      </c>
      <c r="C53" s="189" t="s">
        <v>41</v>
      </c>
      <c r="D53" s="202">
        <v>136.72999999999999</v>
      </c>
      <c r="E53" s="280">
        <v>135.41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4.25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17248.93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2.7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17248.93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17248.93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17248.93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" right="0.75" top="0.59" bottom="0.49" header="0.5" footer="0.5"/>
  <pageSetup paperSize="9" scale="70" orientation="portrait" r:id="rId1"/>
  <headerFooter alignWithMargins="0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6"/>
  <dimension ref="A1:G81"/>
  <sheetViews>
    <sheetView topLeftCell="A16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1"/>
      <c r="C4" s="141"/>
      <c r="D4" s="141"/>
      <c r="E4" s="141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214</v>
      </c>
      <c r="C6" s="353"/>
      <c r="D6" s="353"/>
      <c r="E6" s="353"/>
    </row>
    <row r="7" spans="2:7" ht="14.25">
      <c r="B7" s="139"/>
      <c r="C7" s="139"/>
      <c r="D7" s="139"/>
      <c r="E7" s="13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40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73412.56</v>
      </c>
      <c r="E11" s="228">
        <f>SUM(E12:E14)</f>
        <v>53874.05</v>
      </c>
    </row>
    <row r="12" spans="2:7">
      <c r="B12" s="173" t="s">
        <v>4</v>
      </c>
      <c r="C12" s="174" t="s">
        <v>5</v>
      </c>
      <c r="D12" s="241">
        <v>73412.56</v>
      </c>
      <c r="E12" s="245">
        <v>53874.05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73412.56</v>
      </c>
      <c r="E21" s="148">
        <f>E11-E17</f>
        <v>53874.05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101938.44</v>
      </c>
      <c r="E26" s="217">
        <f>D21</f>
        <v>73412.56</v>
      </c>
    </row>
    <row r="27" spans="2:6">
      <c r="B27" s="9" t="s">
        <v>17</v>
      </c>
      <c r="C27" s="10" t="s">
        <v>111</v>
      </c>
      <c r="D27" s="323">
        <v>-22315.98</v>
      </c>
      <c r="E27" s="274">
        <v>-13614.81</v>
      </c>
      <c r="F27" s="71"/>
    </row>
    <row r="28" spans="2:6">
      <c r="B28" s="9" t="s">
        <v>18</v>
      </c>
      <c r="C28" s="10" t="s">
        <v>19</v>
      </c>
      <c r="D28" s="323">
        <v>0</v>
      </c>
      <c r="E28" s="276">
        <v>47916.959999999999</v>
      </c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>
        <v>47916.959999999999</v>
      </c>
      <c r="F31" s="71"/>
    </row>
    <row r="32" spans="2:6">
      <c r="B32" s="92" t="s">
        <v>23</v>
      </c>
      <c r="C32" s="11" t="s">
        <v>24</v>
      </c>
      <c r="D32" s="323">
        <v>22315.98</v>
      </c>
      <c r="E32" s="275">
        <v>61531.77</v>
      </c>
      <c r="F32" s="71"/>
    </row>
    <row r="33" spans="2:6">
      <c r="B33" s="181" t="s">
        <v>4</v>
      </c>
      <c r="C33" s="174" t="s">
        <v>25</v>
      </c>
      <c r="D33" s="324"/>
      <c r="E33" s="276">
        <v>12483.06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853.77</v>
      </c>
      <c r="E35" s="276">
        <v>567.41999999999996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1767.22</v>
      </c>
      <c r="E37" s="276">
        <v>485.29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>
        <v>19694.990000000002</v>
      </c>
      <c r="E39" s="277">
        <v>47996</v>
      </c>
      <c r="F39" s="71"/>
    </row>
    <row r="40" spans="2:6" ht="13.5" thickBot="1">
      <c r="B40" s="97" t="s">
        <v>35</v>
      </c>
      <c r="C40" s="98" t="s">
        <v>36</v>
      </c>
      <c r="D40" s="326">
        <v>-6209.9</v>
      </c>
      <c r="E40" s="279">
        <v>-5923.7</v>
      </c>
    </row>
    <row r="41" spans="2:6" ht="13.5" thickBot="1">
      <c r="B41" s="99" t="s">
        <v>37</v>
      </c>
      <c r="C41" s="100" t="s">
        <v>38</v>
      </c>
      <c r="D41" s="327">
        <v>73412.560000000012</v>
      </c>
      <c r="E41" s="148">
        <f>E26+E27+E40</f>
        <v>53874.05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999.88660000000004</v>
      </c>
      <c r="E47" s="149">
        <v>766.07069999999999</v>
      </c>
    </row>
    <row r="48" spans="2:6">
      <c r="B48" s="186" t="s">
        <v>6</v>
      </c>
      <c r="C48" s="187" t="s">
        <v>41</v>
      </c>
      <c r="D48" s="200">
        <v>766.07069999999999</v>
      </c>
      <c r="E48" s="149">
        <v>954.70579999999995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84" t="s">
        <v>4</v>
      </c>
      <c r="C50" s="185" t="s">
        <v>40</v>
      </c>
      <c r="D50" s="200">
        <v>101.95</v>
      </c>
      <c r="E50" s="149">
        <v>95.83</v>
      </c>
    </row>
    <row r="51" spans="2:5">
      <c r="B51" s="184" t="s">
        <v>6</v>
      </c>
      <c r="C51" s="185" t="s">
        <v>114</v>
      </c>
      <c r="D51" s="200">
        <v>92.57</v>
      </c>
      <c r="E51" s="149">
        <v>49.4</v>
      </c>
    </row>
    <row r="52" spans="2:5">
      <c r="B52" s="184" t="s">
        <v>8</v>
      </c>
      <c r="C52" s="185" t="s">
        <v>115</v>
      </c>
      <c r="D52" s="200">
        <v>107.57000000000001</v>
      </c>
      <c r="E52" s="75">
        <v>56.83</v>
      </c>
    </row>
    <row r="53" spans="2:5" ht="14.25" customHeight="1" thickBot="1">
      <c r="B53" s="188" t="s">
        <v>9</v>
      </c>
      <c r="C53" s="189" t="s">
        <v>41</v>
      </c>
      <c r="D53" s="202">
        <v>95.83</v>
      </c>
      <c r="E53" s="280">
        <v>56.43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5.7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53874.05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53874.05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53874.05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53874.05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pageSetUpPr fitToPage="1"/>
  </sheetPr>
  <dimension ref="A1:F81"/>
  <sheetViews>
    <sheetView zoomScale="80" zoomScaleNormal="80" workbookViewId="0">
      <selection activeCell="M26" sqref="M2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4" width="17.85546875" style="84" customWidth="1"/>
    <col min="5" max="5" width="17.140625" style="84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1" t="s">
        <v>0</v>
      </c>
      <c r="C2" s="351"/>
      <c r="D2" s="351"/>
      <c r="E2" s="351"/>
    </row>
    <row r="3" spans="2:5" ht="15.75">
      <c r="B3" s="351" t="s">
        <v>271</v>
      </c>
      <c r="C3" s="351"/>
      <c r="D3" s="351"/>
      <c r="E3" s="351"/>
    </row>
    <row r="4" spans="2:5" ht="15">
      <c r="B4" s="85"/>
      <c r="C4" s="85"/>
      <c r="D4" s="85"/>
      <c r="E4" s="85"/>
    </row>
    <row r="5" spans="2:5" ht="21" customHeight="1">
      <c r="B5" s="352" t="s">
        <v>1</v>
      </c>
      <c r="C5" s="352"/>
      <c r="D5" s="352"/>
      <c r="E5" s="352"/>
    </row>
    <row r="6" spans="2:5" ht="14.25">
      <c r="B6" s="353" t="s">
        <v>102</v>
      </c>
      <c r="C6" s="353"/>
      <c r="D6" s="353"/>
      <c r="E6" s="353"/>
    </row>
    <row r="7" spans="2:5" ht="14.25">
      <c r="B7" s="89"/>
      <c r="C7" s="89"/>
      <c r="D7" s="89"/>
      <c r="E7" s="89"/>
    </row>
    <row r="8" spans="2:5" ht="13.5">
      <c r="B8" s="355" t="s">
        <v>18</v>
      </c>
      <c r="C8" s="357"/>
      <c r="D8" s="357"/>
      <c r="E8" s="357"/>
    </row>
    <row r="9" spans="2:5" ht="16.5" thickBot="1">
      <c r="B9" s="354" t="s">
        <v>103</v>
      </c>
      <c r="C9" s="354"/>
      <c r="D9" s="354"/>
      <c r="E9" s="354"/>
    </row>
    <row r="10" spans="2:5" ht="13.5" thickBot="1">
      <c r="B10" s="86"/>
      <c r="C10" s="76" t="s">
        <v>2</v>
      </c>
      <c r="D10" s="70" t="s">
        <v>245</v>
      </c>
      <c r="E10" s="255" t="s">
        <v>265</v>
      </c>
    </row>
    <row r="11" spans="2:5">
      <c r="B11" s="90" t="s">
        <v>3</v>
      </c>
      <c r="C11" s="128" t="s">
        <v>109</v>
      </c>
      <c r="D11" s="227">
        <v>1099707.0399999998</v>
      </c>
      <c r="E11" s="228">
        <f>SUM(E12:E14)</f>
        <v>1221632.1500000001</v>
      </c>
    </row>
    <row r="12" spans="2:5">
      <c r="B12" s="106" t="s">
        <v>4</v>
      </c>
      <c r="C12" s="6" t="s">
        <v>5</v>
      </c>
      <c r="D12" s="241">
        <v>1098820.5899999999</v>
      </c>
      <c r="E12" s="245">
        <f>1108105.8+112493.09-598.76</f>
        <v>1220000.1300000001</v>
      </c>
    </row>
    <row r="13" spans="2:5">
      <c r="B13" s="106" t="s">
        <v>6</v>
      </c>
      <c r="C13" s="68" t="s">
        <v>7</v>
      </c>
      <c r="D13" s="237"/>
      <c r="E13" s="246"/>
    </row>
    <row r="14" spans="2:5">
      <c r="B14" s="106" t="s">
        <v>8</v>
      </c>
      <c r="C14" s="68" t="s">
        <v>10</v>
      </c>
      <c r="D14" s="237">
        <v>886.45</v>
      </c>
      <c r="E14" s="246">
        <f>E15</f>
        <v>1632.02</v>
      </c>
    </row>
    <row r="15" spans="2:5">
      <c r="B15" s="106" t="s">
        <v>106</v>
      </c>
      <c r="C15" s="68" t="s">
        <v>11</v>
      </c>
      <c r="D15" s="237">
        <v>886.45</v>
      </c>
      <c r="E15" s="246">
        <v>1632.02</v>
      </c>
    </row>
    <row r="16" spans="2:5">
      <c r="B16" s="107" t="s">
        <v>107</v>
      </c>
      <c r="C16" s="91" t="s">
        <v>12</v>
      </c>
      <c r="D16" s="239"/>
      <c r="E16" s="247"/>
    </row>
    <row r="17" spans="2:6">
      <c r="B17" s="9" t="s">
        <v>13</v>
      </c>
      <c r="C17" s="11" t="s">
        <v>65</v>
      </c>
      <c r="D17" s="240">
        <v>1381.98</v>
      </c>
      <c r="E17" s="248">
        <f>E18</f>
        <v>2939.03</v>
      </c>
    </row>
    <row r="18" spans="2:6">
      <c r="B18" s="106" t="s">
        <v>4</v>
      </c>
      <c r="C18" s="6" t="s">
        <v>11</v>
      </c>
      <c r="D18" s="239">
        <v>1381.98</v>
      </c>
      <c r="E18" s="247">
        <v>2939.03</v>
      </c>
    </row>
    <row r="19" spans="2:6" ht="15" customHeight="1">
      <c r="B19" s="106" t="s">
        <v>6</v>
      </c>
      <c r="C19" s="68" t="s">
        <v>108</v>
      </c>
      <c r="D19" s="237"/>
      <c r="E19" s="246"/>
    </row>
    <row r="20" spans="2:6" ht="13.5" thickBot="1">
      <c r="B20" s="108" t="s">
        <v>8</v>
      </c>
      <c r="C20" s="6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1098325.0599999998</v>
      </c>
      <c r="E21" s="148">
        <f>E11-E17</f>
        <v>1218693.1200000001</v>
      </c>
      <c r="F21" s="77"/>
    </row>
    <row r="22" spans="2:6">
      <c r="B22" s="3"/>
      <c r="C22" s="7"/>
      <c r="D22" s="8"/>
      <c r="E22" s="299"/>
    </row>
    <row r="23" spans="2:6" ht="13.5">
      <c r="B23" s="355" t="s">
        <v>104</v>
      </c>
      <c r="C23" s="363"/>
      <c r="D23" s="363"/>
      <c r="E23" s="363"/>
    </row>
    <row r="24" spans="2:6" ht="18" customHeight="1" thickBot="1">
      <c r="B24" s="354" t="s">
        <v>105</v>
      </c>
      <c r="C24" s="364"/>
      <c r="D24" s="364"/>
      <c r="E24" s="364"/>
    </row>
    <row r="25" spans="2:6" ht="13.5" thickBot="1">
      <c r="B25" s="86"/>
      <c r="C25" s="5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972177.88</v>
      </c>
      <c r="E26" s="217">
        <f>D21</f>
        <v>1098325.0599999998</v>
      </c>
    </row>
    <row r="27" spans="2:6">
      <c r="B27" s="9" t="s">
        <v>17</v>
      </c>
      <c r="C27" s="10" t="s">
        <v>111</v>
      </c>
      <c r="D27" s="323">
        <v>69871.749999999942</v>
      </c>
      <c r="E27" s="274">
        <f>E28-E32</f>
        <v>85218.089999999909</v>
      </c>
      <c r="F27" s="71"/>
    </row>
    <row r="28" spans="2:6">
      <c r="B28" s="9" t="s">
        <v>18</v>
      </c>
      <c r="C28" s="10" t="s">
        <v>19</v>
      </c>
      <c r="D28" s="323">
        <v>335784.8</v>
      </c>
      <c r="E28" s="275">
        <v>277306.05999999994</v>
      </c>
      <c r="F28" s="71"/>
    </row>
    <row r="29" spans="2:6">
      <c r="B29" s="104" t="s">
        <v>4</v>
      </c>
      <c r="C29" s="6" t="s">
        <v>20</v>
      </c>
      <c r="D29" s="324">
        <v>333363.40000000002</v>
      </c>
      <c r="E29" s="276">
        <v>272241.07999999996</v>
      </c>
      <c r="F29" s="71"/>
    </row>
    <row r="30" spans="2:6">
      <c r="B30" s="104" t="s">
        <v>6</v>
      </c>
      <c r="C30" s="6" t="s">
        <v>21</v>
      </c>
      <c r="D30" s="324"/>
      <c r="E30" s="276"/>
      <c r="F30" s="71"/>
    </row>
    <row r="31" spans="2:6">
      <c r="B31" s="104" t="s">
        <v>8</v>
      </c>
      <c r="C31" s="6" t="s">
        <v>22</v>
      </c>
      <c r="D31" s="324">
        <v>2421.4</v>
      </c>
      <c r="E31" s="276">
        <v>5064.9800000000005</v>
      </c>
      <c r="F31" s="71"/>
    </row>
    <row r="32" spans="2:6">
      <c r="B32" s="92" t="s">
        <v>23</v>
      </c>
      <c r="C32" s="11" t="s">
        <v>24</v>
      </c>
      <c r="D32" s="323">
        <v>265913.05000000005</v>
      </c>
      <c r="E32" s="275">
        <f>SUM(E33:E39)</f>
        <v>192087.97000000003</v>
      </c>
      <c r="F32" s="71"/>
    </row>
    <row r="33" spans="2:6">
      <c r="B33" s="104" t="s">
        <v>4</v>
      </c>
      <c r="C33" s="6" t="s">
        <v>25</v>
      </c>
      <c r="D33" s="324">
        <v>217849.71</v>
      </c>
      <c r="E33" s="276">
        <f>138394.32+598.76</f>
        <v>138993.08000000002</v>
      </c>
      <c r="F33" s="71"/>
    </row>
    <row r="34" spans="2:6">
      <c r="B34" s="104" t="s">
        <v>6</v>
      </c>
      <c r="C34" s="6" t="s">
        <v>26</v>
      </c>
      <c r="D34" s="324"/>
      <c r="E34" s="276"/>
      <c r="F34" s="71"/>
    </row>
    <row r="35" spans="2:6">
      <c r="B35" s="104" t="s">
        <v>8</v>
      </c>
      <c r="C35" s="6" t="s">
        <v>27</v>
      </c>
      <c r="D35" s="324">
        <v>23116.26</v>
      </c>
      <c r="E35" s="276">
        <v>21384.53</v>
      </c>
      <c r="F35" s="71"/>
    </row>
    <row r="36" spans="2:6">
      <c r="B36" s="104" t="s">
        <v>9</v>
      </c>
      <c r="C36" s="6" t="s">
        <v>28</v>
      </c>
      <c r="D36" s="324"/>
      <c r="E36" s="276"/>
      <c r="F36" s="71"/>
    </row>
    <row r="37" spans="2:6" ht="25.5">
      <c r="B37" s="104" t="s">
        <v>29</v>
      </c>
      <c r="C37" s="6" t="s">
        <v>30</v>
      </c>
      <c r="D37" s="324"/>
      <c r="E37" s="276"/>
      <c r="F37" s="71"/>
    </row>
    <row r="38" spans="2:6">
      <c r="B38" s="104" t="s">
        <v>31</v>
      </c>
      <c r="C38" s="6" t="s">
        <v>32</v>
      </c>
      <c r="D38" s="324"/>
      <c r="E38" s="276"/>
      <c r="F38" s="71"/>
    </row>
    <row r="39" spans="2:6">
      <c r="B39" s="105" t="s">
        <v>33</v>
      </c>
      <c r="C39" s="12" t="s">
        <v>34</v>
      </c>
      <c r="D39" s="325">
        <v>24947.080000000075</v>
      </c>
      <c r="E39" s="277">
        <v>31710.36</v>
      </c>
      <c r="F39" s="71"/>
    </row>
    <row r="40" spans="2:6" ht="13.5" thickBot="1">
      <c r="B40" s="97" t="s">
        <v>35</v>
      </c>
      <c r="C40" s="98" t="s">
        <v>36</v>
      </c>
      <c r="D40" s="326">
        <v>56275.43</v>
      </c>
      <c r="E40" s="279">
        <v>35149.97</v>
      </c>
    </row>
    <row r="41" spans="2:6" ht="13.5" thickBot="1">
      <c r="B41" s="99" t="s">
        <v>37</v>
      </c>
      <c r="C41" s="100" t="s">
        <v>38</v>
      </c>
      <c r="D41" s="327">
        <v>1098325.0599999998</v>
      </c>
      <c r="E41" s="148">
        <f>E26+E27+E40</f>
        <v>1218693.1199999996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5.75" customHeight="1" thickBot="1">
      <c r="B44" s="354" t="s">
        <v>121</v>
      </c>
      <c r="C44" s="358"/>
      <c r="D44" s="358"/>
      <c r="E44" s="358"/>
    </row>
    <row r="45" spans="2:6" ht="13.5" thickBot="1">
      <c r="B45" s="86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97575.417050000004</v>
      </c>
      <c r="E47" s="73">
        <v>104430.24140000001</v>
      </c>
    </row>
    <row r="48" spans="2:6">
      <c r="B48" s="123" t="s">
        <v>6</v>
      </c>
      <c r="C48" s="22" t="s">
        <v>41</v>
      </c>
      <c r="D48" s="200">
        <v>104430.24140000001</v>
      </c>
      <c r="E48" s="335">
        <v>112422.3832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02" t="s">
        <v>4</v>
      </c>
      <c r="C50" s="15" t="s">
        <v>40</v>
      </c>
      <c r="D50" s="200">
        <v>9.9633484477478191</v>
      </c>
      <c r="E50" s="73">
        <v>10.517300000000001</v>
      </c>
    </row>
    <row r="51" spans="2:5">
      <c r="B51" s="102" t="s">
        <v>6</v>
      </c>
      <c r="C51" s="15" t="s">
        <v>114</v>
      </c>
      <c r="D51" s="200">
        <v>9.9633000000000003</v>
      </c>
      <c r="E51" s="75">
        <v>9.5909999999999993</v>
      </c>
    </row>
    <row r="52" spans="2:5" ht="12" customHeight="1">
      <c r="B52" s="102" t="s">
        <v>8</v>
      </c>
      <c r="C52" s="15" t="s">
        <v>115</v>
      </c>
      <c r="D52" s="200">
        <v>10.517300000000001</v>
      </c>
      <c r="E52" s="75">
        <v>10.8406</v>
      </c>
    </row>
    <row r="53" spans="2:5" ht="13.5" thickBot="1">
      <c r="B53" s="103" t="s">
        <v>9</v>
      </c>
      <c r="C53" s="17" t="s">
        <v>41</v>
      </c>
      <c r="D53" s="202">
        <v>10.517300000000001</v>
      </c>
      <c r="E53" s="280">
        <v>10.840300000000001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5.7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SUM(D59:D70)</f>
        <v>1220000.1300000001</v>
      </c>
      <c r="E58" s="31">
        <f>D58/E21</f>
        <v>1.001072468514469</v>
      </c>
    </row>
    <row r="59" spans="2:5" ht="25.5">
      <c r="B59" s="21" t="s">
        <v>4</v>
      </c>
      <c r="C59" s="22" t="s">
        <v>44</v>
      </c>
      <c r="D59" s="80">
        <v>0</v>
      </c>
      <c r="E59" s="81">
        <v>0</v>
      </c>
    </row>
    <row r="60" spans="2:5" ht="24" customHeight="1">
      <c r="B60" s="14" t="s">
        <v>6</v>
      </c>
      <c r="C60" s="15" t="s">
        <v>45</v>
      </c>
      <c r="D60" s="78">
        <v>0</v>
      </c>
      <c r="E60" s="79">
        <v>0</v>
      </c>
    </row>
    <row r="61" spans="2:5">
      <c r="B61" s="14" t="s">
        <v>8</v>
      </c>
      <c r="C61" s="15" t="s">
        <v>46</v>
      </c>
      <c r="D61" s="78">
        <v>0</v>
      </c>
      <c r="E61" s="79">
        <v>0</v>
      </c>
    </row>
    <row r="62" spans="2:5">
      <c r="B62" s="14" t="s">
        <v>9</v>
      </c>
      <c r="C62" s="15" t="s">
        <v>47</v>
      </c>
      <c r="D62" s="78">
        <v>0</v>
      </c>
      <c r="E62" s="79">
        <v>0</v>
      </c>
    </row>
    <row r="63" spans="2:5">
      <c r="B63" s="14" t="s">
        <v>29</v>
      </c>
      <c r="C63" s="15" t="s">
        <v>48</v>
      </c>
      <c r="D63" s="78">
        <v>0</v>
      </c>
      <c r="E63" s="79">
        <v>0</v>
      </c>
    </row>
    <row r="64" spans="2:5">
      <c r="B64" s="21" t="s">
        <v>31</v>
      </c>
      <c r="C64" s="22" t="s">
        <v>49</v>
      </c>
      <c r="D64" s="234">
        <v>1107507.04</v>
      </c>
      <c r="E64" s="81">
        <f>D64/E21</f>
        <v>0.90876613794291372</v>
      </c>
    </row>
    <row r="65" spans="2:5">
      <c r="B65" s="21" t="s">
        <v>33</v>
      </c>
      <c r="C65" s="22" t="s">
        <v>118</v>
      </c>
      <c r="D65" s="80">
        <v>0</v>
      </c>
      <c r="E65" s="81">
        <v>0</v>
      </c>
    </row>
    <row r="66" spans="2:5">
      <c r="B66" s="21" t="s">
        <v>50</v>
      </c>
      <c r="C66" s="22" t="s">
        <v>51</v>
      </c>
      <c r="D66" s="80">
        <v>0</v>
      </c>
      <c r="E66" s="81">
        <v>0</v>
      </c>
    </row>
    <row r="67" spans="2:5">
      <c r="B67" s="14" t="s">
        <v>52</v>
      </c>
      <c r="C67" s="15" t="s">
        <v>53</v>
      </c>
      <c r="D67" s="78">
        <v>0</v>
      </c>
      <c r="E67" s="79">
        <v>0</v>
      </c>
    </row>
    <row r="68" spans="2:5">
      <c r="B68" s="14" t="s">
        <v>54</v>
      </c>
      <c r="C68" s="15" t="s">
        <v>55</v>
      </c>
      <c r="D68" s="78">
        <v>0</v>
      </c>
      <c r="E68" s="79">
        <v>0</v>
      </c>
    </row>
    <row r="69" spans="2:5">
      <c r="B69" s="14" t="s">
        <v>56</v>
      </c>
      <c r="C69" s="15" t="s">
        <v>57</v>
      </c>
      <c r="D69" s="302">
        <v>112493.09</v>
      </c>
      <c r="E69" s="79">
        <f>D69/E21</f>
        <v>9.2306330571555198E-2</v>
      </c>
    </row>
    <row r="70" spans="2:5">
      <c r="B70" s="112" t="s">
        <v>58</v>
      </c>
      <c r="C70" s="113" t="s">
        <v>59</v>
      </c>
      <c r="D70" s="235">
        <v>0</v>
      </c>
      <c r="E70" s="115">
        <v>0</v>
      </c>
    </row>
    <row r="71" spans="2:5">
      <c r="B71" s="120" t="s">
        <v>23</v>
      </c>
      <c r="C71" s="121" t="s">
        <v>61</v>
      </c>
      <c r="D71" s="122">
        <f>E13</f>
        <v>0</v>
      </c>
      <c r="E71" s="66">
        <v>0</v>
      </c>
    </row>
    <row r="72" spans="2:5">
      <c r="B72" s="116" t="s">
        <v>60</v>
      </c>
      <c r="C72" s="117" t="s">
        <v>63</v>
      </c>
      <c r="D72" s="118">
        <f>E14</f>
        <v>1632.02</v>
      </c>
      <c r="E72" s="119">
        <f>D72/E21</f>
        <v>1.3391558327661682E-3</v>
      </c>
    </row>
    <row r="73" spans="2:5">
      <c r="B73" s="23" t="s">
        <v>62</v>
      </c>
      <c r="C73" s="24" t="s">
        <v>65</v>
      </c>
      <c r="D73" s="25">
        <f>E17</f>
        <v>2939.03</v>
      </c>
      <c r="E73" s="26">
        <f>D73/E21</f>
        <v>2.4116243472351757E-3</v>
      </c>
    </row>
    <row r="74" spans="2:5">
      <c r="B74" s="120" t="s">
        <v>64</v>
      </c>
      <c r="C74" s="121" t="s">
        <v>66</v>
      </c>
      <c r="D74" s="122">
        <f>D58+D71+D72-D73</f>
        <v>1218693.1200000001</v>
      </c>
      <c r="E74" s="66">
        <f>E58+E72-E73</f>
        <v>1</v>
      </c>
    </row>
    <row r="75" spans="2:5">
      <c r="B75" s="14" t="s">
        <v>4</v>
      </c>
      <c r="C75" s="15" t="s">
        <v>67</v>
      </c>
      <c r="D75" s="78">
        <f>D74</f>
        <v>1218693.1200000001</v>
      </c>
      <c r="E75" s="79">
        <f>E74</f>
        <v>1</v>
      </c>
    </row>
    <row r="76" spans="2:5">
      <c r="B76" s="14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6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11"/>
      <c r="E78" s="211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7"/>
  <dimension ref="A1:G81"/>
  <sheetViews>
    <sheetView topLeftCell="A13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1"/>
      <c r="C4" s="141"/>
      <c r="D4" s="141"/>
      <c r="E4" s="141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215</v>
      </c>
      <c r="C6" s="353"/>
      <c r="D6" s="353"/>
      <c r="E6" s="353"/>
    </row>
    <row r="7" spans="2:7" ht="14.25">
      <c r="B7" s="139"/>
      <c r="C7" s="139"/>
      <c r="D7" s="139"/>
      <c r="E7" s="13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40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650949.53</v>
      </c>
      <c r="E11" s="228">
        <f>SUM(E12:E14)</f>
        <v>573324.35</v>
      </c>
    </row>
    <row r="12" spans="2:7">
      <c r="B12" s="173" t="s">
        <v>4</v>
      </c>
      <c r="C12" s="174" t="s">
        <v>5</v>
      </c>
      <c r="D12" s="241">
        <v>650949.53</v>
      </c>
      <c r="E12" s="245">
        <v>573324.35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650949.53</v>
      </c>
      <c r="E21" s="148">
        <f>E11-E17</f>
        <v>573324.35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693310.99</v>
      </c>
      <c r="E26" s="217">
        <f>D21</f>
        <v>650949.53</v>
      </c>
    </row>
    <row r="27" spans="2:6">
      <c r="B27" s="9" t="s">
        <v>17</v>
      </c>
      <c r="C27" s="10" t="s">
        <v>111</v>
      </c>
      <c r="D27" s="323">
        <v>-11875.98</v>
      </c>
      <c r="E27" s="274">
        <v>-41506.61</v>
      </c>
      <c r="F27" s="71"/>
    </row>
    <row r="28" spans="2:6">
      <c r="B28" s="9" t="s">
        <v>18</v>
      </c>
      <c r="C28" s="10" t="s">
        <v>19</v>
      </c>
      <c r="D28" s="323"/>
      <c r="E28" s="275"/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11875.98</v>
      </c>
      <c r="E32" s="275">
        <v>41506.61</v>
      </c>
      <c r="F32" s="71"/>
    </row>
    <row r="33" spans="2:6">
      <c r="B33" s="181" t="s">
        <v>4</v>
      </c>
      <c r="C33" s="174" t="s">
        <v>25</v>
      </c>
      <c r="D33" s="324"/>
      <c r="E33" s="276"/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1023.35</v>
      </c>
      <c r="E35" s="276">
        <v>891.33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10852.63</v>
      </c>
      <c r="E37" s="276">
        <v>8922.2000000000007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>
        <v>31693.08</v>
      </c>
      <c r="F39" s="71"/>
    </row>
    <row r="40" spans="2:6" ht="13.5" thickBot="1">
      <c r="B40" s="97" t="s">
        <v>35</v>
      </c>
      <c r="C40" s="98" t="s">
        <v>36</v>
      </c>
      <c r="D40" s="326">
        <v>-30485.48</v>
      </c>
      <c r="E40" s="279">
        <v>-36118.57</v>
      </c>
    </row>
    <row r="41" spans="2:6" ht="13.5" thickBot="1">
      <c r="B41" s="99" t="s">
        <v>37</v>
      </c>
      <c r="C41" s="100" t="s">
        <v>38</v>
      </c>
      <c r="D41" s="327">
        <v>650949.53</v>
      </c>
      <c r="E41" s="148">
        <f>E26+E27+E40</f>
        <v>573324.35000000009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8478.7940999999992</v>
      </c>
      <c r="E47" s="149">
        <v>8331.6208000000006</v>
      </c>
    </row>
    <row r="48" spans="2:6">
      <c r="B48" s="186" t="s">
        <v>6</v>
      </c>
      <c r="C48" s="187" t="s">
        <v>41</v>
      </c>
      <c r="D48" s="200">
        <v>8331.6208000000006</v>
      </c>
      <c r="E48" s="149">
        <v>7716.3438999999998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84" t="s">
        <v>4</v>
      </c>
      <c r="C50" s="185" t="s">
        <v>40</v>
      </c>
      <c r="D50" s="200">
        <v>81.77</v>
      </c>
      <c r="E50" s="149">
        <v>78.13</v>
      </c>
    </row>
    <row r="51" spans="2:5">
      <c r="B51" s="184" t="s">
        <v>6</v>
      </c>
      <c r="C51" s="185" t="s">
        <v>114</v>
      </c>
      <c r="D51" s="200">
        <v>74.8</v>
      </c>
      <c r="E51" s="149">
        <v>52.88</v>
      </c>
    </row>
    <row r="52" spans="2:5">
      <c r="B52" s="184" t="s">
        <v>8</v>
      </c>
      <c r="C52" s="185" t="s">
        <v>115</v>
      </c>
      <c r="D52" s="200">
        <v>86.38</v>
      </c>
      <c r="E52" s="75">
        <v>79.569999999999993</v>
      </c>
    </row>
    <row r="53" spans="2:5" ht="12.75" customHeight="1" thickBot="1">
      <c r="B53" s="188" t="s">
        <v>9</v>
      </c>
      <c r="C53" s="189" t="s">
        <v>41</v>
      </c>
      <c r="D53" s="202">
        <v>78.13</v>
      </c>
      <c r="E53" s="280">
        <v>74.3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6.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573324.35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573324.35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573324.35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573324.35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8">
    <pageSetUpPr fitToPage="1"/>
  </sheetPr>
  <dimension ref="A1:G81"/>
  <sheetViews>
    <sheetView topLeftCell="A16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1"/>
      <c r="C4" s="141"/>
      <c r="D4" s="141"/>
      <c r="E4" s="141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216</v>
      </c>
      <c r="C6" s="353"/>
      <c r="D6" s="353"/>
      <c r="E6" s="353"/>
    </row>
    <row r="7" spans="2:7" ht="14.25">
      <c r="B7" s="139"/>
      <c r="C7" s="139"/>
      <c r="D7" s="139"/>
      <c r="E7" s="13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40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301945.83</v>
      </c>
      <c r="E11" s="228">
        <f>SUM(E12:E14)</f>
        <v>341438.94</v>
      </c>
    </row>
    <row r="12" spans="2:7">
      <c r="B12" s="173" t="s">
        <v>4</v>
      </c>
      <c r="C12" s="174" t="s">
        <v>5</v>
      </c>
      <c r="D12" s="241">
        <v>301945.83</v>
      </c>
      <c r="E12" s="245">
        <v>341438.94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301945.83</v>
      </c>
      <c r="E21" s="148">
        <f>E11-E17</f>
        <v>341438.94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305221.19</v>
      </c>
      <c r="E26" s="217">
        <f>D21</f>
        <v>301945.83</v>
      </c>
    </row>
    <row r="27" spans="2:6">
      <c r="B27" s="9" t="s">
        <v>17</v>
      </c>
      <c r="C27" s="10" t="s">
        <v>111</v>
      </c>
      <c r="D27" s="323">
        <v>-5898.02</v>
      </c>
      <c r="E27" s="274">
        <v>-60.049999999999272</v>
      </c>
      <c r="F27" s="71"/>
    </row>
    <row r="28" spans="2:6">
      <c r="B28" s="9" t="s">
        <v>18</v>
      </c>
      <c r="C28" s="10" t="s">
        <v>19</v>
      </c>
      <c r="D28" s="323">
        <v>0</v>
      </c>
      <c r="E28" s="275">
        <v>22274.41</v>
      </c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>
        <v>22274.41</v>
      </c>
      <c r="F31" s="71"/>
    </row>
    <row r="32" spans="2:6">
      <c r="B32" s="92" t="s">
        <v>23</v>
      </c>
      <c r="C32" s="11" t="s">
        <v>24</v>
      </c>
      <c r="D32" s="323">
        <v>5898.02</v>
      </c>
      <c r="E32" s="275">
        <v>22334.46</v>
      </c>
      <c r="F32" s="71"/>
    </row>
    <row r="33" spans="2:6">
      <c r="B33" s="181" t="s">
        <v>4</v>
      </c>
      <c r="C33" s="174" t="s">
        <v>25</v>
      </c>
      <c r="D33" s="324"/>
      <c r="E33" s="276">
        <v>498.97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1.62</v>
      </c>
      <c r="E35" s="276">
        <v>3.71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4901.4799999999996</v>
      </c>
      <c r="E37" s="276">
        <v>4772.71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>
        <v>994.92</v>
      </c>
      <c r="E39" s="277">
        <v>17059.07</v>
      </c>
      <c r="F39" s="71"/>
    </row>
    <row r="40" spans="2:6" ht="13.5" thickBot="1">
      <c r="B40" s="97" t="s">
        <v>35</v>
      </c>
      <c r="C40" s="98" t="s">
        <v>36</v>
      </c>
      <c r="D40" s="326">
        <v>2622.66</v>
      </c>
      <c r="E40" s="279">
        <v>39553.160000000003</v>
      </c>
    </row>
    <row r="41" spans="2:6" ht="13.5" thickBot="1">
      <c r="B41" s="99" t="s">
        <v>37</v>
      </c>
      <c r="C41" s="100" t="s">
        <v>38</v>
      </c>
      <c r="D41" s="327">
        <v>301945.82999999996</v>
      </c>
      <c r="E41" s="148">
        <f>E26+E27+E40</f>
        <v>341438.94000000006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8117.5848999999998</v>
      </c>
      <c r="E47" s="149">
        <v>7962.7064</v>
      </c>
    </row>
    <row r="48" spans="2:6">
      <c r="B48" s="186" t="s">
        <v>6</v>
      </c>
      <c r="C48" s="187" t="s">
        <v>41</v>
      </c>
      <c r="D48" s="200">
        <v>7962.7064</v>
      </c>
      <c r="E48" s="149">
        <v>7949.6842999999999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84" t="s">
        <v>4</v>
      </c>
      <c r="C50" s="185" t="s">
        <v>40</v>
      </c>
      <c r="D50" s="200">
        <v>37.6</v>
      </c>
      <c r="E50" s="149">
        <v>37.92</v>
      </c>
    </row>
    <row r="51" spans="2:5">
      <c r="B51" s="184" t="s">
        <v>6</v>
      </c>
      <c r="C51" s="185" t="s">
        <v>114</v>
      </c>
      <c r="D51" s="200">
        <v>35.76</v>
      </c>
      <c r="E51" s="149">
        <v>28.28</v>
      </c>
    </row>
    <row r="52" spans="2:5">
      <c r="B52" s="184" t="s">
        <v>8</v>
      </c>
      <c r="C52" s="185" t="s">
        <v>115</v>
      </c>
      <c r="D52" s="200">
        <v>40.49</v>
      </c>
      <c r="E52" s="75">
        <v>43.12</v>
      </c>
    </row>
    <row r="53" spans="2:5" ht="14.25" customHeight="1" thickBot="1">
      <c r="B53" s="188" t="s">
        <v>9</v>
      </c>
      <c r="C53" s="189" t="s">
        <v>41</v>
      </c>
      <c r="D53" s="202">
        <v>37.92</v>
      </c>
      <c r="E53" s="280">
        <v>42.95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4.25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341438.94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2.7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341438.94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341438.94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341438.94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9"/>
  <dimension ref="A1:F81"/>
  <sheetViews>
    <sheetView topLeftCell="A13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1" t="s">
        <v>0</v>
      </c>
      <c r="C2" s="351"/>
      <c r="D2" s="351"/>
      <c r="E2" s="351"/>
    </row>
    <row r="3" spans="2:5" ht="15.75">
      <c r="B3" s="351" t="s">
        <v>271</v>
      </c>
      <c r="C3" s="351"/>
      <c r="D3" s="351"/>
      <c r="E3" s="351"/>
    </row>
    <row r="4" spans="2:5" ht="15">
      <c r="B4" s="141"/>
      <c r="C4" s="141"/>
      <c r="D4" s="141"/>
      <c r="E4" s="141"/>
    </row>
    <row r="5" spans="2:5" ht="21" customHeight="1">
      <c r="B5" s="352" t="s">
        <v>1</v>
      </c>
      <c r="C5" s="352"/>
      <c r="D5" s="352"/>
      <c r="E5" s="352"/>
    </row>
    <row r="6" spans="2:5" ht="14.25">
      <c r="B6" s="353" t="s">
        <v>217</v>
      </c>
      <c r="C6" s="353"/>
      <c r="D6" s="353"/>
      <c r="E6" s="353"/>
    </row>
    <row r="7" spans="2:5" ht="14.25">
      <c r="B7" s="139"/>
      <c r="C7" s="139"/>
      <c r="D7" s="139"/>
      <c r="E7" s="139"/>
    </row>
    <row r="8" spans="2:5" ht="13.5">
      <c r="B8" s="355" t="s">
        <v>18</v>
      </c>
      <c r="C8" s="357"/>
      <c r="D8" s="357"/>
      <c r="E8" s="357"/>
    </row>
    <row r="9" spans="2:5" ht="16.5" thickBot="1">
      <c r="B9" s="354" t="s">
        <v>103</v>
      </c>
      <c r="C9" s="354"/>
      <c r="D9" s="354"/>
      <c r="E9" s="354"/>
    </row>
    <row r="10" spans="2:5" ht="13.5" thickBot="1">
      <c r="B10" s="140"/>
      <c r="C10" s="76" t="s">
        <v>2</v>
      </c>
      <c r="D10" s="70" t="s">
        <v>245</v>
      </c>
      <c r="E10" s="255" t="s">
        <v>265</v>
      </c>
    </row>
    <row r="11" spans="2:5">
      <c r="B11" s="90" t="s">
        <v>3</v>
      </c>
      <c r="C11" s="128" t="s">
        <v>109</v>
      </c>
      <c r="D11" s="227">
        <v>4965104.53</v>
      </c>
      <c r="E11" s="228">
        <f>SUM(E12:E14)</f>
        <v>3180363.24</v>
      </c>
    </row>
    <row r="12" spans="2:5">
      <c r="B12" s="173" t="s">
        <v>4</v>
      </c>
      <c r="C12" s="174" t="s">
        <v>5</v>
      </c>
      <c r="D12" s="241">
        <v>4965104.53</v>
      </c>
      <c r="E12" s="245">
        <v>3180363.24</v>
      </c>
    </row>
    <row r="13" spans="2:5">
      <c r="B13" s="173" t="s">
        <v>6</v>
      </c>
      <c r="C13" s="175" t="s">
        <v>7</v>
      </c>
      <c r="D13" s="237"/>
      <c r="E13" s="246"/>
    </row>
    <row r="14" spans="2:5">
      <c r="B14" s="173" t="s">
        <v>8</v>
      </c>
      <c r="C14" s="175" t="s">
        <v>10</v>
      </c>
      <c r="D14" s="237"/>
      <c r="E14" s="246"/>
    </row>
    <row r="15" spans="2:5">
      <c r="B15" s="173" t="s">
        <v>106</v>
      </c>
      <c r="C15" s="175" t="s">
        <v>11</v>
      </c>
      <c r="D15" s="237"/>
      <c r="E15" s="246"/>
    </row>
    <row r="16" spans="2:5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4965104.53</v>
      </c>
      <c r="E21" s="148">
        <f>E11-E17</f>
        <v>3180363.24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5828461.5199999996</v>
      </c>
      <c r="E26" s="217">
        <f>D21</f>
        <v>4965104.53</v>
      </c>
    </row>
    <row r="27" spans="2:6">
      <c r="B27" s="9" t="s">
        <v>17</v>
      </c>
      <c r="C27" s="10" t="s">
        <v>111</v>
      </c>
      <c r="D27" s="323">
        <v>-1738665.04</v>
      </c>
      <c r="E27" s="274">
        <v>-1687103.35</v>
      </c>
      <c r="F27" s="71"/>
    </row>
    <row r="28" spans="2:6">
      <c r="B28" s="9" t="s">
        <v>18</v>
      </c>
      <c r="C28" s="10" t="s">
        <v>19</v>
      </c>
      <c r="D28" s="323">
        <v>30399.220000000671</v>
      </c>
      <c r="E28" s="275"/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>
        <v>30399.220000000671</v>
      </c>
      <c r="E31" s="276"/>
      <c r="F31" s="71"/>
    </row>
    <row r="32" spans="2:6">
      <c r="B32" s="92" t="s">
        <v>23</v>
      </c>
      <c r="C32" s="11" t="s">
        <v>24</v>
      </c>
      <c r="D32" s="323">
        <v>1769064.2600000002</v>
      </c>
      <c r="E32" s="275">
        <v>1687103.35</v>
      </c>
      <c r="F32" s="71"/>
    </row>
    <row r="33" spans="2:6">
      <c r="B33" s="181" t="s">
        <v>4</v>
      </c>
      <c r="C33" s="174" t="s">
        <v>25</v>
      </c>
      <c r="D33" s="324">
        <v>1092420.81</v>
      </c>
      <c r="E33" s="276">
        <v>1011403.16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53629.67</v>
      </c>
      <c r="E35" s="276">
        <v>48310.99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92986.12</v>
      </c>
      <c r="E37" s="276">
        <v>59339.74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>
        <v>530027.66</v>
      </c>
      <c r="E39" s="277">
        <v>568049.46</v>
      </c>
      <c r="F39" s="71"/>
    </row>
    <row r="40" spans="2:6" ht="13.5" thickBot="1">
      <c r="B40" s="97" t="s">
        <v>35</v>
      </c>
      <c r="C40" s="98" t="s">
        <v>36</v>
      </c>
      <c r="D40" s="326">
        <v>875308.05</v>
      </c>
      <c r="E40" s="279">
        <v>-97637.94</v>
      </c>
    </row>
    <row r="41" spans="2:6" ht="13.5" thickBot="1">
      <c r="B41" s="99" t="s">
        <v>37</v>
      </c>
      <c r="C41" s="100" t="s">
        <v>38</v>
      </c>
      <c r="D41" s="327">
        <v>4965104.5299999993</v>
      </c>
      <c r="E41" s="148">
        <f>E26+E27+E40</f>
        <v>3180363.24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92721.309500000003</v>
      </c>
      <c r="E47" s="149">
        <v>67442.332699999999</v>
      </c>
    </row>
    <row r="48" spans="2:6">
      <c r="B48" s="186" t="s">
        <v>6</v>
      </c>
      <c r="C48" s="187" t="s">
        <v>41</v>
      </c>
      <c r="D48" s="200">
        <v>67442.332699999999</v>
      </c>
      <c r="E48" s="149">
        <v>43170.398300000001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84" t="s">
        <v>4</v>
      </c>
      <c r="C50" s="185" t="s">
        <v>40</v>
      </c>
      <c r="D50" s="200">
        <v>62.86</v>
      </c>
      <c r="E50" s="149">
        <v>73.62</v>
      </c>
    </row>
    <row r="51" spans="2:5">
      <c r="B51" s="184" t="s">
        <v>6</v>
      </c>
      <c r="C51" s="185" t="s">
        <v>114</v>
      </c>
      <c r="D51" s="200">
        <v>62.86</v>
      </c>
      <c r="E51" s="149">
        <v>56.45</v>
      </c>
    </row>
    <row r="52" spans="2:5">
      <c r="B52" s="184" t="s">
        <v>8</v>
      </c>
      <c r="C52" s="185" t="s">
        <v>115</v>
      </c>
      <c r="D52" s="200">
        <v>74.099999999999994</v>
      </c>
      <c r="E52" s="75">
        <v>75.53</v>
      </c>
    </row>
    <row r="53" spans="2:5" ht="14.25" customHeight="1" thickBot="1">
      <c r="B53" s="188" t="s">
        <v>9</v>
      </c>
      <c r="C53" s="189" t="s">
        <v>41</v>
      </c>
      <c r="D53" s="202">
        <v>73.62</v>
      </c>
      <c r="E53" s="280">
        <v>73.67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5.7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3180363.24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2.7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3180363.24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3180363.24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3180363.24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9055118110236227" right="0.74803149606299213" top="0.59055118110236227" bottom="0.47244094488188981" header="0.51181102362204722" footer="0.51181102362204722"/>
  <pageSetup paperSize="9" scale="70" orientation="portrait" r:id="rId1"/>
  <headerFooter alignWithMargins="0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0"/>
  <dimension ref="A1:F81"/>
  <sheetViews>
    <sheetView topLeftCell="A16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1" t="s">
        <v>0</v>
      </c>
      <c r="C2" s="351"/>
      <c r="D2" s="351"/>
      <c r="E2" s="351"/>
    </row>
    <row r="3" spans="2:5" ht="15.75">
      <c r="B3" s="351" t="s">
        <v>271</v>
      </c>
      <c r="C3" s="351"/>
      <c r="D3" s="351"/>
      <c r="E3" s="351"/>
    </row>
    <row r="4" spans="2:5" ht="15">
      <c r="B4" s="141"/>
      <c r="C4" s="141"/>
      <c r="D4" s="141"/>
      <c r="E4" s="141"/>
    </row>
    <row r="5" spans="2:5" ht="21" customHeight="1">
      <c r="B5" s="352" t="s">
        <v>1</v>
      </c>
      <c r="C5" s="352"/>
      <c r="D5" s="352"/>
      <c r="E5" s="352"/>
    </row>
    <row r="6" spans="2:5" ht="14.25">
      <c r="B6" s="353" t="s">
        <v>218</v>
      </c>
      <c r="C6" s="353"/>
      <c r="D6" s="353"/>
      <c r="E6" s="353"/>
    </row>
    <row r="7" spans="2:5" ht="14.25">
      <c r="B7" s="139"/>
      <c r="C7" s="139"/>
      <c r="D7" s="139"/>
      <c r="E7" s="139"/>
    </row>
    <row r="8" spans="2:5" ht="13.5">
      <c r="B8" s="355" t="s">
        <v>18</v>
      </c>
      <c r="C8" s="357"/>
      <c r="D8" s="357"/>
      <c r="E8" s="357"/>
    </row>
    <row r="9" spans="2:5" ht="16.5" thickBot="1">
      <c r="B9" s="354" t="s">
        <v>103</v>
      </c>
      <c r="C9" s="354"/>
      <c r="D9" s="354"/>
      <c r="E9" s="354"/>
    </row>
    <row r="10" spans="2:5" ht="13.5" thickBot="1">
      <c r="B10" s="140"/>
      <c r="C10" s="76" t="s">
        <v>2</v>
      </c>
      <c r="D10" s="70" t="s">
        <v>245</v>
      </c>
      <c r="E10" s="255" t="s">
        <v>265</v>
      </c>
    </row>
    <row r="11" spans="2:5">
      <c r="B11" s="90" t="s">
        <v>3</v>
      </c>
      <c r="C11" s="128" t="s">
        <v>109</v>
      </c>
      <c r="D11" s="227">
        <v>39683.35</v>
      </c>
      <c r="E11" s="228"/>
    </row>
    <row r="12" spans="2:5">
      <c r="B12" s="173" t="s">
        <v>4</v>
      </c>
      <c r="C12" s="174" t="s">
        <v>5</v>
      </c>
      <c r="D12" s="241">
        <v>39683.35</v>
      </c>
      <c r="E12" s="245"/>
    </row>
    <row r="13" spans="2:5">
      <c r="B13" s="173" t="s">
        <v>6</v>
      </c>
      <c r="C13" s="175" t="s">
        <v>7</v>
      </c>
      <c r="D13" s="237"/>
      <c r="E13" s="246"/>
    </row>
    <row r="14" spans="2:5">
      <c r="B14" s="173" t="s">
        <v>8</v>
      </c>
      <c r="C14" s="175" t="s">
        <v>10</v>
      </c>
      <c r="D14" s="237"/>
      <c r="E14" s="246"/>
    </row>
    <row r="15" spans="2:5">
      <c r="B15" s="173" t="s">
        <v>106</v>
      </c>
      <c r="C15" s="175" t="s">
        <v>11</v>
      </c>
      <c r="D15" s="237"/>
      <c r="E15" s="246"/>
    </row>
    <row r="16" spans="2:5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39683.35</v>
      </c>
      <c r="E21" s="148"/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40117.21</v>
      </c>
      <c r="E26" s="217">
        <f>D21</f>
        <v>39683.35</v>
      </c>
    </row>
    <row r="27" spans="2:6">
      <c r="B27" s="9" t="s">
        <v>17</v>
      </c>
      <c r="C27" s="10" t="s">
        <v>111</v>
      </c>
      <c r="D27" s="323">
        <v>-980.79</v>
      </c>
      <c r="E27" s="274">
        <v>-37115.120000000003</v>
      </c>
      <c r="F27" s="71"/>
    </row>
    <row r="28" spans="2:6">
      <c r="B28" s="9" t="s">
        <v>18</v>
      </c>
      <c r="C28" s="10" t="s">
        <v>19</v>
      </c>
      <c r="D28" s="323"/>
      <c r="E28" s="275"/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980.79</v>
      </c>
      <c r="E32" s="275">
        <v>37115.120000000003</v>
      </c>
      <c r="F32" s="71"/>
    </row>
    <row r="33" spans="2:6">
      <c r="B33" s="181" t="s">
        <v>4</v>
      </c>
      <c r="C33" s="174" t="s">
        <v>25</v>
      </c>
      <c r="D33" s="324"/>
      <c r="E33" s="276"/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334.99</v>
      </c>
      <c r="E35" s="276">
        <v>337.28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645.79999999999995</v>
      </c>
      <c r="E37" s="276">
        <v>507.7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>
        <v>36270.14</v>
      </c>
      <c r="F39" s="71"/>
    </row>
    <row r="40" spans="2:6" ht="13.5" thickBot="1">
      <c r="B40" s="97" t="s">
        <v>35</v>
      </c>
      <c r="C40" s="98" t="s">
        <v>36</v>
      </c>
      <c r="D40" s="326">
        <v>546.92999999999995</v>
      </c>
      <c r="E40" s="279">
        <v>-2568.23</v>
      </c>
    </row>
    <row r="41" spans="2:6" ht="13.5" thickBot="1">
      <c r="B41" s="99" t="s">
        <v>37</v>
      </c>
      <c r="C41" s="100" t="s">
        <v>38</v>
      </c>
      <c r="D41" s="327">
        <v>39683.35</v>
      </c>
      <c r="E41" s="148" t="s">
        <v>123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578.05780000000004</v>
      </c>
      <c r="E47" s="149">
        <v>564.16480000000001</v>
      </c>
    </row>
    <row r="48" spans="2:6">
      <c r="B48" s="186" t="s">
        <v>6</v>
      </c>
      <c r="C48" s="187" t="s">
        <v>41</v>
      </c>
      <c r="D48" s="200">
        <v>564.16480000000001</v>
      </c>
      <c r="E48" s="149"/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84" t="s">
        <v>4</v>
      </c>
      <c r="C50" s="185" t="s">
        <v>40</v>
      </c>
      <c r="D50" s="200">
        <v>69.400000000000006</v>
      </c>
      <c r="E50" s="149">
        <v>70.34</v>
      </c>
    </row>
    <row r="51" spans="2:5">
      <c r="B51" s="184" t="s">
        <v>6</v>
      </c>
      <c r="C51" s="185" t="s">
        <v>114</v>
      </c>
      <c r="D51" s="200">
        <v>68.569999999999993</v>
      </c>
      <c r="E51" s="75">
        <v>55.91</v>
      </c>
    </row>
    <row r="52" spans="2:5">
      <c r="B52" s="184" t="s">
        <v>8</v>
      </c>
      <c r="C52" s="185" t="s">
        <v>115</v>
      </c>
      <c r="D52" s="200">
        <v>72.14</v>
      </c>
      <c r="E52" s="75">
        <v>71.17</v>
      </c>
    </row>
    <row r="53" spans="2:5" ht="13.5" customHeight="1" thickBot="1">
      <c r="B53" s="188" t="s">
        <v>9</v>
      </c>
      <c r="C53" s="189" t="s">
        <v>41</v>
      </c>
      <c r="D53" s="202">
        <v>70.34</v>
      </c>
      <c r="E53" s="280"/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6.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0</v>
      </c>
      <c r="E58" s="31">
        <v>0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2.7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0</v>
      </c>
      <c r="E64" s="81">
        <v>0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0</v>
      </c>
      <c r="E74" s="66">
        <v>0</v>
      </c>
    </row>
    <row r="75" spans="2:5">
      <c r="B75" s="102" t="s">
        <v>4</v>
      </c>
      <c r="C75" s="15" t="s">
        <v>67</v>
      </c>
      <c r="D75" s="78">
        <f>D74</f>
        <v>0</v>
      </c>
      <c r="E75" s="79">
        <f>E74</f>
        <v>0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1"/>
  <dimension ref="A1:G81"/>
  <sheetViews>
    <sheetView topLeftCell="A13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1"/>
      <c r="C4" s="141"/>
      <c r="D4" s="141"/>
      <c r="E4" s="141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219</v>
      </c>
      <c r="C6" s="353"/>
      <c r="D6" s="353"/>
      <c r="E6" s="353"/>
    </row>
    <row r="7" spans="2:7" ht="14.25">
      <c r="B7" s="139"/>
      <c r="C7" s="139"/>
      <c r="D7" s="139"/>
      <c r="E7" s="13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40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377328.9</v>
      </c>
      <c r="E11" s="228">
        <f>SUM(E12:E14)</f>
        <v>394194.47</v>
      </c>
    </row>
    <row r="12" spans="2:7">
      <c r="B12" s="173" t="s">
        <v>4</v>
      </c>
      <c r="C12" s="174" t="s">
        <v>5</v>
      </c>
      <c r="D12" s="241">
        <v>377328.9</v>
      </c>
      <c r="E12" s="245">
        <v>394194.47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377328.9</v>
      </c>
      <c r="E21" s="148">
        <f>E11-E17</f>
        <v>394194.47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415054.71</v>
      </c>
      <c r="E26" s="217">
        <f>D21</f>
        <v>377328.9</v>
      </c>
    </row>
    <row r="27" spans="2:6">
      <c r="B27" s="9" t="s">
        <v>17</v>
      </c>
      <c r="C27" s="10" t="s">
        <v>111</v>
      </c>
      <c r="D27" s="323">
        <v>-131711.23000000001</v>
      </c>
      <c r="E27" s="274">
        <v>-3466.91</v>
      </c>
      <c r="F27" s="71"/>
    </row>
    <row r="28" spans="2:6">
      <c r="B28" s="9" t="s">
        <v>18</v>
      </c>
      <c r="C28" s="10" t="s">
        <v>19</v>
      </c>
      <c r="D28" s="323">
        <v>0</v>
      </c>
      <c r="E28" s="275">
        <v>333554.31</v>
      </c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>
        <v>333554.31</v>
      </c>
      <c r="F31" s="71"/>
    </row>
    <row r="32" spans="2:6">
      <c r="B32" s="92" t="s">
        <v>23</v>
      </c>
      <c r="C32" s="11" t="s">
        <v>24</v>
      </c>
      <c r="D32" s="323">
        <v>131711.23000000001</v>
      </c>
      <c r="E32" s="275">
        <v>337021.22</v>
      </c>
      <c r="F32" s="71"/>
    </row>
    <row r="33" spans="2:6">
      <c r="B33" s="181" t="s">
        <v>4</v>
      </c>
      <c r="C33" s="174" t="s">
        <v>25</v>
      </c>
      <c r="D33" s="324">
        <v>125295.38</v>
      </c>
      <c r="E33" s="276"/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45.46</v>
      </c>
      <c r="E35" s="276">
        <v>25.89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6370.39</v>
      </c>
      <c r="E37" s="276">
        <v>3441.03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>
        <v>333554.3</v>
      </c>
      <c r="F39" s="71"/>
    </row>
    <row r="40" spans="2:6" ht="13.5" thickBot="1">
      <c r="B40" s="97" t="s">
        <v>35</v>
      </c>
      <c r="C40" s="98" t="s">
        <v>36</v>
      </c>
      <c r="D40" s="326">
        <v>93985.42</v>
      </c>
      <c r="E40" s="279">
        <v>20332.48</v>
      </c>
    </row>
    <row r="41" spans="2:6" ht="13.5" thickBot="1">
      <c r="B41" s="99" t="s">
        <v>37</v>
      </c>
      <c r="C41" s="100" t="s">
        <v>38</v>
      </c>
      <c r="D41" s="327">
        <v>377328.89999999997</v>
      </c>
      <c r="E41" s="148">
        <f>E26+E27+E40</f>
        <v>394194.47000000003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2248.8877000000002</v>
      </c>
      <c r="E47" s="73">
        <v>1646.0712000000001</v>
      </c>
    </row>
    <row r="48" spans="2:6">
      <c r="B48" s="186" t="s">
        <v>6</v>
      </c>
      <c r="C48" s="187" t="s">
        <v>41</v>
      </c>
      <c r="D48" s="200">
        <v>1646.0712000000001</v>
      </c>
      <c r="E48" s="149">
        <v>6671.0860000000002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84" t="s">
        <v>4</v>
      </c>
      <c r="C50" s="185" t="s">
        <v>40</v>
      </c>
      <c r="D50" s="200">
        <v>184.56</v>
      </c>
      <c r="E50" s="75">
        <v>229.23</v>
      </c>
    </row>
    <row r="51" spans="2:5">
      <c r="B51" s="184" t="s">
        <v>6</v>
      </c>
      <c r="C51" s="185" t="s">
        <v>114</v>
      </c>
      <c r="D51" s="200">
        <v>183.66</v>
      </c>
      <c r="E51" s="75">
        <v>48.87</v>
      </c>
    </row>
    <row r="52" spans="2:5">
      <c r="B52" s="184" t="s">
        <v>8</v>
      </c>
      <c r="C52" s="185" t="s">
        <v>115</v>
      </c>
      <c r="D52" s="200">
        <v>231.17</v>
      </c>
      <c r="E52" s="75">
        <v>59.09</v>
      </c>
    </row>
    <row r="53" spans="2:5" ht="14.25" customHeight="1" thickBot="1">
      <c r="B53" s="188" t="s">
        <v>9</v>
      </c>
      <c r="C53" s="189" t="s">
        <v>41</v>
      </c>
      <c r="D53" s="202">
        <v>229.23</v>
      </c>
      <c r="E53" s="280">
        <v>59.09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4.25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394194.47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2.7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394194.47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394194.47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394194.47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2"/>
  <dimension ref="A1:G81"/>
  <sheetViews>
    <sheetView topLeftCell="A13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7"/>
      <c r="C4" s="147"/>
      <c r="D4" s="147"/>
      <c r="E4" s="147"/>
    </row>
    <row r="5" spans="2:7" ht="14.25">
      <c r="B5" s="352" t="s">
        <v>1</v>
      </c>
      <c r="C5" s="352"/>
      <c r="D5" s="352"/>
      <c r="E5" s="352"/>
    </row>
    <row r="6" spans="2:7" ht="14.25">
      <c r="B6" s="353" t="s">
        <v>220</v>
      </c>
      <c r="C6" s="353"/>
      <c r="D6" s="353"/>
      <c r="E6" s="353"/>
    </row>
    <row r="7" spans="2:7" ht="14.25">
      <c r="B7" s="153"/>
      <c r="C7" s="153"/>
      <c r="D7" s="153"/>
      <c r="E7" s="153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54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17122.150000000001</v>
      </c>
      <c r="E11" s="228">
        <f>SUM(E12:E14)</f>
        <v>17598.98</v>
      </c>
    </row>
    <row r="12" spans="2:7">
      <c r="B12" s="173" t="s">
        <v>4</v>
      </c>
      <c r="C12" s="174" t="s">
        <v>5</v>
      </c>
      <c r="D12" s="241">
        <v>17122.150000000001</v>
      </c>
      <c r="E12" s="245">
        <v>17598.98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17122.150000000001</v>
      </c>
      <c r="E21" s="148">
        <f>E11-E17</f>
        <v>17598.98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16298.56</v>
      </c>
      <c r="E26" s="217">
        <f>D21</f>
        <v>17122.150000000001</v>
      </c>
    </row>
    <row r="27" spans="2:6">
      <c r="B27" s="9" t="s">
        <v>17</v>
      </c>
      <c r="C27" s="10" t="s">
        <v>111</v>
      </c>
      <c r="D27" s="323">
        <v>-487.31</v>
      </c>
      <c r="E27" s="274">
        <v>-514.37</v>
      </c>
      <c r="F27" s="71"/>
    </row>
    <row r="28" spans="2:6">
      <c r="B28" s="9" t="s">
        <v>18</v>
      </c>
      <c r="C28" s="10" t="s">
        <v>19</v>
      </c>
      <c r="D28" s="323"/>
      <c r="E28" s="275"/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487.31</v>
      </c>
      <c r="E32" s="275">
        <v>514.37</v>
      </c>
      <c r="F32" s="71"/>
    </row>
    <row r="33" spans="2:6">
      <c r="B33" s="181" t="s">
        <v>4</v>
      </c>
      <c r="C33" s="174" t="s">
        <v>25</v>
      </c>
      <c r="D33" s="324"/>
      <c r="E33" s="276"/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204.1</v>
      </c>
      <c r="E35" s="276">
        <v>223.49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283.20999999999998</v>
      </c>
      <c r="E37" s="276">
        <v>290.88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/>
      <c r="F39" s="71"/>
    </row>
    <row r="40" spans="2:6" ht="13.5" thickBot="1">
      <c r="B40" s="97" t="s">
        <v>35</v>
      </c>
      <c r="C40" s="98" t="s">
        <v>36</v>
      </c>
      <c r="D40" s="326">
        <v>1310.9</v>
      </c>
      <c r="E40" s="279">
        <v>991.2</v>
      </c>
    </row>
    <row r="41" spans="2:6" ht="13.5" thickBot="1">
      <c r="B41" s="99" t="s">
        <v>37</v>
      </c>
      <c r="C41" s="100" t="s">
        <v>38</v>
      </c>
      <c r="D41" s="327">
        <v>17122.150000000001</v>
      </c>
      <c r="E41" s="148">
        <f>E26+E27+E40</f>
        <v>17598.980000000003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97.977500000000006</v>
      </c>
      <c r="E47" s="73">
        <v>95.149500000000003</v>
      </c>
    </row>
    <row r="48" spans="2:6">
      <c r="B48" s="186" t="s">
        <v>6</v>
      </c>
      <c r="C48" s="187" t="s">
        <v>41</v>
      </c>
      <c r="D48" s="200">
        <v>95.149500000000003</v>
      </c>
      <c r="E48" s="149">
        <v>92.320099999999996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84" t="s">
        <v>4</v>
      </c>
      <c r="C50" s="185" t="s">
        <v>40</v>
      </c>
      <c r="D50" s="200">
        <v>166.35</v>
      </c>
      <c r="E50" s="75">
        <v>179.95</v>
      </c>
    </row>
    <row r="51" spans="2:5">
      <c r="B51" s="184" t="s">
        <v>6</v>
      </c>
      <c r="C51" s="185" t="s">
        <v>114</v>
      </c>
      <c r="D51" s="200">
        <v>166.35</v>
      </c>
      <c r="E51" s="75">
        <v>164.79</v>
      </c>
    </row>
    <row r="52" spans="2:5">
      <c r="B52" s="184" t="s">
        <v>8</v>
      </c>
      <c r="C52" s="185" t="s">
        <v>115</v>
      </c>
      <c r="D52" s="200">
        <v>180.17</v>
      </c>
      <c r="E52" s="75">
        <v>190.63</v>
      </c>
    </row>
    <row r="53" spans="2:5" ht="13.5" thickBot="1">
      <c r="B53" s="188" t="s">
        <v>9</v>
      </c>
      <c r="C53" s="189" t="s">
        <v>41</v>
      </c>
      <c r="D53" s="202">
        <v>179.95</v>
      </c>
      <c r="E53" s="280">
        <v>190.63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4.25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17598.98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17598.98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17598.98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17598.98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9:E9"/>
    <mergeCell ref="B2:E2"/>
    <mergeCell ref="B3:E3"/>
    <mergeCell ref="B5:E5"/>
    <mergeCell ref="B6:E6"/>
    <mergeCell ref="B8:E8"/>
    <mergeCell ref="B56:E56"/>
    <mergeCell ref="B57:C57"/>
    <mergeCell ref="B21:C21"/>
    <mergeCell ref="B23:E23"/>
    <mergeCell ref="B24:E24"/>
    <mergeCell ref="B43:E43"/>
    <mergeCell ref="B44:E44"/>
    <mergeCell ref="B55:E55"/>
  </mergeCells>
  <pageMargins left="0.7" right="0.7" top="0.75" bottom="0.75" header="0.3" footer="0.3"/>
  <pageSetup paperSize="9" orientation="portrait" horizontalDpi="90" verticalDpi="90" r:id="rId1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4"/>
  <dimension ref="A1:G81"/>
  <sheetViews>
    <sheetView topLeftCell="A16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1"/>
      <c r="C4" s="141"/>
      <c r="D4" s="141"/>
      <c r="E4" s="141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221</v>
      </c>
      <c r="C6" s="353"/>
      <c r="D6" s="353"/>
      <c r="E6" s="353"/>
    </row>
    <row r="7" spans="2:7" ht="14.25">
      <c r="B7" s="139"/>
      <c r="C7" s="139"/>
      <c r="D7" s="139"/>
      <c r="E7" s="13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40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17474.71</v>
      </c>
      <c r="E11" s="228">
        <f>SUM(E12:E14)</f>
        <v>27347.780000000002</v>
      </c>
    </row>
    <row r="12" spans="2:7">
      <c r="B12" s="173" t="s">
        <v>4</v>
      </c>
      <c r="C12" s="174" t="s">
        <v>5</v>
      </c>
      <c r="D12" s="241">
        <v>17474.71</v>
      </c>
      <c r="E12" s="245">
        <v>27347.780000000002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17474.71</v>
      </c>
      <c r="E21" s="148">
        <f>E11-E17</f>
        <v>27347.780000000002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31861.9</v>
      </c>
      <c r="E26" s="217">
        <f>D21</f>
        <v>17474.71</v>
      </c>
    </row>
    <row r="27" spans="2:6">
      <c r="B27" s="9" t="s">
        <v>17</v>
      </c>
      <c r="C27" s="10" t="s">
        <v>111</v>
      </c>
      <c r="D27" s="323">
        <v>-16943.14</v>
      </c>
      <c r="E27" s="274">
        <f>E28-E32</f>
        <v>2695.11</v>
      </c>
      <c r="F27" s="71"/>
    </row>
    <row r="28" spans="2:6">
      <c r="B28" s="9" t="s">
        <v>18</v>
      </c>
      <c r="C28" s="10" t="s">
        <v>19</v>
      </c>
      <c r="D28" s="323"/>
      <c r="E28" s="275">
        <v>3753.8</v>
      </c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>
        <v>3753.8</v>
      </c>
      <c r="F31" s="71"/>
    </row>
    <row r="32" spans="2:6">
      <c r="B32" s="92" t="s">
        <v>23</v>
      </c>
      <c r="C32" s="11" t="s">
        <v>24</v>
      </c>
      <c r="D32" s="323">
        <v>16943.14</v>
      </c>
      <c r="E32" s="275">
        <f>SUM(E33:E39)</f>
        <v>1058.69</v>
      </c>
      <c r="F32" s="71"/>
    </row>
    <row r="33" spans="2:6">
      <c r="B33" s="181" t="s">
        <v>4</v>
      </c>
      <c r="C33" s="174" t="s">
        <v>25</v>
      </c>
      <c r="D33" s="324">
        <v>16305.92</v>
      </c>
      <c r="E33" s="276">
        <f>636.74+5.69</f>
        <v>642.43000000000006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31.52</v>
      </c>
      <c r="E35" s="276">
        <v>32.450000000000003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605.70000000000005</v>
      </c>
      <c r="E37" s="276">
        <v>383.81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/>
      <c r="F39" s="71"/>
    </row>
    <row r="40" spans="2:6" ht="13.5" thickBot="1">
      <c r="B40" s="97" t="s">
        <v>35</v>
      </c>
      <c r="C40" s="98" t="s">
        <v>36</v>
      </c>
      <c r="D40" s="326">
        <v>2555.9499999999998</v>
      </c>
      <c r="E40" s="279">
        <v>7177.96</v>
      </c>
    </row>
    <row r="41" spans="2:6" ht="13.5" thickBot="1">
      <c r="B41" s="99" t="s">
        <v>37</v>
      </c>
      <c r="C41" s="100" t="s">
        <v>38</v>
      </c>
      <c r="D41" s="327">
        <v>17474.710000000003</v>
      </c>
      <c r="E41" s="148">
        <f>E26+E27+E40</f>
        <v>27347.78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235.82192000000001</v>
      </c>
      <c r="E47" s="73">
        <v>116.196</v>
      </c>
    </row>
    <row r="48" spans="2:6">
      <c r="B48" s="186" t="s">
        <v>6</v>
      </c>
      <c r="C48" s="187" t="s">
        <v>41</v>
      </c>
      <c r="D48" s="200">
        <v>116.196</v>
      </c>
      <c r="E48" s="149">
        <v>139.03290000000001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84" t="s">
        <v>4</v>
      </c>
      <c r="C50" s="185" t="s">
        <v>40</v>
      </c>
      <c r="D50" s="200">
        <v>135.11000000000001</v>
      </c>
      <c r="E50" s="75">
        <v>150.38999999999999</v>
      </c>
    </row>
    <row r="51" spans="2:5">
      <c r="B51" s="184" t="s">
        <v>6</v>
      </c>
      <c r="C51" s="185" t="s">
        <v>114</v>
      </c>
      <c r="D51" s="200">
        <v>135.11000000000001</v>
      </c>
      <c r="E51" s="75">
        <v>109.11</v>
      </c>
    </row>
    <row r="52" spans="2:5">
      <c r="B52" s="184" t="s">
        <v>8</v>
      </c>
      <c r="C52" s="185" t="s">
        <v>115</v>
      </c>
      <c r="D52" s="200">
        <v>150.38999999999999</v>
      </c>
      <c r="E52" s="75">
        <v>197.9</v>
      </c>
    </row>
    <row r="53" spans="2:5" ht="14.25" customHeight="1" thickBot="1">
      <c r="B53" s="188" t="s">
        <v>9</v>
      </c>
      <c r="C53" s="189" t="s">
        <v>41</v>
      </c>
      <c r="D53" s="202">
        <v>150.38999999999999</v>
      </c>
      <c r="E53" s="280">
        <v>196.7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6.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27347.780000000002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2.7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27347.780000000002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27347.780000000002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27347.780000000002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6"/>
  <dimension ref="A1:F81"/>
  <sheetViews>
    <sheetView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1" t="s">
        <v>0</v>
      </c>
      <c r="C2" s="351"/>
      <c r="D2" s="351"/>
      <c r="E2" s="351"/>
    </row>
    <row r="3" spans="2:5" ht="15.75">
      <c r="B3" s="351" t="s">
        <v>271</v>
      </c>
      <c r="C3" s="351"/>
      <c r="D3" s="351"/>
      <c r="E3" s="351"/>
    </row>
    <row r="4" spans="2:5" ht="15">
      <c r="B4" s="141"/>
      <c r="C4" s="141"/>
      <c r="D4" s="141"/>
      <c r="E4" s="141"/>
    </row>
    <row r="5" spans="2:5" ht="21" customHeight="1">
      <c r="B5" s="352" t="s">
        <v>1</v>
      </c>
      <c r="C5" s="352"/>
      <c r="D5" s="352"/>
      <c r="E5" s="352"/>
    </row>
    <row r="6" spans="2:5" ht="14.25">
      <c r="B6" s="353" t="s">
        <v>222</v>
      </c>
      <c r="C6" s="353"/>
      <c r="D6" s="353"/>
      <c r="E6" s="353"/>
    </row>
    <row r="7" spans="2:5" ht="14.25">
      <c r="B7" s="139"/>
      <c r="C7" s="139"/>
      <c r="D7" s="139"/>
      <c r="E7" s="139"/>
    </row>
    <row r="8" spans="2:5" ht="13.5">
      <c r="B8" s="355" t="s">
        <v>18</v>
      </c>
      <c r="C8" s="357"/>
      <c r="D8" s="357"/>
      <c r="E8" s="357"/>
    </row>
    <row r="9" spans="2:5" ht="16.5" thickBot="1">
      <c r="B9" s="354" t="s">
        <v>103</v>
      </c>
      <c r="C9" s="354"/>
      <c r="D9" s="354"/>
      <c r="E9" s="354"/>
    </row>
    <row r="10" spans="2:5" ht="13.5" thickBot="1">
      <c r="B10" s="140"/>
      <c r="C10" s="76" t="s">
        <v>2</v>
      </c>
      <c r="D10" s="70" t="s">
        <v>245</v>
      </c>
      <c r="E10" s="255" t="s">
        <v>265</v>
      </c>
    </row>
    <row r="11" spans="2:5">
      <c r="B11" s="90" t="s">
        <v>3</v>
      </c>
      <c r="C11" s="128" t="s">
        <v>109</v>
      </c>
      <c r="D11" s="227">
        <v>51580.850000000006</v>
      </c>
      <c r="E11" s="228"/>
    </row>
    <row r="12" spans="2:5">
      <c r="B12" s="173" t="s">
        <v>4</v>
      </c>
      <c r="C12" s="174" t="s">
        <v>5</v>
      </c>
      <c r="D12" s="241">
        <v>51580.850000000006</v>
      </c>
      <c r="E12" s="245"/>
    </row>
    <row r="13" spans="2:5">
      <c r="B13" s="173" t="s">
        <v>6</v>
      </c>
      <c r="C13" s="175" t="s">
        <v>7</v>
      </c>
      <c r="D13" s="237"/>
      <c r="E13" s="246"/>
    </row>
    <row r="14" spans="2:5">
      <c r="B14" s="173" t="s">
        <v>8</v>
      </c>
      <c r="C14" s="175" t="s">
        <v>10</v>
      </c>
      <c r="D14" s="237"/>
      <c r="E14" s="246"/>
    </row>
    <row r="15" spans="2:5">
      <c r="B15" s="173" t="s">
        <v>106</v>
      </c>
      <c r="C15" s="175" t="s">
        <v>11</v>
      </c>
      <c r="D15" s="237"/>
      <c r="E15" s="246"/>
    </row>
    <row r="16" spans="2:5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51580.850000000006</v>
      </c>
      <c r="E21" s="148"/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225660.9</v>
      </c>
      <c r="E26" s="217">
        <f>D21</f>
        <v>51580.850000000006</v>
      </c>
    </row>
    <row r="27" spans="2:6">
      <c r="B27" s="9" t="s">
        <v>17</v>
      </c>
      <c r="C27" s="10" t="s">
        <v>111</v>
      </c>
      <c r="D27" s="323">
        <v>-178302.47000000003</v>
      </c>
      <c r="E27" s="274">
        <v>-51798.09</v>
      </c>
      <c r="F27" s="71"/>
    </row>
    <row r="28" spans="2:6">
      <c r="B28" s="9" t="s">
        <v>18</v>
      </c>
      <c r="C28" s="10" t="s">
        <v>19</v>
      </c>
      <c r="D28" s="323">
        <v>30964.86</v>
      </c>
      <c r="E28" s="275"/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>
        <v>30964.86</v>
      </c>
      <c r="E31" s="276"/>
      <c r="F31" s="71"/>
    </row>
    <row r="32" spans="2:6">
      <c r="B32" s="92" t="s">
        <v>23</v>
      </c>
      <c r="C32" s="11" t="s">
        <v>24</v>
      </c>
      <c r="D32" s="323">
        <v>209267.33000000002</v>
      </c>
      <c r="E32" s="275">
        <v>51798.09</v>
      </c>
      <c r="F32" s="71"/>
    </row>
    <row r="33" spans="2:6">
      <c r="B33" s="181" t="s">
        <v>4</v>
      </c>
      <c r="C33" s="174" t="s">
        <v>25</v>
      </c>
      <c r="D33" s="324">
        <v>123250.47</v>
      </c>
      <c r="E33" s="276">
        <v>51300.22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165.81</v>
      </c>
      <c r="E35" s="276">
        <v>3.2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3837.09</v>
      </c>
      <c r="E37" s="276">
        <v>249.11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>
        <v>82013.960000000006</v>
      </c>
      <c r="E39" s="277">
        <v>245.56</v>
      </c>
      <c r="F39" s="71"/>
    </row>
    <row r="40" spans="2:6" ht="13.5" thickBot="1">
      <c r="B40" s="97" t="s">
        <v>35</v>
      </c>
      <c r="C40" s="98" t="s">
        <v>36</v>
      </c>
      <c r="D40" s="326">
        <v>4222.42</v>
      </c>
      <c r="E40" s="279">
        <v>217.24</v>
      </c>
    </row>
    <row r="41" spans="2:6" ht="13.5" thickBot="1">
      <c r="B41" s="99" t="s">
        <v>37</v>
      </c>
      <c r="C41" s="100" t="s">
        <v>38</v>
      </c>
      <c r="D41" s="327">
        <v>51580.849999999962</v>
      </c>
      <c r="E41" s="148" t="s">
        <v>123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1509.5384309999999</v>
      </c>
      <c r="E47" s="73">
        <v>337.43850000000003</v>
      </c>
    </row>
    <row r="48" spans="2:6">
      <c r="B48" s="186" t="s">
        <v>6</v>
      </c>
      <c r="C48" s="187" t="s">
        <v>41</v>
      </c>
      <c r="D48" s="200">
        <v>337.43850000000003</v>
      </c>
      <c r="E48" s="149"/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84" t="s">
        <v>4</v>
      </c>
      <c r="C50" s="185" t="s">
        <v>40</v>
      </c>
      <c r="D50" s="200">
        <v>149.49</v>
      </c>
      <c r="E50" s="75">
        <v>152.86000000000001</v>
      </c>
    </row>
    <row r="51" spans="2:5">
      <c r="B51" s="184" t="s">
        <v>6</v>
      </c>
      <c r="C51" s="185" t="s">
        <v>114</v>
      </c>
      <c r="D51" s="200">
        <v>149.49</v>
      </c>
      <c r="E51" s="75">
        <v>152.66</v>
      </c>
    </row>
    <row r="52" spans="2:5">
      <c r="B52" s="184" t="s">
        <v>8</v>
      </c>
      <c r="C52" s="185" t="s">
        <v>115</v>
      </c>
      <c r="D52" s="200">
        <v>152.86000000000001</v>
      </c>
      <c r="E52" s="75">
        <v>154.13999999999999</v>
      </c>
    </row>
    <row r="53" spans="2:5" ht="13.5" customHeight="1" thickBot="1">
      <c r="B53" s="188" t="s">
        <v>9</v>
      </c>
      <c r="C53" s="189" t="s">
        <v>41</v>
      </c>
      <c r="D53" s="202">
        <v>152.86000000000001</v>
      </c>
      <c r="E53" s="280"/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7.2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0</v>
      </c>
      <c r="E58" s="31">
        <v>0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E12</f>
        <v>0</v>
      </c>
      <c r="E64" s="81">
        <f>E58</f>
        <v>0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f>E17</f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D58-D73</f>
        <v>0</v>
      </c>
      <c r="E74" s="66">
        <f>E58+E72-E73</f>
        <v>0</v>
      </c>
    </row>
    <row r="75" spans="2:5">
      <c r="B75" s="102" t="s">
        <v>4</v>
      </c>
      <c r="C75" s="15" t="s">
        <v>67</v>
      </c>
      <c r="D75" s="78">
        <f>D74</f>
        <v>0</v>
      </c>
      <c r="E75" s="79">
        <f>E74</f>
        <v>0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8"/>
  <dimension ref="A1:G81"/>
  <sheetViews>
    <sheetView topLeftCell="A19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1"/>
      <c r="C4" s="141"/>
      <c r="D4" s="141"/>
      <c r="E4" s="141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223</v>
      </c>
      <c r="C6" s="353"/>
      <c r="D6" s="353"/>
      <c r="E6" s="353"/>
    </row>
    <row r="7" spans="2:7" ht="14.25">
      <c r="B7" s="139"/>
      <c r="C7" s="139"/>
      <c r="D7" s="139"/>
      <c r="E7" s="13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40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15921.06</v>
      </c>
      <c r="E11" s="228">
        <f>SUM(E12:E14)</f>
        <v>30794.31</v>
      </c>
    </row>
    <row r="12" spans="2:7">
      <c r="B12" s="173" t="s">
        <v>4</v>
      </c>
      <c r="C12" s="174" t="s">
        <v>5</v>
      </c>
      <c r="D12" s="241">
        <v>15921.06</v>
      </c>
      <c r="E12" s="245">
        <v>30794.31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15921.06</v>
      </c>
      <c r="E21" s="148">
        <f>E11-E17</f>
        <v>30794.31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15201.67</v>
      </c>
      <c r="E26" s="217">
        <f>D21</f>
        <v>15921.06</v>
      </c>
    </row>
    <row r="27" spans="2:6">
      <c r="B27" s="9" t="s">
        <v>17</v>
      </c>
      <c r="C27" s="10" t="s">
        <v>111</v>
      </c>
      <c r="D27" s="323">
        <v>-313.46999999999997</v>
      </c>
      <c r="E27" s="274">
        <v>12781.94</v>
      </c>
      <c r="F27" s="71"/>
    </row>
    <row r="28" spans="2:6">
      <c r="B28" s="9" t="s">
        <v>18</v>
      </c>
      <c r="C28" s="10" t="s">
        <v>19</v>
      </c>
      <c r="D28" s="323">
        <v>0</v>
      </c>
      <c r="E28" s="275">
        <v>13307.2</v>
      </c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>
        <v>13307.2</v>
      </c>
      <c r="F31" s="71"/>
    </row>
    <row r="32" spans="2:6">
      <c r="B32" s="92" t="s">
        <v>23</v>
      </c>
      <c r="C32" s="11" t="s">
        <v>24</v>
      </c>
      <c r="D32" s="323">
        <v>313.46999999999997</v>
      </c>
      <c r="E32" s="275">
        <v>525.26</v>
      </c>
      <c r="F32" s="71"/>
    </row>
    <row r="33" spans="2:6">
      <c r="B33" s="181" t="s">
        <v>4</v>
      </c>
      <c r="C33" s="174" t="s">
        <v>25</v>
      </c>
      <c r="D33" s="324"/>
      <c r="E33" s="276"/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10.27</v>
      </c>
      <c r="E35" s="276">
        <v>34.5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303.2</v>
      </c>
      <c r="E37" s="276">
        <v>490.76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/>
      <c r="F39" s="71"/>
    </row>
    <row r="40" spans="2:6" ht="13.5" thickBot="1">
      <c r="B40" s="97" t="s">
        <v>35</v>
      </c>
      <c r="C40" s="98" t="s">
        <v>36</v>
      </c>
      <c r="D40" s="326">
        <v>1032.8599999999999</v>
      </c>
      <c r="E40" s="279">
        <v>2091.31</v>
      </c>
    </row>
    <row r="41" spans="2:6" ht="13.5" thickBot="1">
      <c r="B41" s="99" t="s">
        <v>37</v>
      </c>
      <c r="C41" s="100" t="s">
        <v>38</v>
      </c>
      <c r="D41" s="327">
        <v>15921.060000000001</v>
      </c>
      <c r="E41" s="148">
        <f>E26+E27+E40</f>
        <v>30794.31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121.5453</v>
      </c>
      <c r="E47" s="73">
        <v>119.1785</v>
      </c>
    </row>
    <row r="48" spans="2:6">
      <c r="B48" s="186" t="s">
        <v>6</v>
      </c>
      <c r="C48" s="187" t="s">
        <v>41</v>
      </c>
      <c r="D48" s="200">
        <v>119.1785</v>
      </c>
      <c r="E48" s="149">
        <v>214.22130000000001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84" t="s">
        <v>4</v>
      </c>
      <c r="C50" s="185" t="s">
        <v>40</v>
      </c>
      <c r="D50" s="200">
        <v>125.07</v>
      </c>
      <c r="E50" s="75">
        <v>133.59</v>
      </c>
    </row>
    <row r="51" spans="2:5">
      <c r="B51" s="184" t="s">
        <v>6</v>
      </c>
      <c r="C51" s="185" t="s">
        <v>114</v>
      </c>
      <c r="D51" s="200">
        <v>125.07</v>
      </c>
      <c r="E51" s="75">
        <v>132.19</v>
      </c>
    </row>
    <row r="52" spans="2:5">
      <c r="B52" s="184" t="s">
        <v>8</v>
      </c>
      <c r="C52" s="185" t="s">
        <v>115</v>
      </c>
      <c r="D52" s="200">
        <v>135.4</v>
      </c>
      <c r="E52" s="75">
        <v>143.75</v>
      </c>
    </row>
    <row r="53" spans="2:5" ht="13.5" customHeight="1" thickBot="1">
      <c r="B53" s="188" t="s">
        <v>9</v>
      </c>
      <c r="C53" s="189" t="s">
        <v>41</v>
      </c>
      <c r="D53" s="202">
        <v>133.59</v>
      </c>
      <c r="E53" s="280">
        <v>143.75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6.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30794.31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30794.31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30794.31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30794.31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2"/>
  <dimension ref="A1:F81"/>
  <sheetViews>
    <sheetView topLeftCell="A13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1" t="s">
        <v>0</v>
      </c>
      <c r="C2" s="351"/>
      <c r="D2" s="351"/>
      <c r="E2" s="351"/>
    </row>
    <row r="3" spans="2:5" ht="15.75">
      <c r="B3" s="351" t="s">
        <v>271</v>
      </c>
      <c r="C3" s="351"/>
      <c r="D3" s="351"/>
      <c r="E3" s="351"/>
    </row>
    <row r="4" spans="2:5" ht="15">
      <c r="B4" s="141"/>
      <c r="C4" s="141"/>
      <c r="D4" s="141"/>
      <c r="E4" s="141"/>
    </row>
    <row r="5" spans="2:5" ht="21" customHeight="1">
      <c r="B5" s="352" t="s">
        <v>1</v>
      </c>
      <c r="C5" s="352"/>
      <c r="D5" s="352"/>
      <c r="E5" s="352"/>
    </row>
    <row r="6" spans="2:5" ht="14.25">
      <c r="B6" s="353" t="s">
        <v>224</v>
      </c>
      <c r="C6" s="353"/>
      <c r="D6" s="353"/>
      <c r="E6" s="353"/>
    </row>
    <row r="7" spans="2:5" ht="14.25">
      <c r="B7" s="139"/>
      <c r="C7" s="139"/>
      <c r="D7" s="139"/>
      <c r="E7" s="139"/>
    </row>
    <row r="8" spans="2:5" ht="13.5">
      <c r="B8" s="355" t="s">
        <v>18</v>
      </c>
      <c r="C8" s="357"/>
      <c r="D8" s="357"/>
      <c r="E8" s="357"/>
    </row>
    <row r="9" spans="2:5" ht="16.5" thickBot="1">
      <c r="B9" s="354" t="s">
        <v>103</v>
      </c>
      <c r="C9" s="354"/>
      <c r="D9" s="354"/>
      <c r="E9" s="354"/>
    </row>
    <row r="10" spans="2:5" ht="13.5" thickBot="1">
      <c r="B10" s="140"/>
      <c r="C10" s="76" t="s">
        <v>2</v>
      </c>
      <c r="D10" s="70" t="s">
        <v>245</v>
      </c>
      <c r="E10" s="255" t="s">
        <v>265</v>
      </c>
    </row>
    <row r="11" spans="2:5">
      <c r="B11" s="90" t="s">
        <v>3</v>
      </c>
      <c r="C11" s="128" t="s">
        <v>109</v>
      </c>
      <c r="D11" s="227">
        <v>94074.91</v>
      </c>
      <c r="E11" s="228"/>
    </row>
    <row r="12" spans="2:5">
      <c r="B12" s="173" t="s">
        <v>4</v>
      </c>
      <c r="C12" s="174" t="s">
        <v>5</v>
      </c>
      <c r="D12" s="241">
        <v>94074.91</v>
      </c>
      <c r="E12" s="245"/>
    </row>
    <row r="13" spans="2:5">
      <c r="B13" s="173" t="s">
        <v>6</v>
      </c>
      <c r="C13" s="175" t="s">
        <v>7</v>
      </c>
      <c r="D13" s="237"/>
      <c r="E13" s="246"/>
    </row>
    <row r="14" spans="2:5">
      <c r="B14" s="173" t="s">
        <v>8</v>
      </c>
      <c r="C14" s="175" t="s">
        <v>10</v>
      </c>
      <c r="D14" s="237"/>
      <c r="E14" s="246"/>
    </row>
    <row r="15" spans="2:5">
      <c r="B15" s="173" t="s">
        <v>106</v>
      </c>
      <c r="C15" s="175" t="s">
        <v>11</v>
      </c>
      <c r="D15" s="237"/>
      <c r="E15" s="246"/>
    </row>
    <row r="16" spans="2:5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94074.91</v>
      </c>
      <c r="E21" s="148"/>
      <c r="F21" s="77"/>
    </row>
    <row r="22" spans="2:6">
      <c r="B22" s="3"/>
      <c r="C22" s="7"/>
      <c r="D22" s="8"/>
      <c r="E22" s="215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89072.15</v>
      </c>
      <c r="E26" s="217">
        <f>D21</f>
        <v>94074.91</v>
      </c>
    </row>
    <row r="27" spans="2:6">
      <c r="B27" s="9" t="s">
        <v>17</v>
      </c>
      <c r="C27" s="10" t="s">
        <v>111</v>
      </c>
      <c r="D27" s="323">
        <v>-1614.37</v>
      </c>
      <c r="E27" s="274">
        <v>-94839.5</v>
      </c>
      <c r="F27" s="71"/>
    </row>
    <row r="28" spans="2:6">
      <c r="B28" s="9" t="s">
        <v>18</v>
      </c>
      <c r="C28" s="10" t="s">
        <v>19</v>
      </c>
      <c r="D28" s="323"/>
      <c r="E28" s="275"/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1614.37</v>
      </c>
      <c r="E32" s="275">
        <v>94839.5</v>
      </c>
      <c r="F32" s="71"/>
    </row>
    <row r="33" spans="2:6">
      <c r="B33" s="181" t="s">
        <v>4</v>
      </c>
      <c r="C33" s="174" t="s">
        <v>25</v>
      </c>
      <c r="D33" s="324"/>
      <c r="E33" s="276">
        <v>94503.69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/>
      <c r="E35" s="276"/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1614.37</v>
      </c>
      <c r="E37" s="276">
        <v>335.81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/>
      <c r="F39" s="71"/>
    </row>
    <row r="40" spans="2:6" ht="13.5" thickBot="1">
      <c r="B40" s="97" t="s">
        <v>35</v>
      </c>
      <c r="C40" s="98" t="s">
        <v>36</v>
      </c>
      <c r="D40" s="326">
        <v>6617.13</v>
      </c>
      <c r="E40" s="279">
        <v>764.59</v>
      </c>
    </row>
    <row r="41" spans="2:6" ht="13.5" thickBot="1">
      <c r="B41" s="99" t="s">
        <v>37</v>
      </c>
      <c r="C41" s="100" t="s">
        <v>38</v>
      </c>
      <c r="D41" s="327">
        <v>94074.91</v>
      </c>
      <c r="E41" s="148" t="s">
        <v>123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172.39</v>
      </c>
      <c r="E47" s="73">
        <v>169.45</v>
      </c>
    </row>
    <row r="48" spans="2:6">
      <c r="B48" s="186" t="s">
        <v>6</v>
      </c>
      <c r="C48" s="187" t="s">
        <v>41</v>
      </c>
      <c r="D48" s="200">
        <v>169.45</v>
      </c>
      <c r="E48" s="149"/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84" t="s">
        <v>4</v>
      </c>
      <c r="C50" s="185" t="s">
        <v>40</v>
      </c>
      <c r="D50" s="200">
        <v>516.68979999999999</v>
      </c>
      <c r="E50" s="75">
        <v>555.178</v>
      </c>
    </row>
    <row r="51" spans="2:5">
      <c r="B51" s="184" t="s">
        <v>6</v>
      </c>
      <c r="C51" s="185" t="s">
        <v>114</v>
      </c>
      <c r="D51" s="200">
        <v>510.9015</v>
      </c>
      <c r="E51" s="75">
        <v>462.57650000000001</v>
      </c>
    </row>
    <row r="52" spans="2:5">
      <c r="B52" s="184" t="s">
        <v>8</v>
      </c>
      <c r="C52" s="185" t="s">
        <v>115</v>
      </c>
      <c r="D52" s="200">
        <v>559.06830000000002</v>
      </c>
      <c r="E52" s="75">
        <v>571.74019999999996</v>
      </c>
    </row>
    <row r="53" spans="2:5" ht="12.75" customHeight="1" thickBot="1">
      <c r="B53" s="188" t="s">
        <v>9</v>
      </c>
      <c r="C53" s="189" t="s">
        <v>41</v>
      </c>
      <c r="D53" s="202">
        <v>555.178</v>
      </c>
      <c r="E53" s="280"/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6.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0</v>
      </c>
      <c r="E58" s="31">
        <v>0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0</v>
      </c>
      <c r="E64" s="81">
        <f>E58</f>
        <v>0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0</v>
      </c>
      <c r="E74" s="66">
        <f>E58+E72-E73</f>
        <v>0</v>
      </c>
    </row>
    <row r="75" spans="2:5">
      <c r="B75" s="102" t="s">
        <v>4</v>
      </c>
      <c r="C75" s="15" t="s">
        <v>67</v>
      </c>
      <c r="D75" s="78">
        <v>0</v>
      </c>
      <c r="E75" s="79">
        <v>0</v>
      </c>
    </row>
    <row r="76" spans="2:5">
      <c r="B76" s="102" t="s">
        <v>6</v>
      </c>
      <c r="C76" s="15" t="s">
        <v>119</v>
      </c>
      <c r="D76" s="78">
        <f>D74</f>
        <v>0</v>
      </c>
      <c r="E76" s="79">
        <f>E74</f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pageSetUpPr fitToPage="1"/>
  </sheetPr>
  <dimension ref="A1:L81"/>
  <sheetViews>
    <sheetView zoomScale="80" zoomScaleNormal="80" workbookViewId="0">
      <selection activeCell="G16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85"/>
      <c r="C4" s="85"/>
      <c r="D4" s="85"/>
      <c r="E4" s="85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124</v>
      </c>
      <c r="C6" s="353"/>
      <c r="D6" s="353"/>
      <c r="E6" s="353"/>
    </row>
    <row r="7" spans="2:7" ht="14.25">
      <c r="B7" s="89"/>
      <c r="C7" s="89"/>
      <c r="D7" s="89"/>
      <c r="E7" s="8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226"/>
      <c r="C10" s="208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93" t="s">
        <v>109</v>
      </c>
      <c r="D11" s="227">
        <v>264464.53999999998</v>
      </c>
      <c r="E11" s="228">
        <f>SUM(E12:E14)</f>
        <v>238413.99000000002</v>
      </c>
    </row>
    <row r="12" spans="2:7">
      <c r="B12" s="173" t="s">
        <v>4</v>
      </c>
      <c r="C12" s="236" t="s">
        <v>5</v>
      </c>
      <c r="D12" s="241">
        <v>262321.58</v>
      </c>
      <c r="E12" s="245">
        <f>210978.01+26843.1</f>
        <v>237821.11000000002</v>
      </c>
    </row>
    <row r="13" spans="2:7">
      <c r="B13" s="173" t="s">
        <v>6</v>
      </c>
      <c r="C13" s="236" t="s">
        <v>7</v>
      </c>
      <c r="D13" s="237">
        <v>932.3</v>
      </c>
      <c r="E13" s="246">
        <v>179.28</v>
      </c>
    </row>
    <row r="14" spans="2:7">
      <c r="B14" s="173" t="s">
        <v>8</v>
      </c>
      <c r="C14" s="236" t="s">
        <v>10</v>
      </c>
      <c r="D14" s="237">
        <v>1210.6600000000001</v>
      </c>
      <c r="E14" s="246">
        <f>E15</f>
        <v>413.6</v>
      </c>
    </row>
    <row r="15" spans="2:7">
      <c r="B15" s="173" t="s">
        <v>106</v>
      </c>
      <c r="C15" s="236" t="s">
        <v>11</v>
      </c>
      <c r="D15" s="237">
        <v>1210.6600000000001</v>
      </c>
      <c r="E15" s="246">
        <v>413.6</v>
      </c>
    </row>
    <row r="16" spans="2:7">
      <c r="B16" s="176" t="s">
        <v>107</v>
      </c>
      <c r="C16" s="238" t="s">
        <v>12</v>
      </c>
      <c r="D16" s="239"/>
      <c r="E16" s="247"/>
    </row>
    <row r="17" spans="2:12">
      <c r="B17" s="9" t="s">
        <v>13</v>
      </c>
      <c r="C17" s="196" t="s">
        <v>65</v>
      </c>
      <c r="D17" s="240">
        <v>768.57</v>
      </c>
      <c r="E17" s="248">
        <f>E18</f>
        <v>1632.48</v>
      </c>
    </row>
    <row r="18" spans="2:12">
      <c r="B18" s="173" t="s">
        <v>4</v>
      </c>
      <c r="C18" s="236" t="s">
        <v>11</v>
      </c>
      <c r="D18" s="239">
        <v>768.57</v>
      </c>
      <c r="E18" s="247">
        <v>1632.48</v>
      </c>
    </row>
    <row r="19" spans="2:12" ht="15" customHeight="1">
      <c r="B19" s="173" t="s">
        <v>6</v>
      </c>
      <c r="C19" s="236" t="s">
        <v>108</v>
      </c>
      <c r="D19" s="237"/>
      <c r="E19" s="246"/>
    </row>
    <row r="20" spans="2:12" ht="13.5" thickBot="1">
      <c r="B20" s="178" t="s">
        <v>8</v>
      </c>
      <c r="C20" s="179" t="s">
        <v>14</v>
      </c>
      <c r="D20" s="229"/>
      <c r="E20" s="230"/>
    </row>
    <row r="21" spans="2:12" ht="13.5" thickBot="1">
      <c r="B21" s="361" t="s">
        <v>110</v>
      </c>
      <c r="C21" s="362"/>
      <c r="D21" s="231">
        <v>263695.96999999997</v>
      </c>
      <c r="E21" s="148">
        <f>E11-E17</f>
        <v>236781.51</v>
      </c>
      <c r="F21" s="77"/>
    </row>
    <row r="22" spans="2:12">
      <c r="B22" s="3"/>
      <c r="C22" s="7"/>
      <c r="D22" s="8"/>
      <c r="E22" s="8"/>
    </row>
    <row r="23" spans="2:12" ht="13.5">
      <c r="B23" s="355" t="s">
        <v>104</v>
      </c>
      <c r="C23" s="367"/>
      <c r="D23" s="367"/>
      <c r="E23" s="367"/>
    </row>
    <row r="24" spans="2:12" ht="16.5" customHeight="1" thickBot="1">
      <c r="B24" s="354" t="s">
        <v>105</v>
      </c>
      <c r="C24" s="368"/>
      <c r="D24" s="368"/>
      <c r="E24" s="368"/>
    </row>
    <row r="25" spans="2:12" ht="13.5" thickBot="1">
      <c r="B25" s="226"/>
      <c r="C25" s="180" t="s">
        <v>2</v>
      </c>
      <c r="D25" s="70" t="s">
        <v>245</v>
      </c>
      <c r="E25" s="255" t="s">
        <v>265</v>
      </c>
    </row>
    <row r="26" spans="2:12">
      <c r="B26" s="95" t="s">
        <v>15</v>
      </c>
      <c r="C26" s="96" t="s">
        <v>16</v>
      </c>
      <c r="D26" s="322">
        <v>242445.6</v>
      </c>
      <c r="E26" s="217">
        <f>D21</f>
        <v>263695.96999999997</v>
      </c>
    </row>
    <row r="27" spans="2:12">
      <c r="B27" s="9" t="s">
        <v>17</v>
      </c>
      <c r="C27" s="10" t="s">
        <v>111</v>
      </c>
      <c r="D27" s="323">
        <v>27097.070000000007</v>
      </c>
      <c r="E27" s="274">
        <f>E28-E32</f>
        <v>48564.009999999995</v>
      </c>
      <c r="F27" s="71"/>
    </row>
    <row r="28" spans="2:12">
      <c r="B28" s="9" t="s">
        <v>18</v>
      </c>
      <c r="C28" s="10" t="s">
        <v>19</v>
      </c>
      <c r="D28" s="323">
        <v>85914.85</v>
      </c>
      <c r="E28" s="275">
        <v>117877.67</v>
      </c>
      <c r="F28" s="71"/>
    </row>
    <row r="29" spans="2:12">
      <c r="B29" s="181" t="s">
        <v>4</v>
      </c>
      <c r="C29" s="174" t="s">
        <v>20</v>
      </c>
      <c r="D29" s="324">
        <v>85914.85</v>
      </c>
      <c r="E29" s="276">
        <v>78878.92</v>
      </c>
      <c r="F29" s="71"/>
    </row>
    <row r="30" spans="2:12">
      <c r="B30" s="181" t="s">
        <v>6</v>
      </c>
      <c r="C30" s="174" t="s">
        <v>21</v>
      </c>
      <c r="D30" s="324"/>
      <c r="E30" s="276"/>
      <c r="F30" s="71"/>
      <c r="L30" s="256"/>
    </row>
    <row r="31" spans="2:12">
      <c r="B31" s="181" t="s">
        <v>8</v>
      </c>
      <c r="C31" s="174" t="s">
        <v>22</v>
      </c>
      <c r="D31" s="324"/>
      <c r="E31" s="276">
        <v>38998.75</v>
      </c>
      <c r="F31" s="71"/>
    </row>
    <row r="32" spans="2:12">
      <c r="B32" s="92" t="s">
        <v>23</v>
      </c>
      <c r="C32" s="11" t="s">
        <v>24</v>
      </c>
      <c r="D32" s="323">
        <v>58817.78</v>
      </c>
      <c r="E32" s="275">
        <f>SUM(E33:E39)</f>
        <v>69313.66</v>
      </c>
      <c r="F32" s="71"/>
    </row>
    <row r="33" spans="2:12">
      <c r="B33" s="181" t="s">
        <v>4</v>
      </c>
      <c r="C33" s="174" t="s">
        <v>25</v>
      </c>
      <c r="D33" s="324">
        <v>45288.74</v>
      </c>
      <c r="E33" s="276">
        <v>38106.83</v>
      </c>
      <c r="F33" s="71"/>
    </row>
    <row r="34" spans="2:12">
      <c r="B34" s="181" t="s">
        <v>6</v>
      </c>
      <c r="C34" s="174" t="s">
        <v>26</v>
      </c>
      <c r="D34" s="324"/>
      <c r="E34" s="276"/>
      <c r="F34" s="71"/>
      <c r="L34" s="172"/>
    </row>
    <row r="35" spans="2:12">
      <c r="B35" s="181" t="s">
        <v>8</v>
      </c>
      <c r="C35" s="174" t="s">
        <v>27</v>
      </c>
      <c r="D35" s="324">
        <v>6578.66</v>
      </c>
      <c r="E35" s="276">
        <v>5741.73</v>
      </c>
      <c r="F35" s="71"/>
    </row>
    <row r="36" spans="2:12">
      <c r="B36" s="181" t="s">
        <v>9</v>
      </c>
      <c r="C36" s="174" t="s">
        <v>28</v>
      </c>
      <c r="D36" s="324"/>
      <c r="E36" s="276"/>
      <c r="F36" s="71"/>
    </row>
    <row r="37" spans="2:12" ht="25.5">
      <c r="B37" s="181" t="s">
        <v>29</v>
      </c>
      <c r="C37" s="174" t="s">
        <v>30</v>
      </c>
      <c r="D37" s="324"/>
      <c r="E37" s="276"/>
      <c r="F37" s="71"/>
    </row>
    <row r="38" spans="2:12">
      <c r="B38" s="181" t="s">
        <v>31</v>
      </c>
      <c r="C38" s="174" t="s">
        <v>32</v>
      </c>
      <c r="D38" s="324"/>
      <c r="E38" s="276"/>
      <c r="F38" s="71"/>
    </row>
    <row r="39" spans="2:12">
      <c r="B39" s="182" t="s">
        <v>33</v>
      </c>
      <c r="C39" s="183" t="s">
        <v>34</v>
      </c>
      <c r="D39" s="325">
        <v>6950.3800000000492</v>
      </c>
      <c r="E39" s="277">
        <v>25465.1</v>
      </c>
      <c r="F39" s="71"/>
    </row>
    <row r="40" spans="2:12" ht="13.5" thickBot="1">
      <c r="B40" s="97" t="s">
        <v>35</v>
      </c>
      <c r="C40" s="98" t="s">
        <v>36</v>
      </c>
      <c r="D40" s="326">
        <v>-5846.7</v>
      </c>
      <c r="E40" s="279">
        <v>-75478.47</v>
      </c>
    </row>
    <row r="41" spans="2:12" ht="13.5" thickBot="1">
      <c r="B41" s="99" t="s">
        <v>37</v>
      </c>
      <c r="C41" s="100" t="s">
        <v>38</v>
      </c>
      <c r="D41" s="327">
        <v>263695.97000000003</v>
      </c>
      <c r="E41" s="148">
        <f>E26+E27+E40</f>
        <v>236781.50999999998</v>
      </c>
      <c r="F41" s="77"/>
    </row>
    <row r="42" spans="2:12">
      <c r="B42" s="93"/>
      <c r="C42" s="93"/>
      <c r="D42" s="94"/>
      <c r="E42" s="94"/>
      <c r="F42" s="77"/>
    </row>
    <row r="43" spans="2:12" ht="13.5">
      <c r="B43" s="356" t="s">
        <v>60</v>
      </c>
      <c r="C43" s="357"/>
      <c r="D43" s="357"/>
      <c r="E43" s="357"/>
    </row>
    <row r="44" spans="2:12" ht="15.75" customHeight="1" thickBot="1">
      <c r="B44" s="354" t="s">
        <v>121</v>
      </c>
      <c r="C44" s="358"/>
      <c r="D44" s="358"/>
      <c r="E44" s="358"/>
    </row>
    <row r="45" spans="2:12" ht="13.5" thickBot="1">
      <c r="B45" s="86"/>
      <c r="C45" s="29" t="s">
        <v>39</v>
      </c>
      <c r="D45" s="70" t="s">
        <v>245</v>
      </c>
      <c r="E45" s="255" t="s">
        <v>265</v>
      </c>
    </row>
    <row r="46" spans="2:12">
      <c r="B46" s="13" t="s">
        <v>18</v>
      </c>
      <c r="C46" s="30" t="s">
        <v>112</v>
      </c>
      <c r="D46" s="101"/>
      <c r="E46" s="28"/>
    </row>
    <row r="47" spans="2:12">
      <c r="B47" s="102" t="s">
        <v>4</v>
      </c>
      <c r="C47" s="15" t="s">
        <v>40</v>
      </c>
      <c r="D47" s="200">
        <v>30961.049299999999</v>
      </c>
      <c r="E47" s="73">
        <v>34295.900099999999</v>
      </c>
    </row>
    <row r="48" spans="2:12">
      <c r="B48" s="123" t="s">
        <v>6</v>
      </c>
      <c r="C48" s="22" t="s">
        <v>41</v>
      </c>
      <c r="D48" s="200">
        <v>34295.900099999999</v>
      </c>
      <c r="E48" s="335">
        <v>44061.918400000002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02" t="s">
        <v>4</v>
      </c>
      <c r="C50" s="15" t="s">
        <v>40</v>
      </c>
      <c r="D50" s="200">
        <v>7.8306648347347796</v>
      </c>
      <c r="E50" s="244">
        <v>7.6886000000000001</v>
      </c>
    </row>
    <row r="51" spans="2:5">
      <c r="B51" s="102" t="s">
        <v>6</v>
      </c>
      <c r="C51" s="15" t="s">
        <v>114</v>
      </c>
      <c r="D51" s="200">
        <v>6.9893000000000001</v>
      </c>
      <c r="E51" s="296">
        <v>3.6722000000000001</v>
      </c>
    </row>
    <row r="52" spans="2:5">
      <c r="B52" s="102" t="s">
        <v>8</v>
      </c>
      <c r="C52" s="15" t="s">
        <v>115</v>
      </c>
      <c r="D52" s="200">
        <v>8.4795999999999996</v>
      </c>
      <c r="E52" s="75">
        <v>7.7778999999999998</v>
      </c>
    </row>
    <row r="53" spans="2:5" ht="13.5" thickBot="1">
      <c r="B53" s="103" t="s">
        <v>9</v>
      </c>
      <c r="C53" s="17" t="s">
        <v>41</v>
      </c>
      <c r="D53" s="202">
        <v>7.6886000000000001</v>
      </c>
      <c r="E53" s="280">
        <v>5.3738999999999999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6.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SUM(D59:D70)</f>
        <v>237821.11000000002</v>
      </c>
      <c r="E58" s="31">
        <f>D58/E21</f>
        <v>1.0043905455286606</v>
      </c>
    </row>
    <row r="59" spans="2:5" ht="25.5">
      <c r="B59" s="21" t="s">
        <v>4</v>
      </c>
      <c r="C59" s="22" t="s">
        <v>44</v>
      </c>
      <c r="D59" s="80">
        <v>0</v>
      </c>
      <c r="E59" s="81">
        <v>0</v>
      </c>
    </row>
    <row r="60" spans="2:5" ht="24" customHeight="1">
      <c r="B60" s="14" t="s">
        <v>6</v>
      </c>
      <c r="C60" s="15" t="s">
        <v>45</v>
      </c>
      <c r="D60" s="78">
        <v>0</v>
      </c>
      <c r="E60" s="79">
        <v>0</v>
      </c>
    </row>
    <row r="61" spans="2:5">
      <c r="B61" s="14" t="s">
        <v>8</v>
      </c>
      <c r="C61" s="15" t="s">
        <v>46</v>
      </c>
      <c r="D61" s="78">
        <v>0</v>
      </c>
      <c r="E61" s="79">
        <v>0</v>
      </c>
    </row>
    <row r="62" spans="2:5">
      <c r="B62" s="14" t="s">
        <v>9</v>
      </c>
      <c r="C62" s="15" t="s">
        <v>47</v>
      </c>
      <c r="D62" s="78">
        <v>210978.01</v>
      </c>
      <c r="E62" s="79">
        <f>D62/E21</f>
        <v>0.89102400774452362</v>
      </c>
    </row>
    <row r="63" spans="2:5">
      <c r="B63" s="14" t="s">
        <v>29</v>
      </c>
      <c r="C63" s="15" t="s">
        <v>48</v>
      </c>
      <c r="D63" s="78">
        <v>0</v>
      </c>
      <c r="E63" s="79">
        <v>0</v>
      </c>
    </row>
    <row r="64" spans="2:5">
      <c r="B64" s="21" t="s">
        <v>31</v>
      </c>
      <c r="C64" s="22" t="s">
        <v>49</v>
      </c>
      <c r="D64" s="234">
        <v>0</v>
      </c>
      <c r="E64" s="81">
        <f>D64/E21</f>
        <v>0</v>
      </c>
    </row>
    <row r="65" spans="2:5">
      <c r="B65" s="21" t="s">
        <v>33</v>
      </c>
      <c r="C65" s="22" t="s">
        <v>118</v>
      </c>
      <c r="D65" s="80">
        <v>0</v>
      </c>
      <c r="E65" s="81">
        <v>0</v>
      </c>
    </row>
    <row r="66" spans="2:5">
      <c r="B66" s="21" t="s">
        <v>50</v>
      </c>
      <c r="C66" s="22" t="s">
        <v>51</v>
      </c>
      <c r="D66" s="80">
        <v>0</v>
      </c>
      <c r="E66" s="81">
        <v>0</v>
      </c>
    </row>
    <row r="67" spans="2:5">
      <c r="B67" s="14" t="s">
        <v>52</v>
      </c>
      <c r="C67" s="15" t="s">
        <v>53</v>
      </c>
      <c r="D67" s="78">
        <v>0</v>
      </c>
      <c r="E67" s="79">
        <v>0</v>
      </c>
    </row>
    <row r="68" spans="2:5">
      <c r="B68" s="14" t="s">
        <v>54</v>
      </c>
      <c r="C68" s="15" t="s">
        <v>55</v>
      </c>
      <c r="D68" s="78">
        <v>0</v>
      </c>
      <c r="E68" s="79">
        <v>0</v>
      </c>
    </row>
    <row r="69" spans="2:5">
      <c r="B69" s="14" t="s">
        <v>56</v>
      </c>
      <c r="C69" s="15" t="s">
        <v>57</v>
      </c>
      <c r="D69" s="302">
        <v>26843.1</v>
      </c>
      <c r="E69" s="79">
        <f>D69/E21</f>
        <v>0.11336653778413694</v>
      </c>
    </row>
    <row r="70" spans="2:5">
      <c r="B70" s="112" t="s">
        <v>58</v>
      </c>
      <c r="C70" s="113" t="s">
        <v>59</v>
      </c>
      <c r="D70" s="114">
        <v>0</v>
      </c>
      <c r="E70" s="115">
        <v>0</v>
      </c>
    </row>
    <row r="71" spans="2:5">
      <c r="B71" s="120" t="s">
        <v>23</v>
      </c>
      <c r="C71" s="121" t="s">
        <v>61</v>
      </c>
      <c r="D71" s="122">
        <f>E13</f>
        <v>179.28</v>
      </c>
      <c r="E71" s="66">
        <f>D71/E21</f>
        <v>7.57153715254202E-4</v>
      </c>
    </row>
    <row r="72" spans="2:5">
      <c r="B72" s="116" t="s">
        <v>60</v>
      </c>
      <c r="C72" s="117" t="s">
        <v>63</v>
      </c>
      <c r="D72" s="118">
        <f>E14</f>
        <v>413.6</v>
      </c>
      <c r="E72" s="119">
        <f>D72/E21</f>
        <v>1.746758013326294E-3</v>
      </c>
    </row>
    <row r="73" spans="2:5">
      <c r="B73" s="23" t="s">
        <v>62</v>
      </c>
      <c r="C73" s="24" t="s">
        <v>65</v>
      </c>
      <c r="D73" s="25">
        <f>E17</f>
        <v>1632.48</v>
      </c>
      <c r="E73" s="26">
        <f>D73/E21</f>
        <v>6.8944572572410745E-3</v>
      </c>
    </row>
    <row r="74" spans="2:5">
      <c r="B74" s="120" t="s">
        <v>64</v>
      </c>
      <c r="C74" s="121" t="s">
        <v>66</v>
      </c>
      <c r="D74" s="122">
        <f>D58+D71+D72-D73</f>
        <v>236781.51</v>
      </c>
      <c r="E74" s="66">
        <f>E58+E71+E72-E73</f>
        <v>1</v>
      </c>
    </row>
    <row r="75" spans="2:5">
      <c r="B75" s="14" t="s">
        <v>4</v>
      </c>
      <c r="C75" s="15" t="s">
        <v>67</v>
      </c>
      <c r="D75" s="78">
        <f>D74-D77</f>
        <v>75442.999999999971</v>
      </c>
      <c r="E75" s="79">
        <f>D75/E21</f>
        <v>0.31861862862518264</v>
      </c>
    </row>
    <row r="76" spans="2:5">
      <c r="B76" s="14" t="s">
        <v>6</v>
      </c>
      <c r="C76" s="15" t="s">
        <v>119</v>
      </c>
      <c r="D76" s="78">
        <v>0</v>
      </c>
      <c r="E76" s="79">
        <f>D76/E21</f>
        <v>0</v>
      </c>
    </row>
    <row r="77" spans="2:5" ht="13.5" thickBot="1">
      <c r="B77" s="16" t="s">
        <v>8</v>
      </c>
      <c r="C77" s="17" t="s">
        <v>120</v>
      </c>
      <c r="D77" s="82">
        <v>161338.51000000004</v>
      </c>
      <c r="E77" s="83">
        <f>D77/E21</f>
        <v>0.68138137137481736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3"/>
  <dimension ref="A1:L81"/>
  <sheetViews>
    <sheetView topLeftCell="A13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7.28515625" customWidth="1"/>
    <col min="8" max="8" width="19" customWidth="1"/>
    <col min="9" max="9" width="13.28515625" customWidth="1"/>
    <col min="10" max="10" width="13.5703125" customWidth="1"/>
    <col min="12" max="12" width="12.42578125" bestFit="1" customWidth="1"/>
  </cols>
  <sheetData>
    <row r="1" spans="2:12">
      <c r="B1" s="1"/>
      <c r="C1" s="1"/>
      <c r="D1" s="2"/>
      <c r="E1" s="2"/>
    </row>
    <row r="2" spans="2:12" ht="15.75">
      <c r="B2" s="351" t="s">
        <v>0</v>
      </c>
      <c r="C2" s="351"/>
      <c r="D2" s="351"/>
      <c r="E2" s="351"/>
      <c r="H2" s="157"/>
      <c r="I2" s="157"/>
      <c r="J2" s="159"/>
      <c r="L2" s="71"/>
    </row>
    <row r="3" spans="2:12" ht="15.75">
      <c r="B3" s="351" t="s">
        <v>271</v>
      </c>
      <c r="C3" s="351"/>
      <c r="D3" s="351"/>
      <c r="E3" s="351"/>
      <c r="H3" s="157"/>
      <c r="I3" s="157"/>
      <c r="J3" s="159"/>
    </row>
    <row r="4" spans="2:12" ht="15">
      <c r="B4" s="141"/>
      <c r="C4" s="141"/>
      <c r="D4" s="141"/>
      <c r="E4" s="141"/>
      <c r="H4" s="156"/>
      <c r="I4" s="156"/>
      <c r="J4" s="159"/>
    </row>
    <row r="5" spans="2:12" ht="21" customHeight="1">
      <c r="B5" s="352" t="s">
        <v>1</v>
      </c>
      <c r="C5" s="352"/>
      <c r="D5" s="352"/>
      <c r="E5" s="352"/>
    </row>
    <row r="6" spans="2:12" ht="14.25">
      <c r="B6" s="353" t="s">
        <v>225</v>
      </c>
      <c r="C6" s="353"/>
      <c r="D6" s="353"/>
      <c r="E6" s="353"/>
    </row>
    <row r="7" spans="2:12" ht="14.25">
      <c r="B7" s="139"/>
      <c r="C7" s="139"/>
      <c r="D7" s="139"/>
      <c r="E7" s="139"/>
    </row>
    <row r="8" spans="2:12" ht="13.5">
      <c r="B8" s="355" t="s">
        <v>18</v>
      </c>
      <c r="C8" s="357"/>
      <c r="D8" s="357"/>
      <c r="E8" s="357"/>
    </row>
    <row r="9" spans="2:12" ht="16.5" thickBot="1">
      <c r="B9" s="354" t="s">
        <v>103</v>
      </c>
      <c r="C9" s="354"/>
      <c r="D9" s="354"/>
      <c r="E9" s="354"/>
    </row>
    <row r="10" spans="2:12" ht="13.5" thickBot="1">
      <c r="B10" s="207"/>
      <c r="C10" s="208" t="s">
        <v>2</v>
      </c>
      <c r="D10" s="70" t="s">
        <v>245</v>
      </c>
      <c r="E10" s="255" t="s">
        <v>265</v>
      </c>
    </row>
    <row r="11" spans="2:12">
      <c r="B11" s="90" t="s">
        <v>3</v>
      </c>
      <c r="C11" s="128" t="s">
        <v>109</v>
      </c>
      <c r="D11" s="227">
        <v>52054.239999999998</v>
      </c>
      <c r="E11" s="228">
        <f>SUM(E12:E14)</f>
        <v>61547.65</v>
      </c>
    </row>
    <row r="12" spans="2:12">
      <c r="B12" s="173" t="s">
        <v>4</v>
      </c>
      <c r="C12" s="174" t="s">
        <v>5</v>
      </c>
      <c r="D12" s="241">
        <v>52054.239999999998</v>
      </c>
      <c r="E12" s="245">
        <v>61547.65</v>
      </c>
    </row>
    <row r="13" spans="2:12">
      <c r="B13" s="173" t="s">
        <v>6</v>
      </c>
      <c r="C13" s="175" t="s">
        <v>7</v>
      </c>
      <c r="D13" s="237"/>
      <c r="E13" s="246"/>
    </row>
    <row r="14" spans="2:12">
      <c r="B14" s="173" t="s">
        <v>8</v>
      </c>
      <c r="C14" s="175" t="s">
        <v>10</v>
      </c>
      <c r="D14" s="237"/>
      <c r="E14" s="246"/>
      <c r="G14" s="67"/>
    </row>
    <row r="15" spans="2:12">
      <c r="B15" s="173" t="s">
        <v>106</v>
      </c>
      <c r="C15" s="175" t="s">
        <v>11</v>
      </c>
      <c r="D15" s="237"/>
      <c r="E15" s="246"/>
    </row>
    <row r="16" spans="2:12">
      <c r="B16" s="176" t="s">
        <v>107</v>
      </c>
      <c r="C16" s="177" t="s">
        <v>12</v>
      </c>
      <c r="D16" s="239"/>
      <c r="E16" s="247"/>
    </row>
    <row r="17" spans="2:11">
      <c r="B17" s="9" t="s">
        <v>13</v>
      </c>
      <c r="C17" s="11" t="s">
        <v>65</v>
      </c>
      <c r="D17" s="240"/>
      <c r="E17" s="248"/>
    </row>
    <row r="18" spans="2:11">
      <c r="B18" s="173" t="s">
        <v>4</v>
      </c>
      <c r="C18" s="174" t="s">
        <v>11</v>
      </c>
      <c r="D18" s="239"/>
      <c r="E18" s="247"/>
    </row>
    <row r="19" spans="2:11" ht="15" customHeight="1">
      <c r="B19" s="173" t="s">
        <v>6</v>
      </c>
      <c r="C19" s="175" t="s">
        <v>108</v>
      </c>
      <c r="D19" s="237"/>
      <c r="E19" s="246"/>
    </row>
    <row r="20" spans="2:11" ht="13.5" thickBot="1">
      <c r="B20" s="178" t="s">
        <v>8</v>
      </c>
      <c r="C20" s="179" t="s">
        <v>14</v>
      </c>
      <c r="D20" s="229"/>
      <c r="E20" s="230"/>
    </row>
    <row r="21" spans="2:11" ht="13.5" thickBot="1">
      <c r="B21" s="361" t="s">
        <v>110</v>
      </c>
      <c r="C21" s="362"/>
      <c r="D21" s="231">
        <v>52054.239999999998</v>
      </c>
      <c r="E21" s="148">
        <f>E11-E17</f>
        <v>61547.65</v>
      </c>
      <c r="F21" s="77"/>
      <c r="G21" s="77"/>
      <c r="H21" s="163"/>
      <c r="J21" s="212"/>
      <c r="K21" s="163"/>
    </row>
    <row r="22" spans="2:11">
      <c r="B22" s="3"/>
      <c r="C22" s="7"/>
      <c r="D22" s="8"/>
      <c r="E22" s="8"/>
      <c r="G22" s="71"/>
    </row>
    <row r="23" spans="2:11" ht="13.5">
      <c r="B23" s="355" t="s">
        <v>104</v>
      </c>
      <c r="C23" s="367"/>
      <c r="D23" s="367"/>
      <c r="E23" s="367"/>
      <c r="G23" s="71"/>
    </row>
    <row r="24" spans="2:11" ht="15.75" customHeight="1" thickBot="1">
      <c r="B24" s="354" t="s">
        <v>105</v>
      </c>
      <c r="C24" s="368"/>
      <c r="D24" s="368"/>
      <c r="E24" s="368"/>
    </row>
    <row r="25" spans="2:11" ht="13.5" thickBot="1">
      <c r="B25" s="207"/>
      <c r="C25" s="180" t="s">
        <v>2</v>
      </c>
      <c r="D25" s="70" t="s">
        <v>245</v>
      </c>
      <c r="E25" s="255" t="s">
        <v>265</v>
      </c>
    </row>
    <row r="26" spans="2:11">
      <c r="B26" s="95" t="s">
        <v>15</v>
      </c>
      <c r="C26" s="96" t="s">
        <v>16</v>
      </c>
      <c r="D26" s="322">
        <v>44595.06</v>
      </c>
      <c r="E26" s="217">
        <f>D21</f>
        <v>52054.239999999998</v>
      </c>
      <c r="G26" s="74"/>
    </row>
    <row r="27" spans="2:11">
      <c r="B27" s="9" t="s">
        <v>17</v>
      </c>
      <c r="C27" s="10" t="s">
        <v>111</v>
      </c>
      <c r="D27" s="323">
        <v>-1614.6</v>
      </c>
      <c r="E27" s="274">
        <v>-1947.75</v>
      </c>
      <c r="F27" s="71"/>
      <c r="G27" s="74"/>
      <c r="H27" s="250"/>
      <c r="I27" s="71"/>
      <c r="J27" s="74"/>
    </row>
    <row r="28" spans="2:11">
      <c r="B28" s="9" t="s">
        <v>18</v>
      </c>
      <c r="C28" s="10" t="s">
        <v>19</v>
      </c>
      <c r="D28" s="323"/>
      <c r="E28" s="275"/>
      <c r="F28" s="71"/>
      <c r="G28" s="152"/>
      <c r="H28" s="250"/>
      <c r="I28" s="71"/>
      <c r="J28" s="74"/>
    </row>
    <row r="29" spans="2:11">
      <c r="B29" s="181" t="s">
        <v>4</v>
      </c>
      <c r="C29" s="174" t="s">
        <v>20</v>
      </c>
      <c r="D29" s="324"/>
      <c r="E29" s="276"/>
      <c r="F29" s="71"/>
      <c r="G29" s="152"/>
      <c r="H29" s="250"/>
      <c r="I29" s="71"/>
      <c r="J29" s="74"/>
    </row>
    <row r="30" spans="2:11">
      <c r="B30" s="181" t="s">
        <v>6</v>
      </c>
      <c r="C30" s="174" t="s">
        <v>21</v>
      </c>
      <c r="D30" s="324"/>
      <c r="E30" s="276"/>
      <c r="F30" s="71"/>
      <c r="G30" s="152"/>
      <c r="H30" s="250"/>
      <c r="I30" s="71"/>
      <c r="J30" s="74"/>
    </row>
    <row r="31" spans="2:11">
      <c r="B31" s="181" t="s">
        <v>8</v>
      </c>
      <c r="C31" s="174" t="s">
        <v>22</v>
      </c>
      <c r="D31" s="324"/>
      <c r="E31" s="276"/>
      <c r="F31" s="71"/>
      <c r="G31" s="152"/>
      <c r="H31" s="250"/>
      <c r="I31" s="71"/>
      <c r="J31" s="74"/>
    </row>
    <row r="32" spans="2:11">
      <c r="B32" s="92" t="s">
        <v>23</v>
      </c>
      <c r="C32" s="11" t="s">
        <v>24</v>
      </c>
      <c r="D32" s="323">
        <v>1614.6</v>
      </c>
      <c r="E32" s="275">
        <v>1947.75</v>
      </c>
      <c r="F32" s="71"/>
      <c r="G32" s="74"/>
      <c r="H32" s="250"/>
      <c r="I32" s="71"/>
      <c r="J32" s="74"/>
    </row>
    <row r="33" spans="2:10">
      <c r="B33" s="181" t="s">
        <v>4</v>
      </c>
      <c r="C33" s="174" t="s">
        <v>25</v>
      </c>
      <c r="D33" s="324">
        <v>624.55999999999995</v>
      </c>
      <c r="E33" s="276">
        <v>1223.5999999999999</v>
      </c>
      <c r="F33" s="71"/>
      <c r="G33" s="152"/>
      <c r="H33" s="250"/>
      <c r="I33" s="71"/>
      <c r="J33" s="74"/>
    </row>
    <row r="34" spans="2:10">
      <c r="B34" s="181" t="s">
        <v>6</v>
      </c>
      <c r="C34" s="174" t="s">
        <v>26</v>
      </c>
      <c r="D34" s="324"/>
      <c r="E34" s="276"/>
      <c r="F34" s="71"/>
      <c r="G34" s="152"/>
      <c r="H34" s="250"/>
      <c r="I34" s="71"/>
      <c r="J34" s="74"/>
    </row>
    <row r="35" spans="2:10">
      <c r="B35" s="181" t="s">
        <v>8</v>
      </c>
      <c r="C35" s="174" t="s">
        <v>27</v>
      </c>
      <c r="D35" s="324">
        <v>196.74</v>
      </c>
      <c r="E35" s="276">
        <v>155.11000000000001</v>
      </c>
      <c r="F35" s="71"/>
      <c r="G35" s="152"/>
      <c r="H35" s="250"/>
      <c r="I35" s="71"/>
      <c r="J35" s="74"/>
    </row>
    <row r="36" spans="2:10">
      <c r="B36" s="181" t="s">
        <v>9</v>
      </c>
      <c r="C36" s="174" t="s">
        <v>28</v>
      </c>
      <c r="D36" s="324"/>
      <c r="E36" s="276"/>
      <c r="F36" s="71"/>
      <c r="G36" s="152"/>
      <c r="H36" s="250"/>
      <c r="I36" s="71"/>
      <c r="J36" s="74"/>
    </row>
    <row r="37" spans="2:10" ht="25.5">
      <c r="B37" s="181" t="s">
        <v>29</v>
      </c>
      <c r="C37" s="174" t="s">
        <v>30</v>
      </c>
      <c r="D37" s="324">
        <v>793.3</v>
      </c>
      <c r="E37" s="276">
        <v>569.04</v>
      </c>
      <c r="F37" s="71"/>
      <c r="G37" s="152"/>
      <c r="H37" s="250"/>
      <c r="I37" s="71"/>
      <c r="J37" s="74"/>
    </row>
    <row r="38" spans="2:10">
      <c r="B38" s="181" t="s">
        <v>31</v>
      </c>
      <c r="C38" s="174" t="s">
        <v>32</v>
      </c>
      <c r="D38" s="324"/>
      <c r="E38" s="276"/>
      <c r="F38" s="71"/>
      <c r="G38" s="152"/>
      <c r="H38" s="250"/>
      <c r="I38" s="71"/>
      <c r="J38" s="74"/>
    </row>
    <row r="39" spans="2:10">
      <c r="B39" s="182" t="s">
        <v>33</v>
      </c>
      <c r="C39" s="183" t="s">
        <v>34</v>
      </c>
      <c r="D39" s="325"/>
      <c r="E39" s="277"/>
      <c r="F39" s="71"/>
      <c r="G39" s="152"/>
      <c r="H39" s="250"/>
      <c r="I39" s="71"/>
      <c r="J39" s="74"/>
    </row>
    <row r="40" spans="2:10" ht="13.5" thickBot="1">
      <c r="B40" s="97" t="s">
        <v>35</v>
      </c>
      <c r="C40" s="98" t="s">
        <v>36</v>
      </c>
      <c r="D40" s="326">
        <v>9073.7800000000007</v>
      </c>
      <c r="E40" s="279">
        <v>11441.16</v>
      </c>
      <c r="G40" s="74"/>
      <c r="H40" s="222"/>
    </row>
    <row r="41" spans="2:10" ht="13.5" thickBot="1">
      <c r="B41" s="99" t="s">
        <v>37</v>
      </c>
      <c r="C41" s="100" t="s">
        <v>38</v>
      </c>
      <c r="D41" s="327">
        <v>52054.239999999998</v>
      </c>
      <c r="E41" s="148">
        <f>E26+E27+E40</f>
        <v>61547.649999999994</v>
      </c>
      <c r="F41" s="77"/>
      <c r="G41" s="74"/>
      <c r="H41" s="265"/>
    </row>
    <row r="42" spans="2:10">
      <c r="B42" s="93"/>
      <c r="C42" s="93"/>
      <c r="D42" s="94"/>
      <c r="E42" s="94"/>
      <c r="F42" s="77"/>
      <c r="G42" s="67"/>
      <c r="H42" s="265"/>
    </row>
    <row r="43" spans="2:10" ht="13.5">
      <c r="B43" s="356" t="s">
        <v>60</v>
      </c>
      <c r="C43" s="365"/>
      <c r="D43" s="365"/>
      <c r="E43" s="365"/>
      <c r="G43" s="71"/>
      <c r="H43" s="265"/>
    </row>
    <row r="44" spans="2:10" ht="18" customHeight="1" thickBot="1">
      <c r="B44" s="354" t="s">
        <v>121</v>
      </c>
      <c r="C44" s="366"/>
      <c r="D44" s="366"/>
      <c r="E44" s="366"/>
      <c r="G44" s="71"/>
      <c r="H44" s="265"/>
    </row>
    <row r="45" spans="2:10" ht="13.5" thickBot="1">
      <c r="B45" s="207"/>
      <c r="C45" s="29" t="s">
        <v>39</v>
      </c>
      <c r="D45" s="70" t="s">
        <v>245</v>
      </c>
      <c r="E45" s="255" t="s">
        <v>265</v>
      </c>
      <c r="G45" s="71"/>
      <c r="H45" s="265"/>
    </row>
    <row r="46" spans="2:10">
      <c r="B46" s="13" t="s">
        <v>18</v>
      </c>
      <c r="C46" s="30" t="s">
        <v>112</v>
      </c>
      <c r="D46" s="101"/>
      <c r="E46" s="28"/>
      <c r="G46" s="71"/>
    </row>
    <row r="47" spans="2:10">
      <c r="B47" s="184" t="s">
        <v>4</v>
      </c>
      <c r="C47" s="185" t="s">
        <v>40</v>
      </c>
      <c r="D47" s="200">
        <v>826.07</v>
      </c>
      <c r="E47" s="73">
        <v>800.08</v>
      </c>
      <c r="G47" s="71"/>
    </row>
    <row r="48" spans="2:10">
      <c r="B48" s="186" t="s">
        <v>6</v>
      </c>
      <c r="C48" s="187" t="s">
        <v>41</v>
      </c>
      <c r="D48" s="200">
        <v>800.08</v>
      </c>
      <c r="E48" s="149">
        <v>767.45</v>
      </c>
      <c r="G48" s="71"/>
    </row>
    <row r="49" spans="2:7">
      <c r="B49" s="120" t="s">
        <v>23</v>
      </c>
      <c r="C49" s="124" t="s">
        <v>113</v>
      </c>
      <c r="D49" s="201"/>
      <c r="E49" s="125"/>
    </row>
    <row r="50" spans="2:7">
      <c r="B50" s="184" t="s">
        <v>4</v>
      </c>
      <c r="C50" s="185" t="s">
        <v>40</v>
      </c>
      <c r="D50" s="200">
        <v>53.9846</v>
      </c>
      <c r="E50" s="75">
        <v>65.061300000000003</v>
      </c>
      <c r="G50" s="172"/>
    </row>
    <row r="51" spans="2:7">
      <c r="B51" s="184" t="s">
        <v>6</v>
      </c>
      <c r="C51" s="185" t="s">
        <v>114</v>
      </c>
      <c r="D51" s="200">
        <v>52.552300000000002</v>
      </c>
      <c r="E51" s="75">
        <v>47.515000000000001</v>
      </c>
      <c r="G51" s="172"/>
    </row>
    <row r="52" spans="2:7">
      <c r="B52" s="184" t="s">
        <v>8</v>
      </c>
      <c r="C52" s="185" t="s">
        <v>115</v>
      </c>
      <c r="D52" s="200">
        <v>65.512900000000002</v>
      </c>
      <c r="E52" s="75">
        <v>80.197599999999994</v>
      </c>
    </row>
    <row r="53" spans="2:7" ht="12.75" customHeight="1" thickBot="1">
      <c r="B53" s="188" t="s">
        <v>9</v>
      </c>
      <c r="C53" s="189" t="s">
        <v>41</v>
      </c>
      <c r="D53" s="202">
        <v>65.061300000000003</v>
      </c>
      <c r="E53" s="280">
        <v>80.197599999999994</v>
      </c>
    </row>
    <row r="54" spans="2:7">
      <c r="B54" s="109"/>
      <c r="C54" s="110"/>
      <c r="D54" s="111"/>
      <c r="E54" s="199"/>
    </row>
    <row r="55" spans="2:7" ht="13.5">
      <c r="B55" s="356" t="s">
        <v>62</v>
      </c>
      <c r="C55" s="357"/>
      <c r="D55" s="357"/>
      <c r="E55" s="357"/>
    </row>
    <row r="56" spans="2:7" ht="17.25" customHeight="1" thickBot="1">
      <c r="B56" s="354" t="s">
        <v>116</v>
      </c>
      <c r="C56" s="358"/>
      <c r="D56" s="358"/>
      <c r="E56" s="358"/>
    </row>
    <row r="57" spans="2:7" ht="23.25" thickBot="1">
      <c r="B57" s="349" t="s">
        <v>42</v>
      </c>
      <c r="C57" s="350"/>
      <c r="D57" s="18" t="s">
        <v>122</v>
      </c>
      <c r="E57" s="19" t="s">
        <v>117</v>
      </c>
    </row>
    <row r="58" spans="2:7">
      <c r="B58" s="20" t="s">
        <v>18</v>
      </c>
      <c r="C58" s="126" t="s">
        <v>43</v>
      </c>
      <c r="D58" s="127">
        <f>D64</f>
        <v>61547.65</v>
      </c>
      <c r="E58" s="31">
        <f>D58/E21</f>
        <v>1</v>
      </c>
    </row>
    <row r="59" spans="2:7" ht="25.5">
      <c r="B59" s="123" t="s">
        <v>4</v>
      </c>
      <c r="C59" s="22" t="s">
        <v>44</v>
      </c>
      <c r="D59" s="80">
        <v>0</v>
      </c>
      <c r="E59" s="81">
        <v>0</v>
      </c>
    </row>
    <row r="60" spans="2:7" ht="25.5">
      <c r="B60" s="102" t="s">
        <v>6</v>
      </c>
      <c r="C60" s="15" t="s">
        <v>45</v>
      </c>
      <c r="D60" s="78">
        <v>0</v>
      </c>
      <c r="E60" s="79">
        <v>0</v>
      </c>
    </row>
    <row r="61" spans="2:7">
      <c r="B61" s="102" t="s">
        <v>8</v>
      </c>
      <c r="C61" s="15" t="s">
        <v>46</v>
      </c>
      <c r="D61" s="78">
        <v>0</v>
      </c>
      <c r="E61" s="79">
        <v>0</v>
      </c>
    </row>
    <row r="62" spans="2:7">
      <c r="B62" s="102" t="s">
        <v>9</v>
      </c>
      <c r="C62" s="15" t="s">
        <v>47</v>
      </c>
      <c r="D62" s="78">
        <v>0</v>
      </c>
      <c r="E62" s="79">
        <v>0</v>
      </c>
    </row>
    <row r="63" spans="2:7">
      <c r="B63" s="102" t="s">
        <v>29</v>
      </c>
      <c r="C63" s="15" t="s">
        <v>48</v>
      </c>
      <c r="D63" s="78">
        <v>0</v>
      </c>
      <c r="E63" s="79">
        <v>0</v>
      </c>
    </row>
    <row r="64" spans="2:7">
      <c r="B64" s="123" t="s">
        <v>31</v>
      </c>
      <c r="C64" s="22" t="s">
        <v>49</v>
      </c>
      <c r="D64" s="80">
        <f>E21</f>
        <v>61547.65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61547.65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v>0</v>
      </c>
      <c r="E75" s="79">
        <v>0</v>
      </c>
    </row>
    <row r="76" spans="2:5">
      <c r="B76" s="102" t="s">
        <v>6</v>
      </c>
      <c r="C76" s="15" t="s">
        <v>119</v>
      </c>
      <c r="D76" s="78">
        <f>D74</f>
        <v>61547.65</v>
      </c>
      <c r="E76" s="79">
        <f>E74</f>
        <v>1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4"/>
  <dimension ref="A1:G81"/>
  <sheetViews>
    <sheetView topLeftCell="A13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1"/>
      <c r="C4" s="141"/>
      <c r="D4" s="141"/>
      <c r="E4" s="141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226</v>
      </c>
      <c r="C6" s="353"/>
      <c r="D6" s="353"/>
      <c r="E6" s="353"/>
    </row>
    <row r="7" spans="2:7" ht="14.25">
      <c r="B7" s="139"/>
      <c r="C7" s="139"/>
      <c r="D7" s="139"/>
      <c r="E7" s="13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40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67198.570000000007</v>
      </c>
      <c r="E11" s="228">
        <f>SUM(E12:E14)</f>
        <v>68902.070000000007</v>
      </c>
    </row>
    <row r="12" spans="2:7">
      <c r="B12" s="173" t="s">
        <v>4</v>
      </c>
      <c r="C12" s="174" t="s">
        <v>5</v>
      </c>
      <c r="D12" s="241">
        <v>67198.570000000007</v>
      </c>
      <c r="E12" s="245">
        <v>68902.070000000007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67198.570000000007</v>
      </c>
      <c r="E21" s="148">
        <f>E11-E17</f>
        <v>68902.070000000007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66325.960000000006</v>
      </c>
      <c r="E26" s="217">
        <f>D21</f>
        <v>67198.570000000007</v>
      </c>
    </row>
    <row r="27" spans="2:6">
      <c r="B27" s="9" t="s">
        <v>17</v>
      </c>
      <c r="C27" s="10" t="s">
        <v>111</v>
      </c>
      <c r="D27" s="323">
        <v>-1101.8499999999999</v>
      </c>
      <c r="E27" s="274">
        <v>-1069.54</v>
      </c>
      <c r="F27" s="71"/>
    </row>
    <row r="28" spans="2:6">
      <c r="B28" s="9" t="s">
        <v>18</v>
      </c>
      <c r="C28" s="10" t="s">
        <v>19</v>
      </c>
      <c r="D28" s="323"/>
      <c r="E28" s="275"/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1101.8499999999999</v>
      </c>
      <c r="E32" s="275">
        <v>1069.54</v>
      </c>
      <c r="F32" s="71"/>
    </row>
    <row r="33" spans="2:6">
      <c r="B33" s="181" t="s">
        <v>4</v>
      </c>
      <c r="C33" s="174" t="s">
        <v>25</v>
      </c>
      <c r="D33" s="324"/>
      <c r="E33" s="276"/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37.83</v>
      </c>
      <c r="E35" s="276">
        <v>46.28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1064.02</v>
      </c>
      <c r="E37" s="276">
        <v>1023.26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/>
      <c r="F39" s="71"/>
    </row>
    <row r="40" spans="2:6" ht="13.5" thickBot="1">
      <c r="B40" s="97" t="s">
        <v>35</v>
      </c>
      <c r="C40" s="98" t="s">
        <v>36</v>
      </c>
      <c r="D40" s="326">
        <v>1974.46</v>
      </c>
      <c r="E40" s="279">
        <v>2773.04</v>
      </c>
    </row>
    <row r="41" spans="2:6" ht="13.5" thickBot="1">
      <c r="B41" s="99" t="s">
        <v>37</v>
      </c>
      <c r="C41" s="100" t="s">
        <v>38</v>
      </c>
      <c r="D41" s="327">
        <v>67198.570000000007</v>
      </c>
      <c r="E41" s="148">
        <f>E26+E27+E40</f>
        <v>68902.070000000007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583.62</v>
      </c>
      <c r="E47" s="73">
        <v>574.02</v>
      </c>
    </row>
    <row r="48" spans="2:6">
      <c r="B48" s="186" t="s">
        <v>6</v>
      </c>
      <c r="C48" s="187" t="s">
        <v>41</v>
      </c>
      <c r="D48" s="200">
        <v>574.02</v>
      </c>
      <c r="E48" s="149">
        <v>564.48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84" t="s">
        <v>4</v>
      </c>
      <c r="C50" s="185" t="s">
        <v>40</v>
      </c>
      <c r="D50" s="200">
        <v>113.64579999999999</v>
      </c>
      <c r="E50" s="75">
        <v>117.06659999999999</v>
      </c>
    </row>
    <row r="51" spans="2:5">
      <c r="B51" s="184" t="s">
        <v>6</v>
      </c>
      <c r="C51" s="185" t="s">
        <v>114</v>
      </c>
      <c r="D51" s="200">
        <v>113.0044</v>
      </c>
      <c r="E51" s="75">
        <v>105.6564</v>
      </c>
    </row>
    <row r="52" spans="2:5">
      <c r="B52" s="184" t="s">
        <v>8</v>
      </c>
      <c r="C52" s="185" t="s">
        <v>115</v>
      </c>
      <c r="D52" s="200">
        <v>118.3609</v>
      </c>
      <c r="E52" s="75">
        <v>122.2229</v>
      </c>
    </row>
    <row r="53" spans="2:5" ht="13.5" customHeight="1" thickBot="1">
      <c r="B53" s="188" t="s">
        <v>9</v>
      </c>
      <c r="C53" s="189" t="s">
        <v>41</v>
      </c>
      <c r="D53" s="202">
        <v>117.06659999999999</v>
      </c>
      <c r="E53" s="280">
        <v>122.0629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6.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68902.070000000007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68902.070000000007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68902.070000000007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v>0</v>
      </c>
      <c r="E75" s="79">
        <v>0</v>
      </c>
    </row>
    <row r="76" spans="2:5">
      <c r="B76" s="102" t="s">
        <v>6</v>
      </c>
      <c r="C76" s="15" t="s">
        <v>119</v>
      </c>
      <c r="D76" s="78">
        <f>D74</f>
        <v>68902.070000000007</v>
      </c>
      <c r="E76" s="79">
        <f>E74</f>
        <v>1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5"/>
  <dimension ref="A1:F81"/>
  <sheetViews>
    <sheetView topLeftCell="A16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1" t="s">
        <v>0</v>
      </c>
      <c r="C2" s="351"/>
      <c r="D2" s="351"/>
      <c r="E2" s="351"/>
    </row>
    <row r="3" spans="2:5" ht="15.75">
      <c r="B3" s="351" t="s">
        <v>271</v>
      </c>
      <c r="C3" s="351"/>
      <c r="D3" s="351"/>
      <c r="E3" s="351"/>
    </row>
    <row r="4" spans="2:5" ht="15">
      <c r="B4" s="141"/>
      <c r="C4" s="141"/>
      <c r="D4" s="141"/>
      <c r="E4" s="141"/>
    </row>
    <row r="5" spans="2:5" ht="21" customHeight="1">
      <c r="B5" s="352" t="s">
        <v>1</v>
      </c>
      <c r="C5" s="352"/>
      <c r="D5" s="352"/>
      <c r="E5" s="352"/>
    </row>
    <row r="6" spans="2:5" ht="14.25">
      <c r="B6" s="353" t="s">
        <v>227</v>
      </c>
      <c r="C6" s="353"/>
      <c r="D6" s="353"/>
      <c r="E6" s="353"/>
    </row>
    <row r="7" spans="2:5" ht="14.25">
      <c r="B7" s="139"/>
      <c r="C7" s="139"/>
      <c r="D7" s="139"/>
      <c r="E7" s="139"/>
    </row>
    <row r="8" spans="2:5" ht="13.5">
      <c r="B8" s="355" t="s">
        <v>18</v>
      </c>
      <c r="C8" s="357"/>
      <c r="D8" s="357"/>
      <c r="E8" s="357"/>
    </row>
    <row r="9" spans="2:5" ht="16.5" thickBot="1">
      <c r="B9" s="354" t="s">
        <v>103</v>
      </c>
      <c r="C9" s="354"/>
      <c r="D9" s="354"/>
      <c r="E9" s="354"/>
    </row>
    <row r="10" spans="2:5" ht="13.5" thickBot="1">
      <c r="B10" s="140"/>
      <c r="C10" s="76" t="s">
        <v>2</v>
      </c>
      <c r="D10" s="70" t="s">
        <v>245</v>
      </c>
      <c r="E10" s="255" t="s">
        <v>265</v>
      </c>
    </row>
    <row r="11" spans="2:5">
      <c r="B11" s="90" t="s">
        <v>3</v>
      </c>
      <c r="C11" s="128" t="s">
        <v>109</v>
      </c>
      <c r="D11" s="227">
        <v>980258.88</v>
      </c>
      <c r="E11" s="228">
        <f>SUM(E12:E14)</f>
        <v>728873.92</v>
      </c>
    </row>
    <row r="12" spans="2:5">
      <c r="B12" s="173" t="s">
        <v>4</v>
      </c>
      <c r="C12" s="174" t="s">
        <v>5</v>
      </c>
      <c r="D12" s="241">
        <v>980258.88</v>
      </c>
      <c r="E12" s="245">
        <v>728873.92</v>
      </c>
    </row>
    <row r="13" spans="2:5">
      <c r="B13" s="173" t="s">
        <v>6</v>
      </c>
      <c r="C13" s="175" t="s">
        <v>7</v>
      </c>
      <c r="D13" s="237"/>
      <c r="E13" s="246"/>
    </row>
    <row r="14" spans="2:5">
      <c r="B14" s="173" t="s">
        <v>8</v>
      </c>
      <c r="C14" s="175" t="s">
        <v>10</v>
      </c>
      <c r="D14" s="237"/>
      <c r="E14" s="246"/>
    </row>
    <row r="15" spans="2:5">
      <c r="B15" s="173" t="s">
        <v>106</v>
      </c>
      <c r="C15" s="175" t="s">
        <v>11</v>
      </c>
      <c r="D15" s="237"/>
      <c r="E15" s="246"/>
    </row>
    <row r="16" spans="2:5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980258.88</v>
      </c>
      <c r="E21" s="148">
        <f>E11-E17</f>
        <v>728873.92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1112675.3500000001</v>
      </c>
      <c r="E26" s="217">
        <f>D21</f>
        <v>980258.88</v>
      </c>
    </row>
    <row r="27" spans="2:6">
      <c r="B27" s="9" t="s">
        <v>17</v>
      </c>
      <c r="C27" s="10" t="s">
        <v>111</v>
      </c>
      <c r="D27" s="323">
        <v>-368074.39</v>
      </c>
      <c r="E27" s="274">
        <v>-235142.82</v>
      </c>
      <c r="F27" s="71"/>
    </row>
    <row r="28" spans="2:6">
      <c r="B28" s="9" t="s">
        <v>18</v>
      </c>
      <c r="C28" s="10" t="s">
        <v>19</v>
      </c>
      <c r="D28" s="323"/>
      <c r="E28" s="275">
        <v>384.06</v>
      </c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>
        <v>384.06</v>
      </c>
      <c r="F31" s="71"/>
    </row>
    <row r="32" spans="2:6">
      <c r="B32" s="92" t="s">
        <v>23</v>
      </c>
      <c r="C32" s="11" t="s">
        <v>24</v>
      </c>
      <c r="D32" s="323">
        <v>368074.39000000013</v>
      </c>
      <c r="E32" s="275">
        <v>235526.87999999998</v>
      </c>
      <c r="F32" s="71"/>
    </row>
    <row r="33" spans="2:6">
      <c r="B33" s="181" t="s">
        <v>4</v>
      </c>
      <c r="C33" s="174" t="s">
        <v>25</v>
      </c>
      <c r="D33" s="324">
        <v>165676.19</v>
      </c>
      <c r="E33" s="276">
        <v>217963.96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2214.58</v>
      </c>
      <c r="E35" s="276">
        <v>6674.93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16072.07</v>
      </c>
      <c r="E37" s="276">
        <v>10887.99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>
        <v>184111.5500000001</v>
      </c>
      <c r="E39" s="277"/>
      <c r="F39" s="71"/>
    </row>
    <row r="40" spans="2:6" ht="13.5" thickBot="1">
      <c r="B40" s="97" t="s">
        <v>35</v>
      </c>
      <c r="C40" s="98" t="s">
        <v>36</v>
      </c>
      <c r="D40" s="326">
        <v>235657.92</v>
      </c>
      <c r="E40" s="279">
        <v>-16242.14</v>
      </c>
    </row>
    <row r="41" spans="2:6" ht="13.5" thickBot="1">
      <c r="B41" s="99" t="s">
        <v>37</v>
      </c>
      <c r="C41" s="100" t="s">
        <v>38</v>
      </c>
      <c r="D41" s="327">
        <v>980258.88000000012</v>
      </c>
      <c r="E41" s="148">
        <f>E26+E27+E40</f>
        <v>728873.92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10943.3</v>
      </c>
      <c r="E47" s="73">
        <v>7697.27</v>
      </c>
    </row>
    <row r="48" spans="2:6">
      <c r="B48" s="186" t="s">
        <v>6</v>
      </c>
      <c r="C48" s="187" t="s">
        <v>41</v>
      </c>
      <c r="D48" s="200">
        <v>7697.27</v>
      </c>
      <c r="E48" s="149">
        <v>5854.71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84" t="s">
        <v>4</v>
      </c>
      <c r="C50" s="185" t="s">
        <v>40</v>
      </c>
      <c r="D50" s="200">
        <v>101.6764</v>
      </c>
      <c r="E50" s="75">
        <v>127.3515</v>
      </c>
    </row>
    <row r="51" spans="2:5">
      <c r="B51" s="184" t="s">
        <v>6</v>
      </c>
      <c r="C51" s="185" t="s">
        <v>114</v>
      </c>
      <c r="D51" s="200">
        <v>101.1045</v>
      </c>
      <c r="E51" s="75">
        <v>82.441999999999993</v>
      </c>
    </row>
    <row r="52" spans="2:5">
      <c r="B52" s="184" t="s">
        <v>8</v>
      </c>
      <c r="C52" s="185" t="s">
        <v>115</v>
      </c>
      <c r="D52" s="200">
        <v>127.8853</v>
      </c>
      <c r="E52" s="75">
        <v>132.7835</v>
      </c>
    </row>
    <row r="53" spans="2:5" ht="12.75" customHeight="1" thickBot="1">
      <c r="B53" s="188" t="s">
        <v>9</v>
      </c>
      <c r="C53" s="189" t="s">
        <v>41</v>
      </c>
      <c r="D53" s="202">
        <v>127.3515</v>
      </c>
      <c r="E53" s="280">
        <v>124.4936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6.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728873.92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728873.92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728873.92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v>0</v>
      </c>
      <c r="E75" s="79">
        <v>0</v>
      </c>
    </row>
    <row r="76" spans="2:5">
      <c r="B76" s="102" t="s">
        <v>6</v>
      </c>
      <c r="C76" s="15" t="s">
        <v>119</v>
      </c>
      <c r="D76" s="78">
        <f>D74</f>
        <v>728873.92</v>
      </c>
      <c r="E76" s="79">
        <f>E74</f>
        <v>1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6">
    <pageSetUpPr fitToPage="1"/>
  </sheetPr>
  <dimension ref="A1:G81"/>
  <sheetViews>
    <sheetView topLeftCell="A16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1"/>
      <c r="C4" s="141"/>
      <c r="D4" s="141"/>
      <c r="E4" s="141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228</v>
      </c>
      <c r="C6" s="353"/>
      <c r="D6" s="353"/>
      <c r="E6" s="353"/>
    </row>
    <row r="7" spans="2:7" ht="14.25">
      <c r="B7" s="139"/>
      <c r="C7" s="139"/>
      <c r="D7" s="139"/>
      <c r="E7" s="13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40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274947.51</v>
      </c>
      <c r="E11" s="228">
        <f>SUM(E12:E14)</f>
        <v>259507.26</v>
      </c>
    </row>
    <row r="12" spans="2:7">
      <c r="B12" s="173" t="s">
        <v>4</v>
      </c>
      <c r="C12" s="174" t="s">
        <v>5</v>
      </c>
      <c r="D12" s="241">
        <v>274947.51</v>
      </c>
      <c r="E12" s="245">
        <v>259507.26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274947.51</v>
      </c>
      <c r="E21" s="148">
        <f>E11-E17</f>
        <v>259507.26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728664.48</v>
      </c>
      <c r="E26" s="217">
        <f>D21</f>
        <v>274947.51</v>
      </c>
    </row>
    <row r="27" spans="2:6">
      <c r="B27" s="9" t="s">
        <v>17</v>
      </c>
      <c r="C27" s="10" t="s">
        <v>111</v>
      </c>
      <c r="D27" s="323">
        <v>-524097.33</v>
      </c>
      <c r="E27" s="274">
        <f>E28-E32</f>
        <v>-11560.150000000001</v>
      </c>
      <c r="F27" s="71"/>
    </row>
    <row r="28" spans="2:6">
      <c r="B28" s="9" t="s">
        <v>18</v>
      </c>
      <c r="C28" s="10" t="s">
        <v>19</v>
      </c>
      <c r="D28" s="323"/>
      <c r="E28" s="275"/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524097.33</v>
      </c>
      <c r="E32" s="275">
        <f>SUM(E33:E39)</f>
        <v>11560.150000000001</v>
      </c>
      <c r="F32" s="71"/>
    </row>
    <row r="33" spans="2:6">
      <c r="B33" s="181" t="s">
        <v>4</v>
      </c>
      <c r="C33" s="174" t="s">
        <v>25</v>
      </c>
      <c r="D33" s="324">
        <v>434115.62</v>
      </c>
      <c r="E33" s="276">
        <f>7828.33-0.23</f>
        <v>7828.1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226.82</v>
      </c>
      <c r="E35" s="276">
        <v>193.75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11937.74</v>
      </c>
      <c r="E37" s="276">
        <v>3538.3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>
        <v>77817.149999999936</v>
      </c>
      <c r="E39" s="277"/>
      <c r="F39" s="71"/>
    </row>
    <row r="40" spans="2:6" ht="13.5" thickBot="1">
      <c r="B40" s="97" t="s">
        <v>35</v>
      </c>
      <c r="C40" s="98" t="s">
        <v>36</v>
      </c>
      <c r="D40" s="326">
        <v>70380.36</v>
      </c>
      <c r="E40" s="279">
        <v>-3880.1</v>
      </c>
    </row>
    <row r="41" spans="2:6" ht="13.5" thickBot="1">
      <c r="B41" s="99" t="s">
        <v>37</v>
      </c>
      <c r="C41" s="100" t="s">
        <v>38</v>
      </c>
      <c r="D41" s="327">
        <v>274947.50999999995</v>
      </c>
      <c r="E41" s="148">
        <f>E26+E27+E40</f>
        <v>259507.25999999998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1921.119983</v>
      </c>
      <c r="E47" s="73">
        <v>648.3900000000001</v>
      </c>
    </row>
    <row r="48" spans="2:6">
      <c r="B48" s="186" t="s">
        <v>6</v>
      </c>
      <c r="C48" s="187" t="s">
        <v>41</v>
      </c>
      <c r="D48" s="200">
        <v>648.3900000000001</v>
      </c>
      <c r="E48" s="149">
        <v>617.71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84" t="s">
        <v>4</v>
      </c>
      <c r="C50" s="185" t="s">
        <v>40</v>
      </c>
      <c r="D50" s="200">
        <v>379.29149999999998</v>
      </c>
      <c r="E50" s="75">
        <v>424.04649999999998</v>
      </c>
    </row>
    <row r="51" spans="2:5">
      <c r="B51" s="184" t="s">
        <v>6</v>
      </c>
      <c r="C51" s="185" t="s">
        <v>114</v>
      </c>
      <c r="D51" s="200">
        <v>379.29149999999998</v>
      </c>
      <c r="E51" s="75">
        <v>292.90679999999998</v>
      </c>
    </row>
    <row r="52" spans="2:5">
      <c r="B52" s="184" t="s">
        <v>8</v>
      </c>
      <c r="C52" s="185" t="s">
        <v>115</v>
      </c>
      <c r="D52" s="200">
        <v>436.92079999999999</v>
      </c>
      <c r="E52" s="297">
        <v>430.68419999999998</v>
      </c>
    </row>
    <row r="53" spans="2:5" ht="12.75" customHeight="1" thickBot="1">
      <c r="B53" s="188" t="s">
        <v>9</v>
      </c>
      <c r="C53" s="189" t="s">
        <v>41</v>
      </c>
      <c r="D53" s="202">
        <v>424.04649999999998</v>
      </c>
      <c r="E53" s="280">
        <v>420.11180000000002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6.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259507.26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2.7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259507.26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259507.26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v>0</v>
      </c>
      <c r="E75" s="79">
        <v>0</v>
      </c>
    </row>
    <row r="76" spans="2:5">
      <c r="B76" s="102" t="s">
        <v>6</v>
      </c>
      <c r="C76" s="15" t="s">
        <v>119</v>
      </c>
      <c r="D76" s="78">
        <f>D74</f>
        <v>259507.26</v>
      </c>
      <c r="E76" s="79">
        <f>E74</f>
        <v>1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7">
    <pageSetUpPr fitToPage="1"/>
  </sheetPr>
  <dimension ref="A1:F81"/>
  <sheetViews>
    <sheetView topLeftCell="A13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1" t="s">
        <v>0</v>
      </c>
      <c r="C2" s="351"/>
      <c r="D2" s="351"/>
      <c r="E2" s="351"/>
    </row>
    <row r="3" spans="2:5" ht="15.75">
      <c r="B3" s="351" t="s">
        <v>271</v>
      </c>
      <c r="C3" s="351"/>
      <c r="D3" s="351"/>
      <c r="E3" s="351"/>
    </row>
    <row r="4" spans="2:5" ht="15">
      <c r="B4" s="141"/>
      <c r="C4" s="141"/>
      <c r="D4" s="141"/>
      <c r="E4" s="141"/>
    </row>
    <row r="5" spans="2:5" ht="21" customHeight="1">
      <c r="B5" s="352" t="s">
        <v>1</v>
      </c>
      <c r="C5" s="352"/>
      <c r="D5" s="352"/>
      <c r="E5" s="352"/>
    </row>
    <row r="6" spans="2:5" ht="14.25">
      <c r="B6" s="353" t="s">
        <v>229</v>
      </c>
      <c r="C6" s="353"/>
      <c r="D6" s="353"/>
      <c r="E6" s="353"/>
    </row>
    <row r="7" spans="2:5" ht="14.25">
      <c r="B7" s="139"/>
      <c r="C7" s="139"/>
      <c r="D7" s="139"/>
      <c r="E7" s="139"/>
    </row>
    <row r="8" spans="2:5" ht="13.5">
      <c r="B8" s="355" t="s">
        <v>18</v>
      </c>
      <c r="C8" s="357"/>
      <c r="D8" s="357"/>
      <c r="E8" s="357"/>
    </row>
    <row r="9" spans="2:5" ht="16.5" thickBot="1">
      <c r="B9" s="354" t="s">
        <v>103</v>
      </c>
      <c r="C9" s="354"/>
      <c r="D9" s="354"/>
      <c r="E9" s="354"/>
    </row>
    <row r="10" spans="2:5" ht="13.5" thickBot="1">
      <c r="B10" s="140"/>
      <c r="C10" s="76" t="s">
        <v>2</v>
      </c>
      <c r="D10" s="70" t="s">
        <v>245</v>
      </c>
      <c r="E10" s="255" t="s">
        <v>265</v>
      </c>
    </row>
    <row r="11" spans="2:5">
      <c r="B11" s="90" t="s">
        <v>3</v>
      </c>
      <c r="C11" s="128" t="s">
        <v>109</v>
      </c>
      <c r="D11" s="227">
        <v>638911.03</v>
      </c>
      <c r="E11" s="228">
        <f>SUM(E12:E14)</f>
        <v>466656.9</v>
      </c>
    </row>
    <row r="12" spans="2:5">
      <c r="B12" s="173" t="s">
        <v>4</v>
      </c>
      <c r="C12" s="174" t="s">
        <v>5</v>
      </c>
      <c r="D12" s="241">
        <v>638911.03</v>
      </c>
      <c r="E12" s="245">
        <v>466656.9</v>
      </c>
    </row>
    <row r="13" spans="2:5">
      <c r="B13" s="173" t="s">
        <v>6</v>
      </c>
      <c r="C13" s="175" t="s">
        <v>7</v>
      </c>
      <c r="D13" s="237"/>
      <c r="E13" s="246"/>
    </row>
    <row r="14" spans="2:5">
      <c r="B14" s="173" t="s">
        <v>8</v>
      </c>
      <c r="C14" s="175" t="s">
        <v>10</v>
      </c>
      <c r="D14" s="237"/>
      <c r="E14" s="246"/>
    </row>
    <row r="15" spans="2:5">
      <c r="B15" s="173" t="s">
        <v>106</v>
      </c>
      <c r="C15" s="175" t="s">
        <v>11</v>
      </c>
      <c r="D15" s="237"/>
      <c r="E15" s="246"/>
    </row>
    <row r="16" spans="2:5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638911.03</v>
      </c>
      <c r="E21" s="148">
        <f>E11-E17</f>
        <v>466656.9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741231.13</v>
      </c>
      <c r="E26" s="217">
        <f>D21</f>
        <v>638911.03</v>
      </c>
    </row>
    <row r="27" spans="2:6">
      <c r="B27" s="9" t="s">
        <v>17</v>
      </c>
      <c r="C27" s="10" t="s">
        <v>111</v>
      </c>
      <c r="D27" s="323">
        <v>-181749.88</v>
      </c>
      <c r="E27" s="274">
        <v>-183724.26</v>
      </c>
      <c r="F27" s="71"/>
    </row>
    <row r="28" spans="2:6">
      <c r="B28" s="9" t="s">
        <v>18</v>
      </c>
      <c r="C28" s="10" t="s">
        <v>19</v>
      </c>
      <c r="D28" s="323"/>
      <c r="E28" s="275">
        <v>130.66999999999999</v>
      </c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>
        <v>130.66999999999999</v>
      </c>
      <c r="F31" s="71"/>
    </row>
    <row r="32" spans="2:6">
      <c r="B32" s="92" t="s">
        <v>23</v>
      </c>
      <c r="C32" s="11" t="s">
        <v>24</v>
      </c>
      <c r="D32" s="323">
        <v>181749.88</v>
      </c>
      <c r="E32" s="275">
        <v>183854.93</v>
      </c>
      <c r="F32" s="71"/>
    </row>
    <row r="33" spans="2:6">
      <c r="B33" s="181" t="s">
        <v>4</v>
      </c>
      <c r="C33" s="174" t="s">
        <v>25</v>
      </c>
      <c r="D33" s="324">
        <v>168337.19</v>
      </c>
      <c r="E33" s="276">
        <f>176452.49+2.4</f>
        <v>176454.88999999998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634.38</v>
      </c>
      <c r="E35" s="276">
        <v>647.48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12778.310000000038</v>
      </c>
      <c r="E37" s="276">
        <v>6752.56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/>
      <c r="F39" s="71"/>
    </row>
    <row r="40" spans="2:6" ht="13.5" thickBot="1">
      <c r="B40" s="97" t="s">
        <v>35</v>
      </c>
      <c r="C40" s="98" t="s">
        <v>36</v>
      </c>
      <c r="D40" s="326">
        <v>79429.78</v>
      </c>
      <c r="E40" s="279">
        <v>11470.13</v>
      </c>
    </row>
    <row r="41" spans="2:6" ht="13.5" thickBot="1">
      <c r="B41" s="99" t="s">
        <v>37</v>
      </c>
      <c r="C41" s="100" t="s">
        <v>38</v>
      </c>
      <c r="D41" s="327">
        <v>638911.03</v>
      </c>
      <c r="E41" s="148">
        <f>E26+E27+E40</f>
        <v>466656.9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1314.62</v>
      </c>
      <c r="E47" s="73">
        <v>1018.9</v>
      </c>
    </row>
    <row r="48" spans="2:6">
      <c r="B48" s="186" t="s">
        <v>6</v>
      </c>
      <c r="C48" s="187" t="s">
        <v>41</v>
      </c>
      <c r="D48" s="200">
        <v>1018.9</v>
      </c>
      <c r="E48" s="149">
        <v>721.98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84" t="s">
        <v>4</v>
      </c>
      <c r="C50" s="185" t="s">
        <v>40</v>
      </c>
      <c r="D50" s="200">
        <v>563.83680000000004</v>
      </c>
      <c r="E50" s="75">
        <v>627.05960000000005</v>
      </c>
    </row>
    <row r="51" spans="2:5">
      <c r="B51" s="184" t="s">
        <v>6</v>
      </c>
      <c r="C51" s="185" t="s">
        <v>114</v>
      </c>
      <c r="D51" s="200">
        <v>563.83680000000004</v>
      </c>
      <c r="E51" s="75">
        <v>515.66719999999998</v>
      </c>
    </row>
    <row r="52" spans="2:5">
      <c r="B52" s="184" t="s">
        <v>8</v>
      </c>
      <c r="C52" s="185" t="s">
        <v>115</v>
      </c>
      <c r="D52" s="200">
        <v>630.51890000000003</v>
      </c>
      <c r="E52" s="75">
        <v>646.5652</v>
      </c>
    </row>
    <row r="53" spans="2:5" ht="13.5" customHeight="1" thickBot="1">
      <c r="B53" s="188" t="s">
        <v>9</v>
      </c>
      <c r="C53" s="189" t="s">
        <v>41</v>
      </c>
      <c r="D53" s="202">
        <v>627.05960000000005</v>
      </c>
      <c r="E53" s="280">
        <v>646.35709999999995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6.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466656.9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2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466656.9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466656.9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v>0</v>
      </c>
      <c r="E75" s="79">
        <v>0</v>
      </c>
    </row>
    <row r="76" spans="2:5">
      <c r="B76" s="102" t="s">
        <v>6</v>
      </c>
      <c r="C76" s="15" t="s">
        <v>119</v>
      </c>
      <c r="D76" s="78">
        <f>D74</f>
        <v>466656.9</v>
      </c>
      <c r="E76" s="79">
        <f>E74</f>
        <v>1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8">
    <pageSetUpPr fitToPage="1"/>
  </sheetPr>
  <dimension ref="A1:G81"/>
  <sheetViews>
    <sheetView topLeftCell="A16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1"/>
      <c r="C4" s="141"/>
      <c r="D4" s="141"/>
      <c r="E4" s="141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263</v>
      </c>
      <c r="C6" s="353"/>
      <c r="D6" s="353"/>
      <c r="E6" s="353"/>
    </row>
    <row r="7" spans="2:7" ht="14.25">
      <c r="B7" s="139"/>
      <c r="C7" s="139"/>
      <c r="D7" s="139"/>
      <c r="E7" s="13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40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726792.91</v>
      </c>
      <c r="E11" s="228">
        <f>SUM(E12:E14)</f>
        <v>456110.3</v>
      </c>
    </row>
    <row r="12" spans="2:7">
      <c r="B12" s="173" t="s">
        <v>4</v>
      </c>
      <c r="C12" s="174" t="s">
        <v>5</v>
      </c>
      <c r="D12" s="241">
        <v>726792.91</v>
      </c>
      <c r="E12" s="245">
        <v>456110.3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726792.91</v>
      </c>
      <c r="E21" s="148">
        <f>E11-E17</f>
        <v>456110.3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692537.26</v>
      </c>
      <c r="E26" s="217">
        <f>D21</f>
        <v>726792.91</v>
      </c>
    </row>
    <row r="27" spans="2:6">
      <c r="B27" s="9" t="s">
        <v>17</v>
      </c>
      <c r="C27" s="10" t="s">
        <v>111</v>
      </c>
      <c r="D27" s="323">
        <v>-29058.06</v>
      </c>
      <c r="E27" s="274">
        <v>-300034.65000000002</v>
      </c>
      <c r="F27" s="71"/>
    </row>
    <row r="28" spans="2:6">
      <c r="B28" s="9" t="s">
        <v>18</v>
      </c>
      <c r="C28" s="10" t="s">
        <v>19</v>
      </c>
      <c r="D28" s="323">
        <v>0</v>
      </c>
      <c r="E28" s="275">
        <v>0</v>
      </c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29058.06</v>
      </c>
      <c r="E32" s="275">
        <v>300034.65000000002</v>
      </c>
      <c r="F32" s="71"/>
    </row>
    <row r="33" spans="2:6">
      <c r="B33" s="181" t="s">
        <v>4</v>
      </c>
      <c r="C33" s="174" t="s">
        <v>25</v>
      </c>
      <c r="D33" s="324">
        <v>13124.42</v>
      </c>
      <c r="E33" s="276">
        <f>291248.16+0.98</f>
        <v>291249.13999999996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212.53</v>
      </c>
      <c r="E35" s="276">
        <v>1240.99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11755.52</v>
      </c>
      <c r="E37" s="276">
        <v>7544.52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>
        <v>3965.5899999998883</v>
      </c>
      <c r="E39" s="277"/>
      <c r="F39" s="71"/>
    </row>
    <row r="40" spans="2:6" ht="13.5" thickBot="1">
      <c r="B40" s="97" t="s">
        <v>35</v>
      </c>
      <c r="C40" s="98" t="s">
        <v>36</v>
      </c>
      <c r="D40" s="326">
        <v>63313.71</v>
      </c>
      <c r="E40" s="279">
        <v>29352.04</v>
      </c>
    </row>
    <row r="41" spans="2:6" ht="13.5" thickBot="1">
      <c r="B41" s="99" t="s">
        <v>37</v>
      </c>
      <c r="C41" s="100" t="s">
        <v>38</v>
      </c>
      <c r="D41" s="327">
        <v>726792.90999999992</v>
      </c>
      <c r="E41" s="148">
        <f>E26+E27+E40</f>
        <v>456110.3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1929.68</v>
      </c>
      <c r="E47" s="73">
        <v>1853.3</v>
      </c>
    </row>
    <row r="48" spans="2:6">
      <c r="B48" s="186" t="s">
        <v>6</v>
      </c>
      <c r="C48" s="187" t="s">
        <v>41</v>
      </c>
      <c r="D48" s="200">
        <v>1853.3</v>
      </c>
      <c r="E48" s="149">
        <v>1095.28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84" t="s">
        <v>4</v>
      </c>
      <c r="C50" s="185" t="s">
        <v>40</v>
      </c>
      <c r="D50" s="200">
        <v>358.88709999999998</v>
      </c>
      <c r="E50" s="75">
        <v>392.16149999999999</v>
      </c>
    </row>
    <row r="51" spans="2:5">
      <c r="B51" s="184" t="s">
        <v>6</v>
      </c>
      <c r="C51" s="185" t="s">
        <v>114</v>
      </c>
      <c r="D51" s="200">
        <v>358.4853</v>
      </c>
      <c r="E51" s="75">
        <v>312.63310000000001</v>
      </c>
    </row>
    <row r="52" spans="2:5">
      <c r="B52" s="184" t="s">
        <v>8</v>
      </c>
      <c r="C52" s="185" t="s">
        <v>115</v>
      </c>
      <c r="D52" s="200">
        <v>397.43599999999998</v>
      </c>
      <c r="E52" s="75">
        <v>416.43259999999998</v>
      </c>
    </row>
    <row r="53" spans="2:5" ht="14.25" customHeight="1" thickBot="1">
      <c r="B53" s="188" t="s">
        <v>9</v>
      </c>
      <c r="C53" s="189" t="s">
        <v>41</v>
      </c>
      <c r="D53" s="202">
        <v>392.16149999999999</v>
      </c>
      <c r="E53" s="280">
        <v>416.43259999999998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5.7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456110.3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2.7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456110.3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456110.3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v>0</v>
      </c>
      <c r="E75" s="79">
        <v>0</v>
      </c>
    </row>
    <row r="76" spans="2:5">
      <c r="B76" s="102" t="s">
        <v>6</v>
      </c>
      <c r="C76" s="15" t="s">
        <v>119</v>
      </c>
      <c r="D76" s="78">
        <f>D74</f>
        <v>456110.3</v>
      </c>
      <c r="E76" s="79">
        <f>E74</f>
        <v>1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9">
    <pageSetUpPr fitToPage="1"/>
  </sheetPr>
  <dimension ref="A1:G81"/>
  <sheetViews>
    <sheetView topLeftCell="A13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1"/>
      <c r="C4" s="141"/>
      <c r="D4" s="141"/>
      <c r="E4" s="141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244</v>
      </c>
      <c r="C6" s="353"/>
      <c r="D6" s="353"/>
      <c r="E6" s="353"/>
    </row>
    <row r="7" spans="2:7" ht="14.25">
      <c r="B7" s="139"/>
      <c r="C7" s="139"/>
      <c r="D7" s="139"/>
      <c r="E7" s="13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40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/>
      <c r="E11" s="228"/>
    </row>
    <row r="12" spans="2:7">
      <c r="B12" s="173" t="s">
        <v>4</v>
      </c>
      <c r="C12" s="174" t="s">
        <v>5</v>
      </c>
      <c r="D12" s="241"/>
      <c r="E12" s="245"/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/>
      <c r="E21" s="148"/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0</v>
      </c>
      <c r="E26" s="217">
        <f>D21</f>
        <v>0</v>
      </c>
    </row>
    <row r="27" spans="2:6">
      <c r="B27" s="9" t="s">
        <v>17</v>
      </c>
      <c r="C27" s="10" t="s">
        <v>111</v>
      </c>
      <c r="D27" s="323">
        <v>-0.69</v>
      </c>
      <c r="E27" s="274">
        <f>E28-E32</f>
        <v>-1.01</v>
      </c>
      <c r="F27" s="71"/>
    </row>
    <row r="28" spans="2:6">
      <c r="B28" s="9" t="s">
        <v>18</v>
      </c>
      <c r="C28" s="10" t="s">
        <v>19</v>
      </c>
      <c r="D28" s="323"/>
      <c r="E28" s="275"/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0.69</v>
      </c>
      <c r="E32" s="275">
        <f>SUM(E33:E39)</f>
        <v>1.01</v>
      </c>
      <c r="F32" s="71"/>
    </row>
    <row r="33" spans="2:6">
      <c r="B33" s="181" t="s">
        <v>4</v>
      </c>
      <c r="C33" s="174" t="s">
        <v>25</v>
      </c>
      <c r="D33" s="324"/>
      <c r="E33" s="276"/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/>
      <c r="E35" s="276"/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/>
      <c r="E37" s="276"/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>
        <v>0.69</v>
      </c>
      <c r="E39" s="277">
        <v>1.01</v>
      </c>
      <c r="F39" s="71"/>
    </row>
    <row r="40" spans="2:6" ht="13.5" thickBot="1">
      <c r="B40" s="97" t="s">
        <v>35</v>
      </c>
      <c r="C40" s="98" t="s">
        <v>36</v>
      </c>
      <c r="D40" s="326">
        <v>0.69</v>
      </c>
      <c r="E40" s="279">
        <v>1.01</v>
      </c>
    </row>
    <row r="41" spans="2:6" ht="13.5" thickBot="1">
      <c r="B41" s="99" t="s">
        <v>37</v>
      </c>
      <c r="C41" s="100" t="s">
        <v>38</v>
      </c>
      <c r="D41" s="327">
        <v>0</v>
      </c>
      <c r="E41" s="148">
        <f>E26+E27+E40</f>
        <v>0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/>
      <c r="E47" s="73"/>
    </row>
    <row r="48" spans="2:6">
      <c r="B48" s="186" t="s">
        <v>6</v>
      </c>
      <c r="C48" s="187" t="s">
        <v>41</v>
      </c>
      <c r="D48" s="200"/>
      <c r="E48" s="149"/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84" t="s">
        <v>4</v>
      </c>
      <c r="C50" s="185" t="s">
        <v>40</v>
      </c>
      <c r="D50" s="200"/>
      <c r="E50" s="75"/>
    </row>
    <row r="51" spans="2:5">
      <c r="B51" s="184" t="s">
        <v>6</v>
      </c>
      <c r="C51" s="185" t="s">
        <v>114</v>
      </c>
      <c r="D51" s="200">
        <v>351.94</v>
      </c>
      <c r="E51" s="297">
        <v>353.1</v>
      </c>
    </row>
    <row r="52" spans="2:5">
      <c r="B52" s="184" t="s">
        <v>8</v>
      </c>
      <c r="C52" s="185" t="s">
        <v>115</v>
      </c>
      <c r="D52" s="200">
        <v>357.58</v>
      </c>
      <c r="E52" s="297">
        <v>365.74</v>
      </c>
    </row>
    <row r="53" spans="2:5" ht="12.75" customHeight="1" thickBot="1">
      <c r="B53" s="188" t="s">
        <v>9</v>
      </c>
      <c r="C53" s="189" t="s">
        <v>41</v>
      </c>
      <c r="D53" s="202"/>
      <c r="E53" s="280"/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6.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0</v>
      </c>
      <c r="E58" s="31">
        <v>0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2.7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E12</f>
        <v>0</v>
      </c>
      <c r="E64" s="81">
        <v>0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f>E17</f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D58-D73</f>
        <v>0</v>
      </c>
      <c r="E74" s="66">
        <f>E58+E72-E73</f>
        <v>0</v>
      </c>
    </row>
    <row r="75" spans="2:5">
      <c r="B75" s="102" t="s">
        <v>4</v>
      </c>
      <c r="C75" s="15" t="s">
        <v>67</v>
      </c>
      <c r="D75" s="78">
        <f>D74</f>
        <v>0</v>
      </c>
      <c r="E75" s="79">
        <f>E74</f>
        <v>0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0">
    <pageSetUpPr fitToPage="1"/>
  </sheetPr>
  <dimension ref="A1:G81"/>
  <sheetViews>
    <sheetView topLeftCell="A13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4"/>
      <c r="C4" s="144"/>
      <c r="D4" s="144"/>
      <c r="E4" s="144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230</v>
      </c>
      <c r="C6" s="353"/>
      <c r="D6" s="353"/>
      <c r="E6" s="353"/>
    </row>
    <row r="7" spans="2:7" ht="14.25">
      <c r="B7" s="142"/>
      <c r="C7" s="142"/>
      <c r="D7" s="142"/>
      <c r="E7" s="142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43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9953.7099999999991</v>
      </c>
      <c r="E11" s="228">
        <f>SUM(E12:E14)</f>
        <v>10186.14</v>
      </c>
    </row>
    <row r="12" spans="2:7">
      <c r="B12" s="173" t="s">
        <v>4</v>
      </c>
      <c r="C12" s="174" t="s">
        <v>5</v>
      </c>
      <c r="D12" s="241">
        <v>9953.7099999999991</v>
      </c>
      <c r="E12" s="245">
        <v>10186.14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9953.7099999999991</v>
      </c>
      <c r="E21" s="148">
        <f>E11-E17</f>
        <v>10186.14</v>
      </c>
      <c r="F21" s="77"/>
    </row>
    <row r="22" spans="2:6">
      <c r="B22" s="3"/>
      <c r="C22" s="7"/>
      <c r="D22" s="8"/>
      <c r="E22" s="215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13683.78</v>
      </c>
      <c r="E26" s="217">
        <f>D21</f>
        <v>9953.7099999999991</v>
      </c>
    </row>
    <row r="27" spans="2:6">
      <c r="B27" s="9" t="s">
        <v>17</v>
      </c>
      <c r="C27" s="10" t="s">
        <v>111</v>
      </c>
      <c r="D27" s="323">
        <v>-4444.66</v>
      </c>
      <c r="E27" s="274">
        <v>-201.5</v>
      </c>
      <c r="F27" s="71"/>
    </row>
    <row r="28" spans="2:6">
      <c r="B28" s="9" t="s">
        <v>18</v>
      </c>
      <c r="C28" s="10" t="s">
        <v>19</v>
      </c>
      <c r="D28" s="323"/>
      <c r="E28" s="275"/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4444.66</v>
      </c>
      <c r="E32" s="275">
        <v>201.5</v>
      </c>
      <c r="F32" s="71"/>
    </row>
    <row r="33" spans="2:6">
      <c r="B33" s="181" t="s">
        <v>4</v>
      </c>
      <c r="C33" s="174" t="s">
        <v>25</v>
      </c>
      <c r="D33" s="324">
        <v>4175.47</v>
      </c>
      <c r="E33" s="276"/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46.29</v>
      </c>
      <c r="E35" s="276">
        <v>33.229999999999997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222.9</v>
      </c>
      <c r="E37" s="276">
        <v>168.27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/>
      <c r="F39" s="71"/>
    </row>
    <row r="40" spans="2:6" ht="13.5" thickBot="1">
      <c r="B40" s="97" t="s">
        <v>35</v>
      </c>
      <c r="C40" s="98" t="s">
        <v>36</v>
      </c>
      <c r="D40" s="326">
        <v>714.59</v>
      </c>
      <c r="E40" s="279">
        <v>433.93</v>
      </c>
    </row>
    <row r="41" spans="2:6" ht="13.5" thickBot="1">
      <c r="B41" s="99" t="s">
        <v>37</v>
      </c>
      <c r="C41" s="100" t="s">
        <v>38</v>
      </c>
      <c r="D41" s="327">
        <v>9953.7100000000009</v>
      </c>
      <c r="E41" s="148">
        <f>E26+E27+E40</f>
        <v>10186.14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102.50020000000001</v>
      </c>
      <c r="E47" s="73">
        <v>70.588700000000003</v>
      </c>
    </row>
    <row r="48" spans="2:6">
      <c r="B48" s="186" t="s">
        <v>6</v>
      </c>
      <c r="C48" s="187" t="s">
        <v>41</v>
      </c>
      <c r="D48" s="200">
        <v>70.588700000000003</v>
      </c>
      <c r="E48" s="149">
        <v>69.124200000000002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84" t="s">
        <v>4</v>
      </c>
      <c r="C50" s="185" t="s">
        <v>40</v>
      </c>
      <c r="D50" s="200">
        <v>133.5</v>
      </c>
      <c r="E50" s="75">
        <v>141.01</v>
      </c>
    </row>
    <row r="51" spans="2:5">
      <c r="B51" s="184" t="s">
        <v>6</v>
      </c>
      <c r="C51" s="185" t="s">
        <v>114</v>
      </c>
      <c r="D51" s="200">
        <v>133.32</v>
      </c>
      <c r="E51" s="75">
        <v>121.39</v>
      </c>
    </row>
    <row r="52" spans="2:5">
      <c r="B52" s="184" t="s">
        <v>8</v>
      </c>
      <c r="C52" s="185" t="s">
        <v>115</v>
      </c>
      <c r="D52" s="200">
        <v>141.03</v>
      </c>
      <c r="E52" s="75">
        <v>147.36000000000001</v>
      </c>
    </row>
    <row r="53" spans="2:5" ht="12.75" customHeight="1" thickBot="1">
      <c r="B53" s="188" t="s">
        <v>9</v>
      </c>
      <c r="C53" s="189" t="s">
        <v>41</v>
      </c>
      <c r="D53" s="202">
        <v>141.01</v>
      </c>
      <c r="E53" s="280">
        <v>147.36000000000001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6.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10186.14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3.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10186.14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10186.14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10186.14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1"/>
  <dimension ref="A1:F81"/>
  <sheetViews>
    <sheetView topLeftCell="A16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1" t="s">
        <v>0</v>
      </c>
      <c r="C2" s="351"/>
      <c r="D2" s="351"/>
      <c r="E2" s="351"/>
    </row>
    <row r="3" spans="2:5" ht="15.75">
      <c r="B3" s="351" t="s">
        <v>271</v>
      </c>
      <c r="C3" s="351"/>
      <c r="D3" s="351"/>
      <c r="E3" s="351"/>
    </row>
    <row r="4" spans="2:5" ht="15">
      <c r="B4" s="144"/>
      <c r="C4" s="144"/>
      <c r="D4" s="144"/>
      <c r="E4" s="144"/>
    </row>
    <row r="5" spans="2:5" ht="21" customHeight="1">
      <c r="B5" s="352" t="s">
        <v>1</v>
      </c>
      <c r="C5" s="352"/>
      <c r="D5" s="352"/>
      <c r="E5" s="352"/>
    </row>
    <row r="6" spans="2:5" ht="14.25">
      <c r="B6" s="353" t="s">
        <v>231</v>
      </c>
      <c r="C6" s="353"/>
      <c r="D6" s="353"/>
      <c r="E6" s="353"/>
    </row>
    <row r="7" spans="2:5" ht="14.25">
      <c r="B7" s="142"/>
      <c r="C7" s="142"/>
      <c r="D7" s="142"/>
      <c r="E7" s="142"/>
    </row>
    <row r="8" spans="2:5" ht="13.5">
      <c r="B8" s="355" t="s">
        <v>18</v>
      </c>
      <c r="C8" s="357"/>
      <c r="D8" s="357"/>
      <c r="E8" s="357"/>
    </row>
    <row r="9" spans="2:5" ht="16.5" thickBot="1">
      <c r="B9" s="354" t="s">
        <v>103</v>
      </c>
      <c r="C9" s="354"/>
      <c r="D9" s="354"/>
      <c r="E9" s="354"/>
    </row>
    <row r="10" spans="2:5" ht="13.5" thickBot="1">
      <c r="B10" s="143"/>
      <c r="C10" s="76" t="s">
        <v>2</v>
      </c>
      <c r="D10" s="70" t="s">
        <v>245</v>
      </c>
      <c r="E10" s="255" t="s">
        <v>265</v>
      </c>
    </row>
    <row r="11" spans="2:5">
      <c r="B11" s="90" t="s">
        <v>3</v>
      </c>
      <c r="C11" s="128" t="s">
        <v>109</v>
      </c>
      <c r="D11" s="227">
        <v>36227.25</v>
      </c>
      <c r="E11" s="228">
        <f>SUM(E12:E14)</f>
        <v>54723.199999999997</v>
      </c>
    </row>
    <row r="12" spans="2:5">
      <c r="B12" s="173" t="s">
        <v>4</v>
      </c>
      <c r="C12" s="174" t="s">
        <v>5</v>
      </c>
      <c r="D12" s="241">
        <v>36227.25</v>
      </c>
      <c r="E12" s="245">
        <v>54723.199999999997</v>
      </c>
    </row>
    <row r="13" spans="2:5">
      <c r="B13" s="173" t="s">
        <v>6</v>
      </c>
      <c r="C13" s="175" t="s">
        <v>7</v>
      </c>
      <c r="D13" s="237"/>
      <c r="E13" s="246"/>
    </row>
    <row r="14" spans="2:5">
      <c r="B14" s="173" t="s">
        <v>8</v>
      </c>
      <c r="C14" s="175" t="s">
        <v>10</v>
      </c>
      <c r="D14" s="237"/>
      <c r="E14" s="246"/>
    </row>
    <row r="15" spans="2:5">
      <c r="B15" s="173" t="s">
        <v>106</v>
      </c>
      <c r="C15" s="175" t="s">
        <v>11</v>
      </c>
      <c r="D15" s="237"/>
      <c r="E15" s="246"/>
    </row>
    <row r="16" spans="2:5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36227.25</v>
      </c>
      <c r="E21" s="148">
        <f>E11-E17</f>
        <v>54723.199999999997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30091.18</v>
      </c>
      <c r="E26" s="217">
        <f>D21</f>
        <v>36227.25</v>
      </c>
    </row>
    <row r="27" spans="2:6">
      <c r="B27" s="9" t="s">
        <v>17</v>
      </c>
      <c r="C27" s="10" t="s">
        <v>111</v>
      </c>
      <c r="D27" s="323">
        <v>-654.12</v>
      </c>
      <c r="E27" s="274">
        <v>-3155.47</v>
      </c>
      <c r="F27" s="71"/>
    </row>
    <row r="28" spans="2:6">
      <c r="B28" s="9" t="s">
        <v>18</v>
      </c>
      <c r="C28" s="10" t="s">
        <v>19</v>
      </c>
      <c r="D28" s="323">
        <v>1493.34</v>
      </c>
      <c r="E28" s="275">
        <v>31657.47</v>
      </c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>
        <v>1493.34</v>
      </c>
      <c r="E31" s="276">
        <v>31657.47</v>
      </c>
      <c r="F31" s="71"/>
    </row>
    <row r="32" spans="2:6">
      <c r="B32" s="92" t="s">
        <v>23</v>
      </c>
      <c r="C32" s="11" t="s">
        <v>24</v>
      </c>
      <c r="D32" s="323">
        <v>2147.46</v>
      </c>
      <c r="E32" s="275">
        <v>34812.94</v>
      </c>
      <c r="F32" s="71"/>
    </row>
    <row r="33" spans="2:6">
      <c r="B33" s="181" t="s">
        <v>4</v>
      </c>
      <c r="C33" s="174" t="s">
        <v>25</v>
      </c>
      <c r="D33" s="324"/>
      <c r="E33" s="276"/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28.52</v>
      </c>
      <c r="E35" s="276">
        <v>54.14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684.29</v>
      </c>
      <c r="E37" s="276">
        <v>1006.15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>
        <v>1434.65</v>
      </c>
      <c r="E39" s="277">
        <v>33752.65</v>
      </c>
      <c r="F39" s="71"/>
    </row>
    <row r="40" spans="2:6" ht="13.5" thickBot="1">
      <c r="B40" s="97" t="s">
        <v>35</v>
      </c>
      <c r="C40" s="98" t="s">
        <v>36</v>
      </c>
      <c r="D40" s="326">
        <v>6790.19</v>
      </c>
      <c r="E40" s="279">
        <v>21651.42</v>
      </c>
    </row>
    <row r="41" spans="2:6" ht="13.5" thickBot="1">
      <c r="B41" s="99" t="s">
        <v>37</v>
      </c>
      <c r="C41" s="100" t="s">
        <v>38</v>
      </c>
      <c r="D41" s="327">
        <v>36227.25</v>
      </c>
      <c r="E41" s="148">
        <f>E26+E27+E40</f>
        <v>54723.199999999997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357.20769999999999</v>
      </c>
      <c r="E47" s="73">
        <v>349.65010000000001</v>
      </c>
    </row>
    <row r="48" spans="2:6">
      <c r="B48" s="186" t="s">
        <v>6</v>
      </c>
      <c r="C48" s="187" t="s">
        <v>41</v>
      </c>
      <c r="D48" s="200">
        <v>349.65010000000001</v>
      </c>
      <c r="E48" s="149">
        <v>343.37200000000001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84" t="s">
        <v>4</v>
      </c>
      <c r="C50" s="185" t="s">
        <v>40</v>
      </c>
      <c r="D50" s="200">
        <v>84.24</v>
      </c>
      <c r="E50" s="75">
        <v>103.61</v>
      </c>
    </row>
    <row r="51" spans="2:5">
      <c r="B51" s="184" t="s">
        <v>6</v>
      </c>
      <c r="C51" s="185" t="s">
        <v>114</v>
      </c>
      <c r="D51" s="200">
        <v>83.93</v>
      </c>
      <c r="E51" s="75">
        <v>80.63</v>
      </c>
    </row>
    <row r="52" spans="2:5">
      <c r="B52" s="184" t="s">
        <v>8</v>
      </c>
      <c r="C52" s="185" t="s">
        <v>115</v>
      </c>
      <c r="D52" s="200">
        <v>103.61</v>
      </c>
      <c r="E52" s="75">
        <v>159.37</v>
      </c>
    </row>
    <row r="53" spans="2:5" ht="13.5" customHeight="1" thickBot="1">
      <c r="B53" s="188" t="s">
        <v>9</v>
      </c>
      <c r="C53" s="189" t="s">
        <v>41</v>
      </c>
      <c r="D53" s="202">
        <v>103.61</v>
      </c>
      <c r="E53" s="280">
        <v>159.37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5.7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54723.199999999997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54723.199999999997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54723.199999999997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54723.199999999997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opLeftCell="A13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7"/>
      <c r="C4" s="147"/>
      <c r="D4" s="147"/>
      <c r="E4" s="147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269</v>
      </c>
      <c r="C6" s="353"/>
      <c r="D6" s="353"/>
      <c r="E6" s="353"/>
    </row>
    <row r="7" spans="2:7" ht="14.25">
      <c r="B7" s="213"/>
      <c r="C7" s="213"/>
      <c r="D7" s="213"/>
      <c r="E7" s="213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214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10163.299999999999</v>
      </c>
      <c r="E11" s="228">
        <f>SUM(E12:E14)</f>
        <v>13976.89</v>
      </c>
    </row>
    <row r="12" spans="2:7">
      <c r="B12" s="173" t="s">
        <v>4</v>
      </c>
      <c r="C12" s="174" t="s">
        <v>5</v>
      </c>
      <c r="D12" s="241">
        <v>10163.299999999999</v>
      </c>
      <c r="E12" s="245">
        <v>13976.89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10163.299999999999</v>
      </c>
      <c r="E21" s="148">
        <f>E11-E17</f>
        <v>13976.89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14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9049.58</v>
      </c>
      <c r="E26" s="217">
        <f>D21</f>
        <v>10163.299999999999</v>
      </c>
    </row>
    <row r="27" spans="2:6">
      <c r="B27" s="9" t="s">
        <v>17</v>
      </c>
      <c r="C27" s="10" t="s">
        <v>111</v>
      </c>
      <c r="D27" s="323">
        <v>-224.13</v>
      </c>
      <c r="E27" s="274">
        <v>-229.2</v>
      </c>
      <c r="F27" s="71"/>
    </row>
    <row r="28" spans="2:6">
      <c r="B28" s="9" t="s">
        <v>18</v>
      </c>
      <c r="C28" s="10" t="s">
        <v>19</v>
      </c>
      <c r="D28" s="323"/>
      <c r="E28" s="275"/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224.13</v>
      </c>
      <c r="E32" s="275">
        <v>229.2</v>
      </c>
      <c r="F32" s="71"/>
    </row>
    <row r="33" spans="2:6">
      <c r="B33" s="181" t="s">
        <v>4</v>
      </c>
      <c r="C33" s="174" t="s">
        <v>25</v>
      </c>
      <c r="D33" s="324"/>
      <c r="E33" s="276"/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41.17</v>
      </c>
      <c r="E35" s="276">
        <v>42.33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182.96</v>
      </c>
      <c r="E37" s="276">
        <v>186.87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/>
      <c r="F39" s="71"/>
    </row>
    <row r="40" spans="2:6" ht="13.5" thickBot="1">
      <c r="B40" s="97" t="s">
        <v>35</v>
      </c>
      <c r="C40" s="98" t="s">
        <v>36</v>
      </c>
      <c r="D40" s="326">
        <v>1337.85</v>
      </c>
      <c r="E40" s="279">
        <v>4042.79</v>
      </c>
    </row>
    <row r="41" spans="2:6" ht="13.5" thickBot="1">
      <c r="B41" s="99" t="s">
        <v>37</v>
      </c>
      <c r="C41" s="100" t="s">
        <v>38</v>
      </c>
      <c r="D41" s="327">
        <v>10163.300000000001</v>
      </c>
      <c r="E41" s="148">
        <f>E26+E27+E40</f>
        <v>13976.89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14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52.231200000000001</v>
      </c>
      <c r="E47" s="73">
        <v>51.1541</v>
      </c>
    </row>
    <row r="48" spans="2:6">
      <c r="B48" s="186" t="s">
        <v>6</v>
      </c>
      <c r="C48" s="187" t="s">
        <v>41</v>
      </c>
      <c r="D48" s="200">
        <v>51.1541</v>
      </c>
      <c r="E48" s="149">
        <v>50.179099999999998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84" t="s">
        <v>4</v>
      </c>
      <c r="C50" s="185" t="s">
        <v>40</v>
      </c>
      <c r="D50" s="200">
        <v>173.26</v>
      </c>
      <c r="E50" s="75">
        <v>198.68</v>
      </c>
    </row>
    <row r="51" spans="2:5">
      <c r="B51" s="184" t="s">
        <v>6</v>
      </c>
      <c r="C51" s="185" t="s">
        <v>114</v>
      </c>
      <c r="D51" s="200">
        <v>167.97</v>
      </c>
      <c r="E51" s="75">
        <v>152.01</v>
      </c>
    </row>
    <row r="52" spans="2:5">
      <c r="B52" s="184" t="s">
        <v>8</v>
      </c>
      <c r="C52" s="185" t="s">
        <v>115</v>
      </c>
      <c r="D52" s="200">
        <v>231.13</v>
      </c>
      <c r="E52" s="75">
        <v>286.98</v>
      </c>
    </row>
    <row r="53" spans="2:5" ht="13.5" customHeight="1" thickBot="1">
      <c r="B53" s="188" t="s">
        <v>9</v>
      </c>
      <c r="C53" s="189" t="s">
        <v>41</v>
      </c>
      <c r="D53" s="202">
        <v>198.68</v>
      </c>
      <c r="E53" s="280">
        <v>278.54000000000002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5.7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13976.89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13976.89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13976.89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13976.89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9:E9"/>
    <mergeCell ref="B2:E2"/>
    <mergeCell ref="B3:E3"/>
    <mergeCell ref="B5:E5"/>
    <mergeCell ref="B6:E6"/>
    <mergeCell ref="B8:E8"/>
    <mergeCell ref="B56:E56"/>
    <mergeCell ref="B57:C57"/>
    <mergeCell ref="B21:C21"/>
    <mergeCell ref="B23:E23"/>
    <mergeCell ref="B24:E24"/>
    <mergeCell ref="B43:E43"/>
    <mergeCell ref="B44:E44"/>
    <mergeCell ref="B55:E5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pageSetUpPr fitToPage="1"/>
  </sheetPr>
  <dimension ref="A1:L81"/>
  <sheetViews>
    <sheetView zoomScale="80" zoomScaleNormal="80" workbookViewId="0">
      <selection activeCell="G13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85"/>
      <c r="C4" s="85"/>
      <c r="D4" s="85"/>
      <c r="E4" s="85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140</v>
      </c>
      <c r="C6" s="353"/>
      <c r="D6" s="353"/>
      <c r="E6" s="353"/>
    </row>
    <row r="7" spans="2:7" ht="14.25">
      <c r="B7" s="89"/>
      <c r="C7" s="89"/>
      <c r="D7" s="89"/>
      <c r="E7" s="8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86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14896693.859999999</v>
      </c>
      <c r="E11" s="228">
        <f>SUM(E12:E14)</f>
        <v>14501177.540000001</v>
      </c>
    </row>
    <row r="12" spans="2:7">
      <c r="B12" s="106" t="s">
        <v>4</v>
      </c>
      <c r="C12" s="6" t="s">
        <v>5</v>
      </c>
      <c r="D12" s="241">
        <v>14876307.34</v>
      </c>
      <c r="E12" s="245">
        <f>13664842.81+832129.51-4964.16</f>
        <v>14492008.16</v>
      </c>
    </row>
    <row r="13" spans="2:7">
      <c r="B13" s="106" t="s">
        <v>6</v>
      </c>
      <c r="C13" s="68" t="s">
        <v>7</v>
      </c>
      <c r="D13" s="237">
        <v>13.86</v>
      </c>
      <c r="E13" s="246"/>
    </row>
    <row r="14" spans="2:7">
      <c r="B14" s="106" t="s">
        <v>8</v>
      </c>
      <c r="C14" s="68" t="s">
        <v>10</v>
      </c>
      <c r="D14" s="237">
        <v>20372.66</v>
      </c>
      <c r="E14" s="246">
        <f>E15</f>
        <v>9169.3799999999992</v>
      </c>
    </row>
    <row r="15" spans="2:7">
      <c r="B15" s="106" t="s">
        <v>106</v>
      </c>
      <c r="C15" s="68" t="s">
        <v>11</v>
      </c>
      <c r="D15" s="237">
        <v>20372.66</v>
      </c>
      <c r="E15" s="246">
        <v>9169.3799999999992</v>
      </c>
    </row>
    <row r="16" spans="2:7">
      <c r="B16" s="107" t="s">
        <v>107</v>
      </c>
      <c r="C16" s="91" t="s">
        <v>12</v>
      </c>
      <c r="D16" s="239"/>
      <c r="E16" s="247"/>
    </row>
    <row r="17" spans="2:12">
      <c r="B17" s="9" t="s">
        <v>13</v>
      </c>
      <c r="C17" s="11" t="s">
        <v>65</v>
      </c>
      <c r="D17" s="240">
        <v>38089.03</v>
      </c>
      <c r="E17" s="248">
        <f>E18</f>
        <v>11644.29</v>
      </c>
    </row>
    <row r="18" spans="2:12">
      <c r="B18" s="106" t="s">
        <v>4</v>
      </c>
      <c r="C18" s="6" t="s">
        <v>11</v>
      </c>
      <c r="D18" s="239">
        <v>38089.03</v>
      </c>
      <c r="E18" s="247">
        <v>11644.29</v>
      </c>
    </row>
    <row r="19" spans="2:12" ht="15" customHeight="1">
      <c r="B19" s="106" t="s">
        <v>6</v>
      </c>
      <c r="C19" s="68" t="s">
        <v>108</v>
      </c>
      <c r="D19" s="237"/>
      <c r="E19" s="246"/>
    </row>
    <row r="20" spans="2:12" ht="13.5" thickBot="1">
      <c r="B20" s="108" t="s">
        <v>8</v>
      </c>
      <c r="C20" s="69" t="s">
        <v>14</v>
      </c>
      <c r="D20" s="229"/>
      <c r="E20" s="230"/>
    </row>
    <row r="21" spans="2:12" ht="13.5" thickBot="1">
      <c r="B21" s="361" t="s">
        <v>110</v>
      </c>
      <c r="C21" s="362"/>
      <c r="D21" s="231">
        <v>14858604.83</v>
      </c>
      <c r="E21" s="148">
        <f>E11-E17</f>
        <v>14489533.250000002</v>
      </c>
      <c r="F21" s="77"/>
    </row>
    <row r="22" spans="2:12">
      <c r="B22" s="3"/>
      <c r="C22" s="7"/>
      <c r="D22" s="8"/>
      <c r="E22" s="299"/>
    </row>
    <row r="23" spans="2:12" ht="13.5">
      <c r="B23" s="355" t="s">
        <v>104</v>
      </c>
      <c r="C23" s="363"/>
      <c r="D23" s="363"/>
      <c r="E23" s="363"/>
    </row>
    <row r="24" spans="2:12" ht="15.75" customHeight="1" thickBot="1">
      <c r="B24" s="354" t="s">
        <v>105</v>
      </c>
      <c r="C24" s="364"/>
      <c r="D24" s="364"/>
      <c r="E24" s="364"/>
    </row>
    <row r="25" spans="2:12" ht="13.5" thickBot="1">
      <c r="B25" s="86"/>
      <c r="C25" s="5" t="s">
        <v>2</v>
      </c>
      <c r="D25" s="70" t="s">
        <v>245</v>
      </c>
      <c r="E25" s="255" t="s">
        <v>265</v>
      </c>
      <c r="L25" s="172"/>
    </row>
    <row r="26" spans="2:12">
      <c r="B26" s="95" t="s">
        <v>15</v>
      </c>
      <c r="C26" s="96" t="s">
        <v>16</v>
      </c>
      <c r="D26" s="322">
        <v>18068437.370000001</v>
      </c>
      <c r="E26" s="217">
        <f>D21</f>
        <v>14858604.83</v>
      </c>
    </row>
    <row r="27" spans="2:12">
      <c r="B27" s="9" t="s">
        <v>17</v>
      </c>
      <c r="C27" s="10" t="s">
        <v>111</v>
      </c>
      <c r="D27" s="323">
        <v>-4219053.1000000015</v>
      </c>
      <c r="E27" s="274">
        <f>E28-E32</f>
        <v>-2512247.3099999996</v>
      </c>
      <c r="F27" s="71"/>
    </row>
    <row r="28" spans="2:12">
      <c r="B28" s="9" t="s">
        <v>18</v>
      </c>
      <c r="C28" s="10" t="s">
        <v>19</v>
      </c>
      <c r="D28" s="323">
        <v>1266263.56</v>
      </c>
      <c r="E28" s="275">
        <v>1109692.49</v>
      </c>
      <c r="F28" s="71"/>
    </row>
    <row r="29" spans="2:12">
      <c r="B29" s="104" t="s">
        <v>4</v>
      </c>
      <c r="C29" s="6" t="s">
        <v>20</v>
      </c>
      <c r="D29" s="324">
        <v>1215074.55</v>
      </c>
      <c r="E29" s="276">
        <v>1030121.6100000001</v>
      </c>
      <c r="F29" s="71"/>
    </row>
    <row r="30" spans="2:12">
      <c r="B30" s="104" t="s">
        <v>6</v>
      </c>
      <c r="C30" s="6" t="s">
        <v>21</v>
      </c>
      <c r="D30" s="324"/>
      <c r="E30" s="276"/>
      <c r="F30" s="71"/>
    </row>
    <row r="31" spans="2:12">
      <c r="B31" s="104" t="s">
        <v>8</v>
      </c>
      <c r="C31" s="6" t="s">
        <v>22</v>
      </c>
      <c r="D31" s="324">
        <v>51189.01</v>
      </c>
      <c r="E31" s="276">
        <v>79570.880000000005</v>
      </c>
      <c r="F31" s="71"/>
    </row>
    <row r="32" spans="2:12">
      <c r="B32" s="92" t="s">
        <v>23</v>
      </c>
      <c r="C32" s="11" t="s">
        <v>24</v>
      </c>
      <c r="D32" s="323">
        <v>5485316.660000002</v>
      </c>
      <c r="E32" s="275">
        <f>SUM(E33:E39)</f>
        <v>3621939.8</v>
      </c>
      <c r="F32" s="71"/>
    </row>
    <row r="33" spans="2:6">
      <c r="B33" s="104" t="s">
        <v>4</v>
      </c>
      <c r="C33" s="6" t="s">
        <v>25</v>
      </c>
      <c r="D33" s="324">
        <v>4846272.92</v>
      </c>
      <c r="E33" s="276">
        <f>3107868.87-4528.22</f>
        <v>3103340.65</v>
      </c>
      <c r="F33" s="71"/>
    </row>
    <row r="34" spans="2:6">
      <c r="B34" s="104" t="s">
        <v>6</v>
      </c>
      <c r="C34" s="6" t="s">
        <v>26</v>
      </c>
      <c r="D34" s="324"/>
      <c r="E34" s="276"/>
      <c r="F34" s="71"/>
    </row>
    <row r="35" spans="2:6">
      <c r="B35" s="104" t="s">
        <v>8</v>
      </c>
      <c r="C35" s="6" t="s">
        <v>27</v>
      </c>
      <c r="D35" s="324">
        <v>109215.43000000001</v>
      </c>
      <c r="E35" s="276">
        <v>95893.51</v>
      </c>
      <c r="F35" s="71"/>
    </row>
    <row r="36" spans="2:6">
      <c r="B36" s="104" t="s">
        <v>9</v>
      </c>
      <c r="C36" s="6" t="s">
        <v>28</v>
      </c>
      <c r="D36" s="324"/>
      <c r="E36" s="276"/>
      <c r="F36" s="71"/>
    </row>
    <row r="37" spans="2:6" ht="25.5">
      <c r="B37" s="104" t="s">
        <v>29</v>
      </c>
      <c r="C37" s="6" t="s">
        <v>30</v>
      </c>
      <c r="D37" s="324">
        <v>271455.06</v>
      </c>
      <c r="E37" s="276">
        <v>210272.02</v>
      </c>
      <c r="F37" s="71"/>
    </row>
    <row r="38" spans="2:6">
      <c r="B38" s="104" t="s">
        <v>31</v>
      </c>
      <c r="C38" s="6" t="s">
        <v>32</v>
      </c>
      <c r="D38" s="324"/>
      <c r="E38" s="276"/>
      <c r="F38" s="71"/>
    </row>
    <row r="39" spans="2:6">
      <c r="B39" s="105" t="s">
        <v>33</v>
      </c>
      <c r="C39" s="12" t="s">
        <v>34</v>
      </c>
      <c r="D39" s="325">
        <v>258373.25000000291</v>
      </c>
      <c r="E39" s="277">
        <v>212433.62</v>
      </c>
      <c r="F39" s="71"/>
    </row>
    <row r="40" spans="2:6" ht="13.5" thickBot="1">
      <c r="B40" s="97" t="s">
        <v>35</v>
      </c>
      <c r="C40" s="98" t="s">
        <v>36</v>
      </c>
      <c r="D40" s="326">
        <v>1009220.56</v>
      </c>
      <c r="E40" s="279">
        <v>2143175.73</v>
      </c>
    </row>
    <row r="41" spans="2:6" ht="13.5" thickBot="1">
      <c r="B41" s="99" t="s">
        <v>37</v>
      </c>
      <c r="C41" s="100" t="s">
        <v>38</v>
      </c>
      <c r="D41" s="327">
        <v>14858604.83</v>
      </c>
      <c r="E41" s="148">
        <f>E26+E27+E40</f>
        <v>14489533.25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8" customHeight="1" thickBot="1">
      <c r="B44" s="354" t="s">
        <v>121</v>
      </c>
      <c r="C44" s="358"/>
      <c r="D44" s="358"/>
      <c r="E44" s="358"/>
    </row>
    <row r="45" spans="2:6" ht="13.5" thickBot="1">
      <c r="B45" s="86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328">
        <v>130373.15091</v>
      </c>
      <c r="E47" s="73">
        <v>101447.1568</v>
      </c>
    </row>
    <row r="48" spans="2:6">
      <c r="B48" s="123" t="s">
        <v>6</v>
      </c>
      <c r="C48" s="22" t="s">
        <v>41</v>
      </c>
      <c r="D48" s="328">
        <v>101447.1568</v>
      </c>
      <c r="E48" s="335">
        <v>84816.569900000002</v>
      </c>
    </row>
    <row r="49" spans="2:5">
      <c r="B49" s="120" t="s">
        <v>23</v>
      </c>
      <c r="C49" s="124" t="s">
        <v>113</v>
      </c>
      <c r="D49" s="338"/>
      <c r="E49" s="125"/>
    </row>
    <row r="50" spans="2:5">
      <c r="B50" s="102" t="s">
        <v>4</v>
      </c>
      <c r="C50" s="15" t="s">
        <v>40</v>
      </c>
      <c r="D50" s="328">
        <v>138.590171703446</v>
      </c>
      <c r="E50" s="73">
        <v>146.46639999999999</v>
      </c>
    </row>
    <row r="51" spans="2:5">
      <c r="B51" s="102" t="s">
        <v>6</v>
      </c>
      <c r="C51" s="15" t="s">
        <v>114</v>
      </c>
      <c r="D51" s="328">
        <v>138.0283</v>
      </c>
      <c r="E51" s="73">
        <v>120.7756</v>
      </c>
    </row>
    <row r="52" spans="2:5" ht="12.75" customHeight="1">
      <c r="B52" s="102" t="s">
        <v>8</v>
      </c>
      <c r="C52" s="15" t="s">
        <v>115</v>
      </c>
      <c r="D52" s="328">
        <v>150.6722</v>
      </c>
      <c r="E52" s="73">
        <v>171.03299999999999</v>
      </c>
    </row>
    <row r="53" spans="2:5" ht="13.5" thickBot="1">
      <c r="B53" s="103" t="s">
        <v>9</v>
      </c>
      <c r="C53" s="17" t="s">
        <v>41</v>
      </c>
      <c r="D53" s="202">
        <v>146.46639999999999</v>
      </c>
      <c r="E53" s="280">
        <v>170.8338</v>
      </c>
    </row>
    <row r="54" spans="2:5">
      <c r="B54" s="109"/>
      <c r="C54" s="110"/>
      <c r="D54" s="111"/>
      <c r="E54" s="199"/>
    </row>
    <row r="55" spans="2:5" ht="13.5">
      <c r="B55" s="356" t="s">
        <v>62</v>
      </c>
      <c r="C55" s="357"/>
      <c r="D55" s="357"/>
      <c r="E55" s="357"/>
    </row>
    <row r="56" spans="2:5" ht="17.2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D64+D69</f>
        <v>14492008.16</v>
      </c>
      <c r="E58" s="31">
        <f>D58/E21</f>
        <v>1.0001708067442405</v>
      </c>
    </row>
    <row r="59" spans="2:5" ht="25.5">
      <c r="B59" s="21" t="s">
        <v>4</v>
      </c>
      <c r="C59" s="22" t="s">
        <v>44</v>
      </c>
      <c r="D59" s="80">
        <v>0</v>
      </c>
      <c r="E59" s="81">
        <v>0</v>
      </c>
    </row>
    <row r="60" spans="2:5" ht="24" customHeight="1">
      <c r="B60" s="14" t="s">
        <v>6</v>
      </c>
      <c r="C60" s="15" t="s">
        <v>45</v>
      </c>
      <c r="D60" s="78">
        <v>0</v>
      </c>
      <c r="E60" s="79">
        <v>0</v>
      </c>
    </row>
    <row r="61" spans="2:5">
      <c r="B61" s="14" t="s">
        <v>8</v>
      </c>
      <c r="C61" s="15" t="s">
        <v>46</v>
      </c>
      <c r="D61" s="78">
        <v>0</v>
      </c>
      <c r="E61" s="79">
        <v>0</v>
      </c>
    </row>
    <row r="62" spans="2:5">
      <c r="B62" s="14" t="s">
        <v>9</v>
      </c>
      <c r="C62" s="15" t="s">
        <v>47</v>
      </c>
      <c r="D62" s="78">
        <v>0</v>
      </c>
      <c r="E62" s="79">
        <v>0</v>
      </c>
    </row>
    <row r="63" spans="2:5">
      <c r="B63" s="14" t="s">
        <v>29</v>
      </c>
      <c r="C63" s="15" t="s">
        <v>48</v>
      </c>
      <c r="D63" s="78">
        <v>0</v>
      </c>
      <c r="E63" s="79">
        <v>0</v>
      </c>
    </row>
    <row r="64" spans="2:5">
      <c r="B64" s="21" t="s">
        <v>31</v>
      </c>
      <c r="C64" s="22" t="s">
        <v>49</v>
      </c>
      <c r="D64" s="234">
        <v>13659878.65</v>
      </c>
      <c r="E64" s="81">
        <f>D64/E21</f>
        <v>0.94274110934525779</v>
      </c>
    </row>
    <row r="65" spans="2:5">
      <c r="B65" s="21" t="s">
        <v>33</v>
      </c>
      <c r="C65" s="22" t="s">
        <v>118</v>
      </c>
      <c r="D65" s="80">
        <v>0</v>
      </c>
      <c r="E65" s="81">
        <v>0</v>
      </c>
    </row>
    <row r="66" spans="2:5">
      <c r="B66" s="21" t="s">
        <v>50</v>
      </c>
      <c r="C66" s="22" t="s">
        <v>51</v>
      </c>
      <c r="D66" s="80">
        <v>0</v>
      </c>
      <c r="E66" s="81">
        <v>0</v>
      </c>
    </row>
    <row r="67" spans="2:5">
      <c r="B67" s="14" t="s">
        <v>52</v>
      </c>
      <c r="C67" s="15" t="s">
        <v>53</v>
      </c>
      <c r="D67" s="78">
        <v>0</v>
      </c>
      <c r="E67" s="79">
        <v>0</v>
      </c>
    </row>
    <row r="68" spans="2:5">
      <c r="B68" s="14" t="s">
        <v>54</v>
      </c>
      <c r="C68" s="15" t="s">
        <v>55</v>
      </c>
      <c r="D68" s="78">
        <v>0</v>
      </c>
      <c r="E68" s="79">
        <v>0</v>
      </c>
    </row>
    <row r="69" spans="2:5">
      <c r="B69" s="14" t="s">
        <v>56</v>
      </c>
      <c r="C69" s="15" t="s">
        <v>57</v>
      </c>
      <c r="D69" s="302">
        <v>832129.51</v>
      </c>
      <c r="E69" s="79">
        <f>D69/E21</f>
        <v>5.7429697398982807E-2</v>
      </c>
    </row>
    <row r="70" spans="2:5">
      <c r="B70" s="112" t="s">
        <v>58</v>
      </c>
      <c r="C70" s="113" t="s">
        <v>59</v>
      </c>
      <c r="D70" s="114">
        <v>0</v>
      </c>
      <c r="E70" s="115">
        <v>0</v>
      </c>
    </row>
    <row r="71" spans="2:5">
      <c r="B71" s="120" t="s">
        <v>23</v>
      </c>
      <c r="C71" s="121" t="s">
        <v>61</v>
      </c>
      <c r="D71" s="122">
        <f>E13</f>
        <v>0</v>
      </c>
      <c r="E71" s="66">
        <v>0</v>
      </c>
    </row>
    <row r="72" spans="2:5">
      <c r="B72" s="116" t="s">
        <v>60</v>
      </c>
      <c r="C72" s="117" t="s">
        <v>63</v>
      </c>
      <c r="D72" s="118">
        <f>E14</f>
        <v>9169.3799999999992</v>
      </c>
      <c r="E72" s="119">
        <f>D72/E21</f>
        <v>6.3282783798436005E-4</v>
      </c>
    </row>
    <row r="73" spans="2:5">
      <c r="B73" s="23" t="s">
        <v>62</v>
      </c>
      <c r="C73" s="24" t="s">
        <v>65</v>
      </c>
      <c r="D73" s="25">
        <f>E17</f>
        <v>11644.29</v>
      </c>
      <c r="E73" s="26">
        <f>D73/E21</f>
        <v>8.0363458222506917E-4</v>
      </c>
    </row>
    <row r="74" spans="2:5">
      <c r="B74" s="120" t="s">
        <v>64</v>
      </c>
      <c r="C74" s="121" t="s">
        <v>66</v>
      </c>
      <c r="D74" s="122">
        <f>D58+D71+D72-D73</f>
        <v>14489533.250000002</v>
      </c>
      <c r="E74" s="66">
        <f>E58+E72-E73</f>
        <v>0.99999999999999978</v>
      </c>
    </row>
    <row r="75" spans="2:5">
      <c r="B75" s="14" t="s">
        <v>4</v>
      </c>
      <c r="C75" s="15" t="s">
        <v>67</v>
      </c>
      <c r="D75" s="78">
        <f>D74</f>
        <v>14489533.250000002</v>
      </c>
      <c r="E75" s="79">
        <f>E74</f>
        <v>0.99999999999999978</v>
      </c>
    </row>
    <row r="76" spans="2:5">
      <c r="B76" s="14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6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11"/>
      <c r="E78" s="211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2"/>
  <dimension ref="A1:F81"/>
  <sheetViews>
    <sheetView topLeftCell="A13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1" t="s">
        <v>0</v>
      </c>
      <c r="C2" s="351"/>
      <c r="D2" s="351"/>
      <c r="E2" s="351"/>
    </row>
    <row r="3" spans="2:5" ht="15.75">
      <c r="B3" s="351" t="s">
        <v>271</v>
      </c>
      <c r="C3" s="351"/>
      <c r="D3" s="351"/>
      <c r="E3" s="351"/>
    </row>
    <row r="4" spans="2:5" ht="15">
      <c r="B4" s="144"/>
      <c r="C4" s="144"/>
      <c r="D4" s="144"/>
      <c r="E4" s="144"/>
    </row>
    <row r="5" spans="2:5" ht="21" customHeight="1">
      <c r="B5" s="352" t="s">
        <v>1</v>
      </c>
      <c r="C5" s="352"/>
      <c r="D5" s="352"/>
      <c r="E5" s="352"/>
    </row>
    <row r="6" spans="2:5" ht="14.25">
      <c r="B6" s="353" t="s">
        <v>232</v>
      </c>
      <c r="C6" s="353"/>
      <c r="D6" s="353"/>
      <c r="E6" s="353"/>
    </row>
    <row r="7" spans="2:5" ht="14.25">
      <c r="B7" s="142"/>
      <c r="C7" s="142"/>
      <c r="D7" s="142"/>
      <c r="E7" s="142"/>
    </row>
    <row r="8" spans="2:5" ht="13.5">
      <c r="B8" s="355" t="s">
        <v>18</v>
      </c>
      <c r="C8" s="357"/>
      <c r="D8" s="357"/>
      <c r="E8" s="357"/>
    </row>
    <row r="9" spans="2:5" ht="16.5" thickBot="1">
      <c r="B9" s="354" t="s">
        <v>103</v>
      </c>
      <c r="C9" s="354"/>
      <c r="D9" s="354"/>
      <c r="E9" s="354"/>
    </row>
    <row r="10" spans="2:5" ht="13.5" thickBot="1">
      <c r="B10" s="143"/>
      <c r="C10" s="76" t="s">
        <v>2</v>
      </c>
      <c r="D10" s="70" t="s">
        <v>245</v>
      </c>
      <c r="E10" s="255" t="s">
        <v>265</v>
      </c>
    </row>
    <row r="11" spans="2:5">
      <c r="B11" s="90" t="s">
        <v>3</v>
      </c>
      <c r="C11" s="128" t="s">
        <v>109</v>
      </c>
      <c r="D11" s="227">
        <v>265450.02</v>
      </c>
      <c r="E11" s="228">
        <f>SUM(E12:E14)</f>
        <v>267634.78999999998</v>
      </c>
    </row>
    <row r="12" spans="2:5">
      <c r="B12" s="173" t="s">
        <v>4</v>
      </c>
      <c r="C12" s="174" t="s">
        <v>5</v>
      </c>
      <c r="D12" s="241">
        <v>265450.02</v>
      </c>
      <c r="E12" s="245">
        <v>267634.78999999998</v>
      </c>
    </row>
    <row r="13" spans="2:5">
      <c r="B13" s="173" t="s">
        <v>6</v>
      </c>
      <c r="C13" s="175" t="s">
        <v>7</v>
      </c>
      <c r="D13" s="237"/>
      <c r="E13" s="246"/>
    </row>
    <row r="14" spans="2:5">
      <c r="B14" s="173" t="s">
        <v>8</v>
      </c>
      <c r="C14" s="175" t="s">
        <v>10</v>
      </c>
      <c r="D14" s="237"/>
      <c r="E14" s="246"/>
    </row>
    <row r="15" spans="2:5">
      <c r="B15" s="173" t="s">
        <v>106</v>
      </c>
      <c r="C15" s="175" t="s">
        <v>11</v>
      </c>
      <c r="D15" s="237"/>
      <c r="E15" s="246"/>
    </row>
    <row r="16" spans="2:5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265450.02</v>
      </c>
      <c r="E21" s="148">
        <f>E11-E17</f>
        <v>267634.78999999998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257424.79</v>
      </c>
      <c r="E26" s="217">
        <f>D21</f>
        <v>265450.02</v>
      </c>
    </row>
    <row r="27" spans="2:6">
      <c r="B27" s="9" t="s">
        <v>17</v>
      </c>
      <c r="C27" s="10" t="s">
        <v>111</v>
      </c>
      <c r="D27" s="323">
        <v>-67955.59</v>
      </c>
      <c r="E27" s="274">
        <v>-182712.48</v>
      </c>
      <c r="F27" s="71"/>
    </row>
    <row r="28" spans="2:6">
      <c r="B28" s="9" t="s">
        <v>18</v>
      </c>
      <c r="C28" s="10" t="s">
        <v>19</v>
      </c>
      <c r="D28" s="323">
        <v>39936.160000000003</v>
      </c>
      <c r="E28" s="275">
        <v>284966.03000000003</v>
      </c>
      <c r="F28" s="71"/>
    </row>
    <row r="29" spans="2:6">
      <c r="B29" s="181" t="s">
        <v>4</v>
      </c>
      <c r="C29" s="174" t="s">
        <v>20</v>
      </c>
      <c r="D29" s="324"/>
      <c r="E29" s="276">
        <v>21593.42</v>
      </c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>
        <v>39936.160000000003</v>
      </c>
      <c r="E31" s="276">
        <v>263372.61</v>
      </c>
      <c r="F31" s="71"/>
    </row>
    <row r="32" spans="2:6">
      <c r="B32" s="92" t="s">
        <v>23</v>
      </c>
      <c r="C32" s="11" t="s">
        <v>24</v>
      </c>
      <c r="D32" s="323">
        <v>107891.75</v>
      </c>
      <c r="E32" s="275">
        <v>467678.50999999995</v>
      </c>
      <c r="F32" s="71"/>
    </row>
    <row r="33" spans="2:6">
      <c r="B33" s="181" t="s">
        <v>4</v>
      </c>
      <c r="C33" s="174" t="s">
        <v>25</v>
      </c>
      <c r="D33" s="324">
        <v>60064.54</v>
      </c>
      <c r="E33" s="276">
        <v>24965.94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759.65</v>
      </c>
      <c r="E35" s="276">
        <v>301.14999999999998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5080.3599999999997</v>
      </c>
      <c r="E37" s="276">
        <v>4809.95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>
        <v>41987.199999999997</v>
      </c>
      <c r="E39" s="277">
        <v>437601.47</v>
      </c>
      <c r="F39" s="71"/>
    </row>
    <row r="40" spans="2:6" ht="13.5" thickBot="1">
      <c r="B40" s="97" t="s">
        <v>35</v>
      </c>
      <c r="C40" s="98" t="s">
        <v>36</v>
      </c>
      <c r="D40" s="326">
        <v>75980.820000000007</v>
      </c>
      <c r="E40" s="279">
        <v>184897.25</v>
      </c>
    </row>
    <row r="41" spans="2:6" ht="13.5" thickBot="1">
      <c r="B41" s="99" t="s">
        <v>37</v>
      </c>
      <c r="C41" s="100" t="s">
        <v>38</v>
      </c>
      <c r="D41" s="327">
        <v>265450.02</v>
      </c>
      <c r="E41" s="148">
        <f>E26+E27+E40</f>
        <v>267634.79000000004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2679.5544</v>
      </c>
      <c r="E47" s="73">
        <v>2063.3503000000001</v>
      </c>
    </row>
    <row r="48" spans="2:6">
      <c r="B48" s="186" t="s">
        <v>6</v>
      </c>
      <c r="C48" s="187" t="s">
        <v>41</v>
      </c>
      <c r="D48" s="200">
        <v>2063.3503000000001</v>
      </c>
      <c r="E48" s="149">
        <v>936.47360000000003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84" t="s">
        <v>4</v>
      </c>
      <c r="C50" s="185" t="s">
        <v>40</v>
      </c>
      <c r="D50" s="200">
        <v>96.07</v>
      </c>
      <c r="E50" s="75">
        <v>128.65</v>
      </c>
    </row>
    <row r="51" spans="2:5">
      <c r="B51" s="184" t="s">
        <v>6</v>
      </c>
      <c r="C51" s="185" t="s">
        <v>114</v>
      </c>
      <c r="D51" s="200">
        <v>93.320000000000007</v>
      </c>
      <c r="E51" s="75">
        <v>103.1</v>
      </c>
    </row>
    <row r="52" spans="2:5">
      <c r="B52" s="184" t="s">
        <v>8</v>
      </c>
      <c r="C52" s="185" t="s">
        <v>115</v>
      </c>
      <c r="D52" s="200">
        <v>149.5</v>
      </c>
      <c r="E52" s="75">
        <v>305.79000000000002</v>
      </c>
    </row>
    <row r="53" spans="2:5" ht="12.75" customHeight="1" thickBot="1">
      <c r="B53" s="188" t="s">
        <v>9</v>
      </c>
      <c r="C53" s="189" t="s">
        <v>41</v>
      </c>
      <c r="D53" s="202">
        <v>128.65</v>
      </c>
      <c r="E53" s="280">
        <v>285.79000000000002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7.2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267634.78999999998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267634.78999999998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267634.78999999998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267634.78999999998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4"/>
  <dimension ref="A1:G81"/>
  <sheetViews>
    <sheetView topLeftCell="A16"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7"/>
      <c r="C4" s="147"/>
      <c r="D4" s="147"/>
      <c r="E4" s="147"/>
    </row>
    <row r="5" spans="2:7" ht="14.25">
      <c r="B5" s="352" t="s">
        <v>1</v>
      </c>
      <c r="C5" s="352"/>
      <c r="D5" s="352"/>
      <c r="E5" s="352"/>
    </row>
    <row r="6" spans="2:7" ht="14.25">
      <c r="B6" s="353" t="s">
        <v>233</v>
      </c>
      <c r="C6" s="353"/>
      <c r="D6" s="353"/>
      <c r="E6" s="353"/>
    </row>
    <row r="7" spans="2:7" ht="14.25">
      <c r="B7" s="164"/>
      <c r="C7" s="164"/>
      <c r="D7" s="164"/>
      <c r="E7" s="164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65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/>
      <c r="E11" s="228"/>
    </row>
    <row r="12" spans="2:7">
      <c r="B12" s="173" t="s">
        <v>4</v>
      </c>
      <c r="C12" s="174" t="s">
        <v>5</v>
      </c>
      <c r="D12" s="241"/>
      <c r="E12" s="245"/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/>
      <c r="E21" s="148"/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18073.759999999998</v>
      </c>
      <c r="E26" s="217"/>
    </row>
    <row r="27" spans="2:6">
      <c r="B27" s="9" t="s">
        <v>17</v>
      </c>
      <c r="C27" s="10" t="s">
        <v>111</v>
      </c>
      <c r="D27" s="323">
        <v>-15896.72</v>
      </c>
      <c r="E27" s="274"/>
      <c r="F27" s="71"/>
    </row>
    <row r="28" spans="2:6">
      <c r="B28" s="9" t="s">
        <v>18</v>
      </c>
      <c r="C28" s="10" t="s">
        <v>19</v>
      </c>
      <c r="D28" s="323">
        <v>0</v>
      </c>
      <c r="E28" s="275"/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15896.72</v>
      </c>
      <c r="E32" s="275"/>
      <c r="F32" s="71"/>
    </row>
    <row r="33" spans="2:6">
      <c r="B33" s="181" t="s">
        <v>4</v>
      </c>
      <c r="C33" s="174" t="s">
        <v>25</v>
      </c>
      <c r="D33" s="324"/>
      <c r="E33" s="276"/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16.87</v>
      </c>
      <c r="E35" s="276"/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356.68</v>
      </c>
      <c r="E37" s="276"/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>
        <v>15523.17</v>
      </c>
      <c r="E39" s="277"/>
      <c r="F39" s="71"/>
    </row>
    <row r="40" spans="2:6" ht="15.75" customHeight="1" thickBot="1">
      <c r="B40" s="97" t="s">
        <v>35</v>
      </c>
      <c r="C40" s="98" t="s">
        <v>36</v>
      </c>
      <c r="D40" s="326">
        <v>-2177.04</v>
      </c>
      <c r="E40" s="279"/>
    </row>
    <row r="41" spans="2:6" ht="13.5" thickBot="1">
      <c r="B41" s="99" t="s">
        <v>37</v>
      </c>
      <c r="C41" s="100" t="s">
        <v>38</v>
      </c>
      <c r="D41" s="327">
        <v>0</v>
      </c>
      <c r="E41" s="261"/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61.5319</v>
      </c>
      <c r="E47" s="73"/>
    </row>
    <row r="48" spans="2:6">
      <c r="B48" s="186" t="s">
        <v>6</v>
      </c>
      <c r="C48" s="187" t="s">
        <v>41</v>
      </c>
      <c r="D48" s="200"/>
      <c r="E48" s="149"/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84" t="s">
        <v>4</v>
      </c>
      <c r="C50" s="185" t="s">
        <v>40</v>
      </c>
      <c r="D50" s="200">
        <v>293.73</v>
      </c>
      <c r="E50" s="75"/>
    </row>
    <row r="51" spans="2:5">
      <c r="B51" s="184" t="s">
        <v>6</v>
      </c>
      <c r="C51" s="185" t="s">
        <v>114</v>
      </c>
      <c r="D51" s="200">
        <v>250.79</v>
      </c>
      <c r="E51" s="75"/>
    </row>
    <row r="52" spans="2:5">
      <c r="B52" s="184" t="s">
        <v>8</v>
      </c>
      <c r="C52" s="185" t="s">
        <v>115</v>
      </c>
      <c r="D52" s="200">
        <v>325.32</v>
      </c>
      <c r="E52" s="75"/>
    </row>
    <row r="53" spans="2:5" ht="13.5" thickBot="1">
      <c r="B53" s="188" t="s">
        <v>9</v>
      </c>
      <c r="C53" s="189" t="s">
        <v>41</v>
      </c>
      <c r="D53" s="202"/>
      <c r="E53" s="280"/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4.25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0</v>
      </c>
      <c r="E58" s="31">
        <v>0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0</v>
      </c>
      <c r="E64" s="81">
        <f>E58</f>
        <v>0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0</v>
      </c>
      <c r="E74" s="66">
        <f>E58+E72-E73</f>
        <v>0</v>
      </c>
    </row>
    <row r="75" spans="2:5">
      <c r="B75" s="102" t="s">
        <v>4</v>
      </c>
      <c r="C75" s="15" t="s">
        <v>67</v>
      </c>
      <c r="D75" s="78">
        <f>D74</f>
        <v>0</v>
      </c>
      <c r="E75" s="79">
        <f>E74</f>
        <v>0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6:E56"/>
    <mergeCell ref="B57:C57"/>
    <mergeCell ref="B21:C21"/>
    <mergeCell ref="B23:E23"/>
    <mergeCell ref="B24:E24"/>
    <mergeCell ref="B43:E43"/>
    <mergeCell ref="B44:E44"/>
    <mergeCell ref="B55:E55"/>
    <mergeCell ref="B9:E9"/>
    <mergeCell ref="B2:E2"/>
    <mergeCell ref="B3:E3"/>
    <mergeCell ref="B5:E5"/>
    <mergeCell ref="B6:E6"/>
    <mergeCell ref="B8:E8"/>
  </mergeCells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5"/>
  <dimension ref="A1:G81"/>
  <sheetViews>
    <sheetView topLeftCell="A16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7"/>
      <c r="C4" s="147"/>
      <c r="D4" s="147"/>
      <c r="E4" s="147"/>
    </row>
    <row r="5" spans="2:7" ht="14.25">
      <c r="B5" s="352" t="s">
        <v>1</v>
      </c>
      <c r="C5" s="352"/>
      <c r="D5" s="352"/>
      <c r="E5" s="352"/>
    </row>
    <row r="6" spans="2:7" ht="14.25">
      <c r="B6" s="353" t="s">
        <v>234</v>
      </c>
      <c r="C6" s="353"/>
      <c r="D6" s="353"/>
      <c r="E6" s="353"/>
    </row>
    <row r="7" spans="2:7" ht="14.25">
      <c r="B7" s="164"/>
      <c r="C7" s="164"/>
      <c r="D7" s="164"/>
      <c r="E7" s="164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65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11883.7</v>
      </c>
      <c r="E11" s="228">
        <f>SUM(E12:E14)</f>
        <v>16395.84</v>
      </c>
    </row>
    <row r="12" spans="2:7">
      <c r="B12" s="173" t="s">
        <v>4</v>
      </c>
      <c r="C12" s="174" t="s">
        <v>5</v>
      </c>
      <c r="D12" s="241">
        <v>11883.7</v>
      </c>
      <c r="E12" s="245">
        <v>16395.84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11883.7</v>
      </c>
      <c r="E21" s="148">
        <f>E11-E17</f>
        <v>16395.84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9361.31</v>
      </c>
      <c r="E26" s="217">
        <f>D21</f>
        <v>11883.7</v>
      </c>
    </row>
    <row r="27" spans="2:6">
      <c r="B27" s="9" t="s">
        <v>17</v>
      </c>
      <c r="C27" s="10" t="s">
        <v>111</v>
      </c>
      <c r="D27" s="323">
        <v>-212.23999999999998</v>
      </c>
      <c r="E27" s="274">
        <v>-317.16000000000003</v>
      </c>
      <c r="F27" s="71"/>
    </row>
    <row r="28" spans="2:6">
      <c r="B28" s="9" t="s">
        <v>18</v>
      </c>
      <c r="C28" s="10" t="s">
        <v>19</v>
      </c>
      <c r="D28" s="323"/>
      <c r="E28" s="275"/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212.23999999999998</v>
      </c>
      <c r="E32" s="275">
        <v>317.16000000000003</v>
      </c>
      <c r="F32" s="71"/>
    </row>
    <row r="33" spans="2:6">
      <c r="B33" s="181" t="s">
        <v>4</v>
      </c>
      <c r="C33" s="174" t="s">
        <v>25</v>
      </c>
      <c r="D33" s="324"/>
      <c r="E33" s="276"/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39.82</v>
      </c>
      <c r="E35" s="276">
        <v>58.75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172.42</v>
      </c>
      <c r="E37" s="276">
        <v>258.41000000000003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/>
      <c r="F39" s="71"/>
    </row>
    <row r="40" spans="2:6" ht="13.5" thickBot="1">
      <c r="B40" s="97" t="s">
        <v>35</v>
      </c>
      <c r="C40" s="98" t="s">
        <v>36</v>
      </c>
      <c r="D40" s="326">
        <v>2734.63</v>
      </c>
      <c r="E40" s="279">
        <v>4829.3</v>
      </c>
    </row>
    <row r="41" spans="2:6" ht="13.5" thickBot="1">
      <c r="B41" s="99" t="s">
        <v>37</v>
      </c>
      <c r="C41" s="100" t="s">
        <v>38</v>
      </c>
      <c r="D41" s="327">
        <v>11883.7</v>
      </c>
      <c r="E41" s="148">
        <f>E26+E27+E40</f>
        <v>16395.84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59.293799999999997</v>
      </c>
      <c r="E47" s="73">
        <v>58.167900000000003</v>
      </c>
    </row>
    <row r="48" spans="2:6">
      <c r="B48" s="186" t="s">
        <v>6</v>
      </c>
      <c r="C48" s="187" t="s">
        <v>41</v>
      </c>
      <c r="D48" s="200">
        <v>58.167900000000003</v>
      </c>
      <c r="E48" s="149">
        <v>56.7605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84" t="s">
        <v>4</v>
      </c>
      <c r="C50" s="185" t="s">
        <v>40</v>
      </c>
      <c r="D50" s="200">
        <v>157.88</v>
      </c>
      <c r="E50" s="75">
        <v>204.3</v>
      </c>
    </row>
    <row r="51" spans="2:5">
      <c r="B51" s="184" t="s">
        <v>6</v>
      </c>
      <c r="C51" s="185" t="s">
        <v>114</v>
      </c>
      <c r="D51" s="200">
        <v>155.33000000000001</v>
      </c>
      <c r="E51" s="75">
        <v>145.32</v>
      </c>
    </row>
    <row r="52" spans="2:5">
      <c r="B52" s="184" t="s">
        <v>8</v>
      </c>
      <c r="C52" s="185" t="s">
        <v>115</v>
      </c>
      <c r="D52" s="200">
        <v>206.03</v>
      </c>
      <c r="E52" s="75">
        <v>295.81</v>
      </c>
    </row>
    <row r="53" spans="2:5" ht="13.5" thickBot="1">
      <c r="B53" s="188" t="s">
        <v>9</v>
      </c>
      <c r="C53" s="189" t="s">
        <v>41</v>
      </c>
      <c r="D53" s="202">
        <v>204.3</v>
      </c>
      <c r="E53" s="280">
        <v>288.86</v>
      </c>
    </row>
    <row r="54" spans="2:5">
      <c r="B54" s="109"/>
      <c r="C54" s="110"/>
      <c r="D54" s="111"/>
      <c r="E54" s="199"/>
    </row>
    <row r="55" spans="2:5" ht="13.5">
      <c r="B55" s="356" t="s">
        <v>62</v>
      </c>
      <c r="C55" s="357"/>
      <c r="D55" s="357"/>
      <c r="E55" s="357"/>
    </row>
    <row r="56" spans="2:5" ht="14.25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16395.84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16395.84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16395.84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16395.84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6:E56"/>
    <mergeCell ref="B57:C57"/>
    <mergeCell ref="B21:C21"/>
    <mergeCell ref="B23:E23"/>
    <mergeCell ref="B24:E24"/>
    <mergeCell ref="B43:E43"/>
    <mergeCell ref="B44:E44"/>
    <mergeCell ref="B55:E55"/>
    <mergeCell ref="B9:E9"/>
    <mergeCell ref="B2:E2"/>
    <mergeCell ref="B3:E3"/>
    <mergeCell ref="B5:E5"/>
    <mergeCell ref="B6:E6"/>
    <mergeCell ref="B8:E8"/>
  </mergeCells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7"/>
  <dimension ref="A1:G81"/>
  <sheetViews>
    <sheetView topLeftCell="A13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4"/>
      <c r="C4" s="144"/>
      <c r="D4" s="144"/>
      <c r="E4" s="144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235</v>
      </c>
      <c r="C6" s="353"/>
      <c r="D6" s="353"/>
      <c r="E6" s="353"/>
    </row>
    <row r="7" spans="2:7" ht="14.25">
      <c r="B7" s="142"/>
      <c r="C7" s="142"/>
      <c r="D7" s="142"/>
      <c r="E7" s="142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43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4938164.21</v>
      </c>
      <c r="E11" s="228">
        <f>SUM(E12:E14)</f>
        <v>4296499.2699999996</v>
      </c>
    </row>
    <row r="12" spans="2:7">
      <c r="B12" s="173" t="s">
        <v>4</v>
      </c>
      <c r="C12" s="174" t="s">
        <v>5</v>
      </c>
      <c r="D12" s="241">
        <v>4938164.21</v>
      </c>
      <c r="E12" s="245">
        <v>4296499.2699999996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4938164.21</v>
      </c>
      <c r="E21" s="148">
        <f>E11-E17</f>
        <v>4296499.2699999996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5624189.2999999998</v>
      </c>
      <c r="E26" s="217">
        <f>D21</f>
        <v>4938164.21</v>
      </c>
    </row>
    <row r="27" spans="2:6">
      <c r="B27" s="9" t="s">
        <v>17</v>
      </c>
      <c r="C27" s="10" t="s">
        <v>111</v>
      </c>
      <c r="D27" s="323">
        <v>-649845.04</v>
      </c>
      <c r="E27" s="274">
        <v>-401526.32999999996</v>
      </c>
      <c r="F27" s="71"/>
    </row>
    <row r="28" spans="2:6">
      <c r="B28" s="9" t="s">
        <v>18</v>
      </c>
      <c r="C28" s="10" t="s">
        <v>19</v>
      </c>
      <c r="D28" s="323"/>
      <c r="E28" s="275"/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649845.04</v>
      </c>
      <c r="E32" s="275"/>
      <c r="F32" s="71"/>
    </row>
    <row r="33" spans="2:6">
      <c r="B33" s="181" t="s">
        <v>4</v>
      </c>
      <c r="C33" s="174" t="s">
        <v>25</v>
      </c>
      <c r="D33" s="324">
        <v>374458.08</v>
      </c>
      <c r="E33" s="276">
        <v>319889.09999999998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4937.6899999999996</v>
      </c>
      <c r="E35" s="276">
        <v>8628.19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86414.41</v>
      </c>
      <c r="E37" s="276">
        <v>73009.039999999994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>
        <v>184034.86</v>
      </c>
      <c r="E39" s="277"/>
      <c r="F39" s="71"/>
    </row>
    <row r="40" spans="2:6" ht="13.5" thickBot="1">
      <c r="B40" s="97" t="s">
        <v>35</v>
      </c>
      <c r="C40" s="98" t="s">
        <v>36</v>
      </c>
      <c r="D40" s="326">
        <v>-36180.050000000003</v>
      </c>
      <c r="E40" s="279">
        <v>-240138.61</v>
      </c>
    </row>
    <row r="41" spans="2:6" ht="13.5" thickBot="1">
      <c r="B41" s="99" t="s">
        <v>37</v>
      </c>
      <c r="C41" s="100" t="s">
        <v>38</v>
      </c>
      <c r="D41" s="327">
        <v>4938164.21</v>
      </c>
      <c r="E41" s="148">
        <f>E26+E27+E40</f>
        <v>4296499.2699999996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394679.951</v>
      </c>
      <c r="E47" s="73">
        <v>348986.87</v>
      </c>
    </row>
    <row r="48" spans="2:6">
      <c r="B48" s="186" t="s">
        <v>6</v>
      </c>
      <c r="C48" s="187" t="s">
        <v>41</v>
      </c>
      <c r="D48" s="200">
        <v>348986.87</v>
      </c>
      <c r="E48" s="149">
        <v>319204.99800000002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84" t="s">
        <v>4</v>
      </c>
      <c r="C50" s="185" t="s">
        <v>40</v>
      </c>
      <c r="D50" s="200">
        <v>14.25</v>
      </c>
      <c r="E50" s="75">
        <v>14.15</v>
      </c>
    </row>
    <row r="51" spans="2:5">
      <c r="B51" s="184" t="s">
        <v>6</v>
      </c>
      <c r="C51" s="185" t="s">
        <v>114</v>
      </c>
      <c r="D51" s="200">
        <v>13.88</v>
      </c>
      <c r="E51" s="75">
        <v>13.2</v>
      </c>
    </row>
    <row r="52" spans="2:5">
      <c r="B52" s="184" t="s">
        <v>8</v>
      </c>
      <c r="C52" s="185" t="s">
        <v>115</v>
      </c>
      <c r="D52" s="200">
        <v>14.8</v>
      </c>
      <c r="E52" s="75">
        <v>14.15</v>
      </c>
    </row>
    <row r="53" spans="2:5" ht="14.25" customHeight="1" thickBot="1">
      <c r="B53" s="188" t="s">
        <v>9</v>
      </c>
      <c r="C53" s="189" t="s">
        <v>41</v>
      </c>
      <c r="D53" s="202">
        <v>14.15</v>
      </c>
      <c r="E53" s="280">
        <v>13.46</v>
      </c>
    </row>
    <row r="54" spans="2:5">
      <c r="B54" s="190"/>
      <c r="C54" s="191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6.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4296499.2699999996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4296499.2699999996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4296499.2699999996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v>0</v>
      </c>
      <c r="E75" s="79">
        <v>0</v>
      </c>
    </row>
    <row r="76" spans="2:5">
      <c r="B76" s="102" t="s">
        <v>6</v>
      </c>
      <c r="C76" s="15" t="s">
        <v>119</v>
      </c>
      <c r="D76" s="78">
        <f>D74</f>
        <v>4296499.2699999996</v>
      </c>
      <c r="E76" s="79">
        <f>E74</f>
        <v>1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8"/>
  <dimension ref="A1:G81"/>
  <sheetViews>
    <sheetView topLeftCell="A16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4"/>
      <c r="C4" s="144"/>
      <c r="D4" s="144"/>
      <c r="E4" s="144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236</v>
      </c>
      <c r="C6" s="353"/>
      <c r="D6" s="353"/>
      <c r="E6" s="353"/>
    </row>
    <row r="7" spans="2:7" ht="14.25">
      <c r="B7" s="142"/>
      <c r="C7" s="142"/>
      <c r="D7" s="142"/>
      <c r="E7" s="142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43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7703014.2799999993</v>
      </c>
      <c r="E11" s="228">
        <f>SUM(E12:E14)</f>
        <v>6421943.7999999998</v>
      </c>
    </row>
    <row r="12" spans="2:7">
      <c r="B12" s="173" t="s">
        <v>4</v>
      </c>
      <c r="C12" s="174" t="s">
        <v>5</v>
      </c>
      <c r="D12" s="241">
        <v>7703014.2799999993</v>
      </c>
      <c r="E12" s="245">
        <v>6421943.7999999998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7703014.2799999993</v>
      </c>
      <c r="E21" s="148">
        <f>E11-E17</f>
        <v>6421943.7999999998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8455491.9800000004</v>
      </c>
      <c r="E26" s="217">
        <f>D21</f>
        <v>7703014.2799999993</v>
      </c>
    </row>
    <row r="27" spans="2:6">
      <c r="B27" s="9" t="s">
        <v>17</v>
      </c>
      <c r="C27" s="10" t="s">
        <v>111</v>
      </c>
      <c r="D27" s="323">
        <v>-646823.65999999992</v>
      </c>
      <c r="E27" s="274">
        <f>E28-E32</f>
        <v>-758288.32000000007</v>
      </c>
      <c r="F27" s="71"/>
    </row>
    <row r="28" spans="2:6">
      <c r="B28" s="9" t="s">
        <v>18</v>
      </c>
      <c r="C28" s="10" t="s">
        <v>19</v>
      </c>
      <c r="D28" s="323">
        <v>8765.2800000000007</v>
      </c>
      <c r="E28" s="275"/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>
        <v>8765.2800000000007</v>
      </c>
      <c r="E31" s="276"/>
      <c r="F31" s="71"/>
    </row>
    <row r="32" spans="2:6">
      <c r="B32" s="92" t="s">
        <v>23</v>
      </c>
      <c r="C32" s="11" t="s">
        <v>24</v>
      </c>
      <c r="D32" s="323">
        <v>655588.93999999994</v>
      </c>
      <c r="E32" s="275">
        <f>SUM(E33:E39)</f>
        <v>758288.32000000007</v>
      </c>
      <c r="F32" s="71"/>
    </row>
    <row r="33" spans="2:6">
      <c r="B33" s="181" t="s">
        <v>4</v>
      </c>
      <c r="C33" s="174" t="s">
        <v>25</v>
      </c>
      <c r="D33" s="324">
        <v>511602.35</v>
      </c>
      <c r="E33" s="276">
        <f>92609.82-3.22</f>
        <v>92606.6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12819.74</v>
      </c>
      <c r="E35" s="276">
        <v>25149.93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131166.85</v>
      </c>
      <c r="E37" s="276">
        <v>107067.15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>
        <v>533464.64</v>
      </c>
      <c r="F39" s="71"/>
    </row>
    <row r="40" spans="2:6" ht="13.5" thickBot="1">
      <c r="B40" s="97" t="s">
        <v>35</v>
      </c>
      <c r="C40" s="98" t="s">
        <v>36</v>
      </c>
      <c r="D40" s="326">
        <v>-105654.04</v>
      </c>
      <c r="E40" s="279">
        <v>-522782.16</v>
      </c>
    </row>
    <row r="41" spans="2:6" ht="13.5" thickBot="1">
      <c r="B41" s="99" t="s">
        <v>37</v>
      </c>
      <c r="C41" s="100" t="s">
        <v>38</v>
      </c>
      <c r="D41" s="327">
        <v>7703014.2800000003</v>
      </c>
      <c r="E41" s="148">
        <f>E26+E27+E40</f>
        <v>6421943.7999999989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8" customHeight="1" thickBot="1">
      <c r="B44" s="354" t="s">
        <v>121</v>
      </c>
      <c r="C44" s="358"/>
      <c r="D44" s="358"/>
      <c r="E44" s="358"/>
    </row>
    <row r="45" spans="2:6" ht="13.5" thickBot="1">
      <c r="B45" s="143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95305.365000000005</v>
      </c>
      <c r="E47" s="73">
        <v>87923.916000000012</v>
      </c>
    </row>
    <row r="48" spans="2:6">
      <c r="B48" s="123" t="s">
        <v>6</v>
      </c>
      <c r="C48" s="22" t="s">
        <v>41</v>
      </c>
      <c r="D48" s="200">
        <v>87923.916000000012</v>
      </c>
      <c r="E48" s="149">
        <v>79058.769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02" t="s">
        <v>4</v>
      </c>
      <c r="C50" s="15" t="s">
        <v>40</v>
      </c>
      <c r="D50" s="200">
        <v>88.72</v>
      </c>
      <c r="E50" s="75">
        <v>87.61</v>
      </c>
    </row>
    <row r="51" spans="2:5">
      <c r="B51" s="102" t="s">
        <v>6</v>
      </c>
      <c r="C51" s="15" t="s">
        <v>114</v>
      </c>
      <c r="D51" s="200">
        <v>85.24</v>
      </c>
      <c r="E51" s="75">
        <v>79.59</v>
      </c>
    </row>
    <row r="52" spans="2:5">
      <c r="B52" s="102" t="s">
        <v>8</v>
      </c>
      <c r="C52" s="15" t="s">
        <v>115</v>
      </c>
      <c r="D52" s="200">
        <v>92.58</v>
      </c>
      <c r="E52" s="75">
        <v>87.61</v>
      </c>
    </row>
    <row r="53" spans="2:5" ht="14.25" customHeight="1" thickBot="1">
      <c r="B53" s="103" t="s">
        <v>9</v>
      </c>
      <c r="C53" s="17" t="s">
        <v>41</v>
      </c>
      <c r="D53" s="202">
        <v>87.61</v>
      </c>
      <c r="E53" s="280">
        <v>81.23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6.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6421943.7999999998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3.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6421943.7999999998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6421943.7999999998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v>0</v>
      </c>
      <c r="E75" s="79">
        <v>0</v>
      </c>
    </row>
    <row r="76" spans="2:5">
      <c r="B76" s="102" t="s">
        <v>6</v>
      </c>
      <c r="C76" s="15" t="s">
        <v>119</v>
      </c>
      <c r="D76" s="78">
        <f>D74</f>
        <v>6421943.7999999998</v>
      </c>
      <c r="E76" s="79">
        <f>E74</f>
        <v>1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9"/>
  <dimension ref="A1:G81"/>
  <sheetViews>
    <sheetView topLeftCell="A16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4"/>
      <c r="C4" s="144"/>
      <c r="D4" s="144"/>
      <c r="E4" s="144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237</v>
      </c>
      <c r="C6" s="353"/>
      <c r="D6" s="353"/>
      <c r="E6" s="353"/>
    </row>
    <row r="7" spans="2:7" ht="14.25">
      <c r="B7" s="142"/>
      <c r="C7" s="142"/>
      <c r="D7" s="142"/>
      <c r="E7" s="142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43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32036.97</v>
      </c>
      <c r="E11" s="228">
        <f>SUM(E12:E14)</f>
        <v>29070.05</v>
      </c>
    </row>
    <row r="12" spans="2:7">
      <c r="B12" s="173" t="s">
        <v>4</v>
      </c>
      <c r="C12" s="174" t="s">
        <v>5</v>
      </c>
      <c r="D12" s="241">
        <v>32036.97</v>
      </c>
      <c r="E12" s="245">
        <v>29070.05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32036.97</v>
      </c>
      <c r="E21" s="148">
        <f>E11-E17</f>
        <v>29070.05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27104.97</v>
      </c>
      <c r="E26" s="217">
        <f>D21</f>
        <v>32036.97</v>
      </c>
    </row>
    <row r="27" spans="2:6">
      <c r="B27" s="9" t="s">
        <v>17</v>
      </c>
      <c r="C27" s="10" t="s">
        <v>111</v>
      </c>
      <c r="D27" s="323">
        <v>-516.42000000000007</v>
      </c>
      <c r="E27" s="274">
        <v>1418.01</v>
      </c>
      <c r="F27" s="71"/>
    </row>
    <row r="28" spans="2:6">
      <c r="B28" s="9" t="s">
        <v>18</v>
      </c>
      <c r="C28" s="10" t="s">
        <v>19</v>
      </c>
      <c r="D28" s="323"/>
      <c r="E28" s="275">
        <v>2461.52</v>
      </c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>
        <v>2461.52</v>
      </c>
      <c r="F31" s="71"/>
    </row>
    <row r="32" spans="2:6">
      <c r="B32" s="92" t="s">
        <v>23</v>
      </c>
      <c r="C32" s="11" t="s">
        <v>24</v>
      </c>
      <c r="D32" s="323">
        <v>516.42000000000007</v>
      </c>
      <c r="E32" s="275">
        <v>1043.51</v>
      </c>
      <c r="F32" s="71"/>
    </row>
    <row r="33" spans="2:6">
      <c r="B33" s="181" t="s">
        <v>4</v>
      </c>
      <c r="C33" s="174" t="s">
        <v>25</v>
      </c>
      <c r="D33" s="324"/>
      <c r="E33" s="276">
        <v>967.39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45.95</v>
      </c>
      <c r="E35" s="276">
        <v>6.37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470.47</v>
      </c>
      <c r="E37" s="276">
        <v>69.75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/>
      <c r="F39" s="71"/>
    </row>
    <row r="40" spans="2:6" ht="13.5" thickBot="1">
      <c r="B40" s="97" t="s">
        <v>35</v>
      </c>
      <c r="C40" s="98" t="s">
        <v>36</v>
      </c>
      <c r="D40" s="326">
        <v>5448.42</v>
      </c>
      <c r="E40" s="279">
        <v>-4384.93</v>
      </c>
    </row>
    <row r="41" spans="2:6" ht="13.5" thickBot="1">
      <c r="B41" s="99" t="s">
        <v>37</v>
      </c>
      <c r="C41" s="100" t="s">
        <v>38</v>
      </c>
      <c r="D41" s="327">
        <v>32036.97</v>
      </c>
      <c r="E41" s="148">
        <f>E26+E27+E40</f>
        <v>29070.050000000003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3861.107</v>
      </c>
      <c r="E47" s="73">
        <v>3800.3519999999999</v>
      </c>
    </row>
    <row r="48" spans="2:6">
      <c r="B48" s="186" t="s">
        <v>6</v>
      </c>
      <c r="C48" s="187" t="s">
        <v>41</v>
      </c>
      <c r="D48" s="200">
        <v>3800.3519999999999</v>
      </c>
      <c r="E48" s="149">
        <v>4117.5709999999999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84" t="s">
        <v>4</v>
      </c>
      <c r="C50" s="185" t="s">
        <v>40</v>
      </c>
      <c r="D50" s="200">
        <v>7.02</v>
      </c>
      <c r="E50" s="75">
        <v>8.43</v>
      </c>
    </row>
    <row r="51" spans="2:5">
      <c r="B51" s="184" t="s">
        <v>6</v>
      </c>
      <c r="C51" s="185" t="s">
        <v>114</v>
      </c>
      <c r="D51" s="200">
        <v>7.02</v>
      </c>
      <c r="E51" s="75">
        <v>4.03</v>
      </c>
    </row>
    <row r="52" spans="2:5">
      <c r="B52" s="184" t="s">
        <v>8</v>
      </c>
      <c r="C52" s="185" t="s">
        <v>115</v>
      </c>
      <c r="D52" s="200">
        <v>8.5500000000000007</v>
      </c>
      <c r="E52" s="75">
        <v>8.67</v>
      </c>
    </row>
    <row r="53" spans="2:5" ht="14.25" customHeight="1" thickBot="1">
      <c r="B53" s="188" t="s">
        <v>9</v>
      </c>
      <c r="C53" s="189" t="s">
        <v>41</v>
      </c>
      <c r="D53" s="202">
        <v>8.43</v>
      </c>
      <c r="E53" s="280">
        <v>7.06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5.7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29070.05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3.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29070.05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29070.05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v>0</v>
      </c>
      <c r="E75" s="79">
        <v>0</v>
      </c>
    </row>
    <row r="76" spans="2:5">
      <c r="B76" s="102" t="s">
        <v>6</v>
      </c>
      <c r="C76" s="15" t="s">
        <v>119</v>
      </c>
      <c r="D76" s="78">
        <f>D74</f>
        <v>29070.05</v>
      </c>
      <c r="E76" s="79">
        <f>E74</f>
        <v>1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0"/>
  <dimension ref="A1:G81"/>
  <sheetViews>
    <sheetView topLeftCell="A13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4"/>
      <c r="C4" s="144"/>
      <c r="D4" s="144"/>
      <c r="E4" s="144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257</v>
      </c>
      <c r="C6" s="353"/>
      <c r="D6" s="353"/>
      <c r="E6" s="353"/>
    </row>
    <row r="7" spans="2:7" ht="14.25">
      <c r="B7" s="142"/>
      <c r="C7" s="142"/>
      <c r="D7" s="142"/>
      <c r="E7" s="142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43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144046.09</v>
      </c>
      <c r="E11" s="228">
        <f>SUM(E12:E14)</f>
        <v>156173.26</v>
      </c>
    </row>
    <row r="12" spans="2:7">
      <c r="B12" s="173" t="s">
        <v>4</v>
      </c>
      <c r="C12" s="174" t="s">
        <v>5</v>
      </c>
      <c r="D12" s="241">
        <v>144046.09</v>
      </c>
      <c r="E12" s="245">
        <v>156173.26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144046.09</v>
      </c>
      <c r="E21" s="148">
        <f>E11-E17</f>
        <v>156173.26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144862.87</v>
      </c>
      <c r="E26" s="217">
        <f>D21</f>
        <v>144046.09</v>
      </c>
    </row>
    <row r="27" spans="2:6">
      <c r="B27" s="9" t="s">
        <v>17</v>
      </c>
      <c r="C27" s="10" t="s">
        <v>111</v>
      </c>
      <c r="D27" s="323">
        <v>-23717.69</v>
      </c>
      <c r="E27" s="274">
        <v>-37083.68</v>
      </c>
      <c r="F27" s="71"/>
    </row>
    <row r="28" spans="2:6">
      <c r="B28" s="9" t="s">
        <v>18</v>
      </c>
      <c r="C28" s="10" t="s">
        <v>19</v>
      </c>
      <c r="D28" s="323"/>
      <c r="E28" s="275"/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23717.69</v>
      </c>
      <c r="E32" s="275">
        <v>37083.68</v>
      </c>
      <c r="F32" s="71"/>
    </row>
    <row r="33" spans="2:6">
      <c r="B33" s="181" t="s">
        <v>4</v>
      </c>
      <c r="C33" s="174" t="s">
        <v>25</v>
      </c>
      <c r="D33" s="324">
        <v>21120.7</v>
      </c>
      <c r="E33" s="276">
        <f>34432.76+2.37</f>
        <v>34435.130000000005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533.34</v>
      </c>
      <c r="E35" s="276">
        <v>530.88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2063.6499999999978</v>
      </c>
      <c r="E37" s="276">
        <v>2117.67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/>
      <c r="F39" s="71"/>
    </row>
    <row r="40" spans="2:6" ht="13.5" thickBot="1">
      <c r="B40" s="97" t="s">
        <v>35</v>
      </c>
      <c r="C40" s="98" t="s">
        <v>36</v>
      </c>
      <c r="D40" s="326">
        <v>22900.91</v>
      </c>
      <c r="E40" s="279">
        <v>49210.85</v>
      </c>
    </row>
    <row r="41" spans="2:6" ht="13.5" thickBot="1">
      <c r="B41" s="99" t="s">
        <v>37</v>
      </c>
      <c r="C41" s="100" t="s">
        <v>38</v>
      </c>
      <c r="D41" s="327">
        <v>144046.09</v>
      </c>
      <c r="E41" s="148">
        <f>E26+E27+E40</f>
        <v>156173.26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1234.3462</v>
      </c>
      <c r="E47" s="73">
        <v>1050.971</v>
      </c>
    </row>
    <row r="48" spans="2:6">
      <c r="B48" s="186" t="s">
        <v>6</v>
      </c>
      <c r="C48" s="187" t="s">
        <v>41</v>
      </c>
      <c r="D48" s="200">
        <v>1050.971</v>
      </c>
      <c r="E48" s="149">
        <v>819.89319999999998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84" t="s">
        <v>4</v>
      </c>
      <c r="C50" s="185" t="s">
        <v>40</v>
      </c>
      <c r="D50" s="200">
        <v>117.36</v>
      </c>
      <c r="E50" s="75">
        <v>137.06</v>
      </c>
    </row>
    <row r="51" spans="2:5">
      <c r="B51" s="184" t="s">
        <v>6</v>
      </c>
      <c r="C51" s="185" t="s">
        <v>114</v>
      </c>
      <c r="D51" s="200">
        <v>116.10000000000001</v>
      </c>
      <c r="E51" s="75">
        <v>105.8</v>
      </c>
    </row>
    <row r="52" spans="2:5">
      <c r="B52" s="184" t="s">
        <v>8</v>
      </c>
      <c r="C52" s="185" t="s">
        <v>115</v>
      </c>
      <c r="D52" s="200">
        <v>137.46</v>
      </c>
      <c r="E52" s="75">
        <v>193.56</v>
      </c>
    </row>
    <row r="53" spans="2:5" ht="14.25" customHeight="1" thickBot="1">
      <c r="B53" s="188" t="s">
        <v>9</v>
      </c>
      <c r="C53" s="189" t="s">
        <v>41</v>
      </c>
      <c r="D53" s="202">
        <v>137.06</v>
      </c>
      <c r="E53" s="280">
        <v>190.48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7.2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156173.26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156173.26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156173.26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156173.26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1"/>
  <dimension ref="A1:G81"/>
  <sheetViews>
    <sheetView topLeftCell="A13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4"/>
      <c r="C4" s="144"/>
      <c r="D4" s="144"/>
      <c r="E4" s="144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249</v>
      </c>
      <c r="C6" s="353"/>
      <c r="D6" s="353"/>
      <c r="E6" s="353"/>
    </row>
    <row r="7" spans="2:7" ht="14.25">
      <c r="B7" s="142"/>
      <c r="C7" s="142"/>
      <c r="D7" s="142"/>
      <c r="E7" s="142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43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109444.67</v>
      </c>
      <c r="E11" s="228">
        <f>SUM(E12:E14)</f>
        <v>126405.20000000001</v>
      </c>
    </row>
    <row r="12" spans="2:7">
      <c r="B12" s="173" t="s">
        <v>4</v>
      </c>
      <c r="C12" s="174" t="s">
        <v>5</v>
      </c>
      <c r="D12" s="241">
        <v>109444.67</v>
      </c>
      <c r="E12" s="245">
        <v>126405.20000000001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109444.67</v>
      </c>
      <c r="E21" s="148">
        <f>E11-E17</f>
        <v>126405.20000000001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163286.05000000002</v>
      </c>
      <c r="E26" s="217">
        <f>D21</f>
        <v>109444.67</v>
      </c>
    </row>
    <row r="27" spans="2:6">
      <c r="B27" s="9" t="s">
        <v>17</v>
      </c>
      <c r="C27" s="10" t="s">
        <v>111</v>
      </c>
      <c r="D27" s="323">
        <v>-70746.98</v>
      </c>
      <c r="E27" s="274">
        <f>E28-E32</f>
        <v>-5689.0999999999985</v>
      </c>
      <c r="F27" s="71"/>
    </row>
    <row r="28" spans="2:6">
      <c r="B28" s="9" t="s">
        <v>18</v>
      </c>
      <c r="C28" s="10" t="s">
        <v>19</v>
      </c>
      <c r="D28" s="323">
        <v>11393.44</v>
      </c>
      <c r="E28" s="275">
        <v>36344.76</v>
      </c>
      <c r="F28" s="71"/>
    </row>
    <row r="29" spans="2:6">
      <c r="B29" s="181" t="s">
        <v>4</v>
      </c>
      <c r="C29" s="174" t="s">
        <v>20</v>
      </c>
      <c r="D29" s="324">
        <v>10610.7</v>
      </c>
      <c r="E29" s="276">
        <v>8352.24</v>
      </c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>
        <v>782.74</v>
      </c>
      <c r="E31" s="276">
        <v>27992.52</v>
      </c>
      <c r="F31" s="71"/>
    </row>
    <row r="32" spans="2:6">
      <c r="B32" s="92" t="s">
        <v>23</v>
      </c>
      <c r="C32" s="11" t="s">
        <v>24</v>
      </c>
      <c r="D32" s="323">
        <v>82140.42</v>
      </c>
      <c r="E32" s="275">
        <f>SUM(E33:E39)</f>
        <v>42033.86</v>
      </c>
      <c r="F32" s="71"/>
    </row>
    <row r="33" spans="2:6">
      <c r="B33" s="181" t="s">
        <v>4</v>
      </c>
      <c r="C33" s="174" t="s">
        <v>25</v>
      </c>
      <c r="D33" s="324">
        <v>78659.47</v>
      </c>
      <c r="E33" s="276">
        <f>7373.94+2921.78</f>
        <v>10295.719999999999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805.97</v>
      </c>
      <c r="E35" s="276">
        <v>611.99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2674.98</v>
      </c>
      <c r="E37" s="276">
        <v>1455.52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>
        <v>29670.63</v>
      </c>
      <c r="F39" s="71"/>
    </row>
    <row r="40" spans="2:6" ht="13.5" thickBot="1">
      <c r="B40" s="97" t="s">
        <v>35</v>
      </c>
      <c r="C40" s="98" t="s">
        <v>36</v>
      </c>
      <c r="D40" s="326">
        <v>16905.599999999999</v>
      </c>
      <c r="E40" s="279">
        <v>22649.63</v>
      </c>
    </row>
    <row r="41" spans="2:6" ht="13.5" thickBot="1">
      <c r="B41" s="99" t="s">
        <v>37</v>
      </c>
      <c r="C41" s="100" t="s">
        <v>38</v>
      </c>
      <c r="D41" s="327">
        <v>109444.67000000001</v>
      </c>
      <c r="E41" s="148">
        <f>E26+E27+E40</f>
        <v>126405.20000000001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8" customHeight="1" thickBot="1">
      <c r="B44" s="354" t="s">
        <v>121</v>
      </c>
      <c r="C44" s="358"/>
      <c r="D44" s="358"/>
      <c r="E44" s="358"/>
    </row>
    <row r="45" spans="2:6" ht="13.5" thickBot="1">
      <c r="B45" s="143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1872.9760000000001</v>
      </c>
      <c r="E47" s="73">
        <v>1122.3943999999999</v>
      </c>
    </row>
    <row r="48" spans="2:6">
      <c r="B48" s="123" t="s">
        <v>6</v>
      </c>
      <c r="C48" s="22" t="s">
        <v>41</v>
      </c>
      <c r="D48" s="200">
        <v>1122.3943999999999</v>
      </c>
      <c r="E48" s="149">
        <v>1077.3476000000001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02" t="s">
        <v>4</v>
      </c>
      <c r="C50" s="15" t="s">
        <v>40</v>
      </c>
      <c r="D50" s="200">
        <v>87.18</v>
      </c>
      <c r="E50" s="75">
        <v>97.51</v>
      </c>
    </row>
    <row r="51" spans="2:5">
      <c r="B51" s="102" t="s">
        <v>6</v>
      </c>
      <c r="C51" s="15" t="s">
        <v>114</v>
      </c>
      <c r="D51" s="200">
        <v>86.76</v>
      </c>
      <c r="E51" s="75">
        <v>69.819999999999993</v>
      </c>
    </row>
    <row r="52" spans="2:5">
      <c r="B52" s="102" t="s">
        <v>8</v>
      </c>
      <c r="C52" s="15" t="s">
        <v>115</v>
      </c>
      <c r="D52" s="200">
        <v>99.94</v>
      </c>
      <c r="E52" s="75">
        <v>117.33</v>
      </c>
    </row>
    <row r="53" spans="2:5" ht="13.5" customHeight="1" thickBot="1">
      <c r="B53" s="103" t="s">
        <v>9</v>
      </c>
      <c r="C53" s="17" t="s">
        <v>41</v>
      </c>
      <c r="D53" s="202">
        <v>97.51</v>
      </c>
      <c r="E53" s="280">
        <v>117.33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5.7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126405.20000000001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E12</f>
        <v>126405.20000000001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f>E17</f>
        <v>0</v>
      </c>
      <c r="E73" s="26">
        <f>D73/E21</f>
        <v>0</v>
      </c>
    </row>
    <row r="74" spans="2:5">
      <c r="B74" s="130" t="s">
        <v>64</v>
      </c>
      <c r="C74" s="121" t="s">
        <v>66</v>
      </c>
      <c r="D74" s="122">
        <f>D75</f>
        <v>126405.20000000001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D58-D73</f>
        <v>126405.20000000001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2"/>
  <dimension ref="A1:G81"/>
  <sheetViews>
    <sheetView topLeftCell="A16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7"/>
      <c r="C4" s="147"/>
      <c r="D4" s="147"/>
      <c r="E4" s="147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248</v>
      </c>
      <c r="C6" s="353"/>
      <c r="D6" s="353"/>
      <c r="E6" s="353"/>
    </row>
    <row r="7" spans="2:7" ht="14.25">
      <c r="B7" s="145"/>
      <c r="C7" s="145"/>
      <c r="D7" s="145"/>
      <c r="E7" s="145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46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32224.639999999999</v>
      </c>
      <c r="E11" s="228">
        <f>SUM(E12:E14)</f>
        <v>33796.310000000005</v>
      </c>
    </row>
    <row r="12" spans="2:7">
      <c r="B12" s="173" t="s">
        <v>4</v>
      </c>
      <c r="C12" s="174" t="s">
        <v>5</v>
      </c>
      <c r="D12" s="241">
        <v>32224.639999999999</v>
      </c>
      <c r="E12" s="245">
        <v>33796.310000000005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32224.639999999999</v>
      </c>
      <c r="E21" s="148">
        <f>E11-E17</f>
        <v>33796.310000000005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97105.64</v>
      </c>
      <c r="E26" s="217">
        <f>D21</f>
        <v>32224.639999999999</v>
      </c>
    </row>
    <row r="27" spans="2:6">
      <c r="B27" s="9" t="s">
        <v>17</v>
      </c>
      <c r="C27" s="10" t="s">
        <v>111</v>
      </c>
      <c r="D27" s="323">
        <v>-71053.289999999994</v>
      </c>
      <c r="E27" s="274">
        <f>E28-E32</f>
        <v>1148.7099999999998</v>
      </c>
      <c r="F27" s="71"/>
    </row>
    <row r="28" spans="2:6">
      <c r="B28" s="9" t="s">
        <v>18</v>
      </c>
      <c r="C28" s="10" t="s">
        <v>19</v>
      </c>
      <c r="D28" s="323">
        <v>11321.77</v>
      </c>
      <c r="E28" s="275">
        <v>3166.12</v>
      </c>
      <c r="F28" s="71"/>
    </row>
    <row r="29" spans="2:6">
      <c r="B29" s="181" t="s">
        <v>4</v>
      </c>
      <c r="C29" s="174" t="s">
        <v>20</v>
      </c>
      <c r="D29" s="324">
        <v>5858.35</v>
      </c>
      <c r="E29" s="276">
        <v>3166.12</v>
      </c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>
        <v>5463.4199999999901</v>
      </c>
      <c r="E31" s="276"/>
      <c r="F31" s="71"/>
    </row>
    <row r="32" spans="2:6">
      <c r="B32" s="92" t="s">
        <v>23</v>
      </c>
      <c r="C32" s="11" t="s">
        <v>24</v>
      </c>
      <c r="D32" s="323">
        <v>82375.06</v>
      </c>
      <c r="E32" s="275">
        <f>SUM(E33:E39)</f>
        <v>2017.41</v>
      </c>
      <c r="F32" s="71"/>
    </row>
    <row r="33" spans="2:6">
      <c r="B33" s="181" t="s">
        <v>4</v>
      </c>
      <c r="C33" s="174" t="s">
        <v>25</v>
      </c>
      <c r="D33" s="324">
        <v>65352.130000000005</v>
      </c>
      <c r="E33" s="276">
        <f>1324.6+6.17</f>
        <v>1330.77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506.55</v>
      </c>
      <c r="E35" s="276">
        <v>336.05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9293.5400000000009</v>
      </c>
      <c r="E37" s="276">
        <v>345.68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>
        <v>7222.84</v>
      </c>
      <c r="E39" s="277">
        <v>4.91</v>
      </c>
      <c r="F39" s="71"/>
    </row>
    <row r="40" spans="2:6" ht="13.5" thickBot="1">
      <c r="B40" s="97" t="s">
        <v>35</v>
      </c>
      <c r="C40" s="98" t="s">
        <v>36</v>
      </c>
      <c r="D40" s="326">
        <v>6172.29</v>
      </c>
      <c r="E40" s="279">
        <v>422.96</v>
      </c>
    </row>
    <row r="41" spans="2:6" ht="13.5" thickBot="1">
      <c r="B41" s="99" t="s">
        <v>37</v>
      </c>
      <c r="C41" s="100" t="s">
        <v>38</v>
      </c>
      <c r="D41" s="327">
        <v>32224.640000000007</v>
      </c>
      <c r="E41" s="148">
        <f>E26+E27+E40</f>
        <v>33796.31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836.97329999999999</v>
      </c>
      <c r="E47" s="73">
        <v>249.0119</v>
      </c>
    </row>
    <row r="48" spans="2:6">
      <c r="B48" s="186" t="s">
        <v>6</v>
      </c>
      <c r="C48" s="187" t="s">
        <v>41</v>
      </c>
      <c r="D48" s="200">
        <v>249.0119</v>
      </c>
      <c r="E48" s="149">
        <v>259.63210000000004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84" t="s">
        <v>4</v>
      </c>
      <c r="C50" s="185" t="s">
        <v>40</v>
      </c>
      <c r="D50" s="200">
        <v>116.02</v>
      </c>
      <c r="E50" s="75">
        <v>129.41</v>
      </c>
    </row>
    <row r="51" spans="2:5">
      <c r="B51" s="184" t="s">
        <v>6</v>
      </c>
      <c r="C51" s="185" t="s">
        <v>114</v>
      </c>
      <c r="D51" s="200">
        <v>115.37</v>
      </c>
      <c r="E51" s="75">
        <v>87.04</v>
      </c>
    </row>
    <row r="52" spans="2:5">
      <c r="B52" s="184" t="s">
        <v>8</v>
      </c>
      <c r="C52" s="185" t="s">
        <v>115</v>
      </c>
      <c r="D52" s="200">
        <v>129.41</v>
      </c>
      <c r="E52" s="75">
        <v>134.47</v>
      </c>
    </row>
    <row r="53" spans="2:5" ht="13.5" customHeight="1" thickBot="1">
      <c r="B53" s="188" t="s">
        <v>9</v>
      </c>
      <c r="C53" s="189" t="s">
        <v>41</v>
      </c>
      <c r="D53" s="202">
        <v>129.41</v>
      </c>
      <c r="E53" s="280">
        <v>130.16999999999999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5.7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33796.310000000005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3.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33796.310000000005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33796.310000000005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33796.310000000005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1" right="0.75" top="0.56999999999999995" bottom="0.55000000000000004" header="0.5" footer="0.5"/>
  <pageSetup paperSize="9" scale="70" orientation="portrait" r:id="rId1"/>
  <headerFooter alignWithMargins="0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3"/>
  <dimension ref="A1:G81"/>
  <sheetViews>
    <sheetView topLeftCell="A13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7"/>
      <c r="C4" s="147"/>
      <c r="D4" s="147"/>
      <c r="E4" s="147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250</v>
      </c>
      <c r="C6" s="353"/>
      <c r="D6" s="353"/>
      <c r="E6" s="353"/>
    </row>
    <row r="7" spans="2:7" ht="14.25">
      <c r="B7" s="145"/>
      <c r="C7" s="145"/>
      <c r="D7" s="145"/>
      <c r="E7" s="145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46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75863.44</v>
      </c>
      <c r="E11" s="228">
        <f>SUM(E12:E14)</f>
        <v>62760.02</v>
      </c>
    </row>
    <row r="12" spans="2:7">
      <c r="B12" s="173" t="s">
        <v>4</v>
      </c>
      <c r="C12" s="174" t="s">
        <v>5</v>
      </c>
      <c r="D12" s="241">
        <v>75863.44</v>
      </c>
      <c r="E12" s="245">
        <v>62760.02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75863.44</v>
      </c>
      <c r="E21" s="148">
        <f>E11-E17</f>
        <v>62760.02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76861.98</v>
      </c>
      <c r="E26" s="217">
        <f>D21</f>
        <v>75863.44</v>
      </c>
    </row>
    <row r="27" spans="2:6">
      <c r="B27" s="9" t="s">
        <v>17</v>
      </c>
      <c r="C27" s="10" t="s">
        <v>111</v>
      </c>
      <c r="D27" s="323">
        <v>-3854.81</v>
      </c>
      <c r="E27" s="274">
        <v>-18775.93</v>
      </c>
      <c r="F27" s="71"/>
    </row>
    <row r="28" spans="2:6">
      <c r="B28" s="9" t="s">
        <v>18</v>
      </c>
      <c r="C28" s="10" t="s">
        <v>19</v>
      </c>
      <c r="D28" s="323"/>
      <c r="E28" s="275"/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3854.81</v>
      </c>
      <c r="E32" s="275">
        <v>18775.93</v>
      </c>
      <c r="F32" s="71"/>
    </row>
    <row r="33" spans="2:6">
      <c r="B33" s="181" t="s">
        <v>4</v>
      </c>
      <c r="C33" s="174" t="s">
        <v>25</v>
      </c>
      <c r="D33" s="324">
        <v>2384.0500000000002</v>
      </c>
      <c r="E33" s="276">
        <f>17679.45+1.76</f>
        <v>17681.21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143.76</v>
      </c>
      <c r="E35" s="276">
        <v>112.15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1327</v>
      </c>
      <c r="E37" s="276">
        <v>982.57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/>
      <c r="F39" s="71"/>
    </row>
    <row r="40" spans="2:6" ht="13.5" thickBot="1">
      <c r="B40" s="97" t="s">
        <v>35</v>
      </c>
      <c r="C40" s="98" t="s">
        <v>36</v>
      </c>
      <c r="D40" s="326">
        <v>2856.27</v>
      </c>
      <c r="E40" s="279">
        <v>5672.51</v>
      </c>
    </row>
    <row r="41" spans="2:6" ht="13.5" thickBot="1">
      <c r="B41" s="99" t="s">
        <v>37</v>
      </c>
      <c r="C41" s="100" t="s">
        <v>38</v>
      </c>
      <c r="D41" s="327">
        <v>75863.44</v>
      </c>
      <c r="E41" s="148">
        <f>E26+E27+E40</f>
        <v>62760.020000000004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762.14160000000004</v>
      </c>
      <c r="E47" s="73">
        <v>724.37159999999994</v>
      </c>
    </row>
    <row r="48" spans="2:6">
      <c r="B48" s="186" t="s">
        <v>6</v>
      </c>
      <c r="C48" s="187" t="s">
        <v>41</v>
      </c>
      <c r="D48" s="200">
        <v>724.37159999999994</v>
      </c>
      <c r="E48" s="149">
        <v>538.34289999999999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84" t="s">
        <v>4</v>
      </c>
      <c r="C50" s="185" t="s">
        <v>40</v>
      </c>
      <c r="D50" s="200">
        <v>100.85</v>
      </c>
      <c r="E50" s="75">
        <v>104.73</v>
      </c>
    </row>
    <row r="51" spans="2:5">
      <c r="B51" s="184" t="s">
        <v>6</v>
      </c>
      <c r="C51" s="185" t="s">
        <v>114</v>
      </c>
      <c r="D51" s="200">
        <v>99.88</v>
      </c>
      <c r="E51" s="75">
        <v>73.09</v>
      </c>
    </row>
    <row r="52" spans="2:5">
      <c r="B52" s="184" t="s">
        <v>8</v>
      </c>
      <c r="C52" s="185" t="s">
        <v>115</v>
      </c>
      <c r="D52" s="200">
        <v>108.25</v>
      </c>
      <c r="E52" s="75">
        <v>117.16</v>
      </c>
    </row>
    <row r="53" spans="2:5" ht="12.75" customHeight="1" thickBot="1">
      <c r="B53" s="188" t="s">
        <v>9</v>
      </c>
      <c r="C53" s="189" t="s">
        <v>41</v>
      </c>
      <c r="D53" s="202">
        <v>104.73</v>
      </c>
      <c r="E53" s="280">
        <v>116.58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7.2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62760.02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3.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62760.02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62760.02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62760.02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6000000000000005" right="0.75" top="0.55000000000000004" bottom="0.52" header="0.5" footer="0.5"/>
  <pageSetup paperSize="9" scale="7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G81"/>
  <sheetViews>
    <sheetView zoomScale="80" zoomScaleNormal="80" workbookViewId="0">
      <selection activeCell="G16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85"/>
      <c r="C4" s="85"/>
      <c r="D4" s="85"/>
      <c r="E4" s="85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141</v>
      </c>
      <c r="C6" s="353"/>
      <c r="D6" s="353"/>
      <c r="E6" s="353"/>
    </row>
    <row r="7" spans="2:7" ht="14.25">
      <c r="B7" s="89"/>
      <c r="C7" s="89"/>
      <c r="D7" s="89"/>
      <c r="E7" s="8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86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10213580.77</v>
      </c>
      <c r="E11" s="228">
        <f>SUM(E12:E14)</f>
        <v>10942087.350000001</v>
      </c>
    </row>
    <row r="12" spans="2:7">
      <c r="B12" s="106" t="s">
        <v>4</v>
      </c>
      <c r="C12" s="6" t="s">
        <v>5</v>
      </c>
      <c r="D12" s="241">
        <v>10196289.08</v>
      </c>
      <c r="E12" s="245">
        <f>10225040.39+710765.74-1027.08</f>
        <v>10934779.050000001</v>
      </c>
    </row>
    <row r="13" spans="2:7">
      <c r="B13" s="106" t="s">
        <v>6</v>
      </c>
      <c r="C13" s="68" t="s">
        <v>7</v>
      </c>
      <c r="D13" s="237"/>
      <c r="E13" s="246"/>
    </row>
    <row r="14" spans="2:7">
      <c r="B14" s="106" t="s">
        <v>8</v>
      </c>
      <c r="C14" s="68" t="s">
        <v>10</v>
      </c>
      <c r="D14" s="237">
        <v>17291.689999999999</v>
      </c>
      <c r="E14" s="246">
        <f>E15</f>
        <v>7308.3</v>
      </c>
    </row>
    <row r="15" spans="2:7">
      <c r="B15" s="106" t="s">
        <v>106</v>
      </c>
      <c r="C15" s="68" t="s">
        <v>11</v>
      </c>
      <c r="D15" s="237">
        <v>17291.689999999999</v>
      </c>
      <c r="E15" s="246">
        <v>7308.3</v>
      </c>
    </row>
    <row r="16" spans="2:7">
      <c r="B16" s="107" t="s">
        <v>107</v>
      </c>
      <c r="C16" s="91" t="s">
        <v>12</v>
      </c>
      <c r="D16" s="239"/>
      <c r="E16" s="247"/>
    </row>
    <row r="17" spans="2:6">
      <c r="B17" s="9" t="s">
        <v>13</v>
      </c>
      <c r="C17" s="11" t="s">
        <v>65</v>
      </c>
      <c r="D17" s="240">
        <v>36703.17</v>
      </c>
      <c r="E17" s="248">
        <f>E18</f>
        <v>2275.79</v>
      </c>
    </row>
    <row r="18" spans="2:6">
      <c r="B18" s="106" t="s">
        <v>4</v>
      </c>
      <c r="C18" s="6" t="s">
        <v>11</v>
      </c>
      <c r="D18" s="239">
        <v>36703.17</v>
      </c>
      <c r="E18" s="247">
        <v>2275.79</v>
      </c>
    </row>
    <row r="19" spans="2:6" ht="15" customHeight="1">
      <c r="B19" s="106" t="s">
        <v>6</v>
      </c>
      <c r="C19" s="68" t="s">
        <v>108</v>
      </c>
      <c r="D19" s="237"/>
      <c r="E19" s="246"/>
    </row>
    <row r="20" spans="2:6" ht="13.5" thickBot="1">
      <c r="B20" s="108" t="s">
        <v>8</v>
      </c>
      <c r="C20" s="6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10176877.6</v>
      </c>
      <c r="E21" s="148">
        <f>E11-E17</f>
        <v>10939811.560000002</v>
      </c>
      <c r="F21" s="77"/>
    </row>
    <row r="22" spans="2:6">
      <c r="B22" s="3"/>
      <c r="C22" s="7"/>
      <c r="D22" s="8"/>
      <c r="E22" s="299"/>
    </row>
    <row r="23" spans="2:6" ht="13.5">
      <c r="B23" s="355" t="s">
        <v>104</v>
      </c>
      <c r="C23" s="363"/>
      <c r="D23" s="363"/>
      <c r="E23" s="363"/>
    </row>
    <row r="24" spans="2:6" ht="18" customHeight="1" thickBot="1">
      <c r="B24" s="354" t="s">
        <v>105</v>
      </c>
      <c r="C24" s="364"/>
      <c r="D24" s="364"/>
      <c r="E24" s="364"/>
    </row>
    <row r="25" spans="2:6" ht="13.5" thickBot="1">
      <c r="B25" s="86"/>
      <c r="C25" s="5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11417763.560000001</v>
      </c>
      <c r="E26" s="217">
        <f>D21</f>
        <v>10176877.6</v>
      </c>
    </row>
    <row r="27" spans="2:6">
      <c r="B27" s="9" t="s">
        <v>17</v>
      </c>
      <c r="C27" s="10" t="s">
        <v>111</v>
      </c>
      <c r="D27" s="323">
        <v>-2066749.2900000014</v>
      </c>
      <c r="E27" s="274">
        <f>E28-E32</f>
        <v>-1526012.99</v>
      </c>
      <c r="F27" s="71"/>
    </row>
    <row r="28" spans="2:6">
      <c r="B28" s="9" t="s">
        <v>18</v>
      </c>
      <c r="C28" s="10" t="s">
        <v>19</v>
      </c>
      <c r="D28" s="323">
        <v>1102532.8700000001</v>
      </c>
      <c r="E28" s="275">
        <v>1016746.1599999999</v>
      </c>
      <c r="F28" s="71"/>
    </row>
    <row r="29" spans="2:6">
      <c r="B29" s="104" t="s">
        <v>4</v>
      </c>
      <c r="C29" s="6" t="s">
        <v>20</v>
      </c>
      <c r="D29" s="324">
        <v>1088521.49</v>
      </c>
      <c r="E29" s="276">
        <v>956276.37</v>
      </c>
      <c r="F29" s="71"/>
    </row>
    <row r="30" spans="2:6">
      <c r="B30" s="104" t="s">
        <v>6</v>
      </c>
      <c r="C30" s="6" t="s">
        <v>21</v>
      </c>
      <c r="D30" s="324"/>
      <c r="E30" s="276"/>
      <c r="F30" s="71"/>
    </row>
    <row r="31" spans="2:6">
      <c r="B31" s="104" t="s">
        <v>8</v>
      </c>
      <c r="C31" s="6" t="s">
        <v>22</v>
      </c>
      <c r="D31" s="324">
        <v>14011.38</v>
      </c>
      <c r="E31" s="276">
        <v>60469.79</v>
      </c>
      <c r="F31" s="71"/>
    </row>
    <row r="32" spans="2:6">
      <c r="B32" s="92" t="s">
        <v>23</v>
      </c>
      <c r="C32" s="11" t="s">
        <v>24</v>
      </c>
      <c r="D32" s="323">
        <v>3169282.1600000015</v>
      </c>
      <c r="E32" s="275">
        <f>SUM(E33:E39)</f>
        <v>2542759.15</v>
      </c>
      <c r="F32" s="71"/>
    </row>
    <row r="33" spans="2:6">
      <c r="B33" s="104" t="s">
        <v>4</v>
      </c>
      <c r="C33" s="6" t="s">
        <v>25</v>
      </c>
      <c r="D33" s="324">
        <v>2506697.9299999997</v>
      </c>
      <c r="E33" s="276">
        <f>2101544.15-3029.8</f>
        <v>2098514.35</v>
      </c>
      <c r="F33" s="71"/>
    </row>
    <row r="34" spans="2:6">
      <c r="B34" s="104" t="s">
        <v>6</v>
      </c>
      <c r="C34" s="6" t="s">
        <v>26</v>
      </c>
      <c r="D34" s="324"/>
      <c r="E34" s="276"/>
      <c r="F34" s="71"/>
    </row>
    <row r="35" spans="2:6">
      <c r="B35" s="104" t="s">
        <v>8</v>
      </c>
      <c r="C35" s="6" t="s">
        <v>27</v>
      </c>
      <c r="D35" s="324">
        <v>138223.91999999998</v>
      </c>
      <c r="E35" s="276">
        <v>125827.40000000001</v>
      </c>
      <c r="F35" s="71"/>
    </row>
    <row r="36" spans="2:6">
      <c r="B36" s="104" t="s">
        <v>9</v>
      </c>
      <c r="C36" s="6" t="s">
        <v>28</v>
      </c>
      <c r="D36" s="324"/>
      <c r="E36" s="276"/>
      <c r="F36" s="71"/>
    </row>
    <row r="37" spans="2:6" ht="25.5">
      <c r="B37" s="104" t="s">
        <v>29</v>
      </c>
      <c r="C37" s="6" t="s">
        <v>30</v>
      </c>
      <c r="D37" s="324">
        <v>170962.22</v>
      </c>
      <c r="E37" s="276">
        <v>140003.88</v>
      </c>
      <c r="F37" s="71"/>
    </row>
    <row r="38" spans="2:6">
      <c r="B38" s="104" t="s">
        <v>31</v>
      </c>
      <c r="C38" s="6" t="s">
        <v>32</v>
      </c>
      <c r="D38" s="324"/>
      <c r="E38" s="276"/>
      <c r="F38" s="71"/>
    </row>
    <row r="39" spans="2:6">
      <c r="B39" s="105" t="s">
        <v>33</v>
      </c>
      <c r="C39" s="12" t="s">
        <v>34</v>
      </c>
      <c r="D39" s="325">
        <v>353398.09000000171</v>
      </c>
      <c r="E39" s="277">
        <v>178413.52</v>
      </c>
      <c r="F39" s="71"/>
    </row>
    <row r="40" spans="2:6" ht="13.5" thickBot="1">
      <c r="B40" s="97" t="s">
        <v>35</v>
      </c>
      <c r="C40" s="98" t="s">
        <v>36</v>
      </c>
      <c r="D40" s="326">
        <v>825863.33</v>
      </c>
      <c r="E40" s="279">
        <v>2288946.9500000002</v>
      </c>
    </row>
    <row r="41" spans="2:6" ht="13.5" thickBot="1">
      <c r="B41" s="99" t="s">
        <v>37</v>
      </c>
      <c r="C41" s="100" t="s">
        <v>38</v>
      </c>
      <c r="D41" s="327">
        <v>10176877.6</v>
      </c>
      <c r="E41" s="148">
        <f>E26+E27+E40</f>
        <v>10939811.559999999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7.25" customHeight="1" thickBot="1">
      <c r="B44" s="354" t="s">
        <v>121</v>
      </c>
      <c r="C44" s="358"/>
      <c r="D44" s="358"/>
      <c r="E44" s="358"/>
    </row>
    <row r="45" spans="2:6" ht="13.5" thickBot="1">
      <c r="B45" s="86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97799.806599999996</v>
      </c>
      <c r="E47" s="73">
        <v>80988.870500000005</v>
      </c>
    </row>
    <row r="48" spans="2:6">
      <c r="B48" s="123" t="s">
        <v>6</v>
      </c>
      <c r="C48" s="22" t="s">
        <v>41</v>
      </c>
      <c r="D48" s="200">
        <v>80988.870500000005</v>
      </c>
      <c r="E48" s="335">
        <v>69520.419000000009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02" t="s">
        <v>4</v>
      </c>
      <c r="C50" s="15" t="s">
        <v>40</v>
      </c>
      <c r="D50" s="200">
        <v>116.746279534903</v>
      </c>
      <c r="E50" s="73">
        <v>125.65770000000001</v>
      </c>
    </row>
    <row r="51" spans="2:5">
      <c r="B51" s="102" t="s">
        <v>6</v>
      </c>
      <c r="C51" s="15" t="s">
        <v>114</v>
      </c>
      <c r="D51" s="200">
        <v>116.02849999999999</v>
      </c>
      <c r="E51" s="297">
        <v>94.142799999999994</v>
      </c>
    </row>
    <row r="52" spans="2:5" ht="12.75" customHeight="1">
      <c r="B52" s="102" t="s">
        <v>8</v>
      </c>
      <c r="C52" s="15" t="s">
        <v>115</v>
      </c>
      <c r="D52" s="200">
        <v>129.62370000000001</v>
      </c>
      <c r="E52" s="297">
        <v>157.5462</v>
      </c>
    </row>
    <row r="53" spans="2:5" ht="13.5" thickBot="1">
      <c r="B53" s="103" t="s">
        <v>9</v>
      </c>
      <c r="C53" s="17" t="s">
        <v>41</v>
      </c>
      <c r="D53" s="202">
        <v>125.65770000000001</v>
      </c>
      <c r="E53" s="280">
        <v>157.36110000000002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8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SUM(D59:D70)</f>
        <v>10934779.050000001</v>
      </c>
      <c r="E58" s="31">
        <f>D58/E21</f>
        <v>0.99953998202140859</v>
      </c>
    </row>
    <row r="59" spans="2:5" ht="25.5">
      <c r="B59" s="21" t="s">
        <v>4</v>
      </c>
      <c r="C59" s="22" t="s">
        <v>44</v>
      </c>
      <c r="D59" s="80">
        <v>0</v>
      </c>
      <c r="E59" s="81">
        <v>0</v>
      </c>
    </row>
    <row r="60" spans="2:5" ht="24" customHeight="1">
      <c r="B60" s="14" t="s">
        <v>6</v>
      </c>
      <c r="C60" s="15" t="s">
        <v>45</v>
      </c>
      <c r="D60" s="78">
        <v>0</v>
      </c>
      <c r="E60" s="79">
        <v>0</v>
      </c>
    </row>
    <row r="61" spans="2:5">
      <c r="B61" s="14" t="s">
        <v>8</v>
      </c>
      <c r="C61" s="15" t="s">
        <v>46</v>
      </c>
      <c r="D61" s="78">
        <v>0</v>
      </c>
      <c r="E61" s="79">
        <v>0</v>
      </c>
    </row>
    <row r="62" spans="2:5">
      <c r="B62" s="14" t="s">
        <v>9</v>
      </c>
      <c r="C62" s="15" t="s">
        <v>47</v>
      </c>
      <c r="D62" s="78">
        <v>0</v>
      </c>
      <c r="E62" s="79">
        <v>0</v>
      </c>
    </row>
    <row r="63" spans="2:5">
      <c r="B63" s="14" t="s">
        <v>29</v>
      </c>
      <c r="C63" s="15" t="s">
        <v>48</v>
      </c>
      <c r="D63" s="78">
        <v>0</v>
      </c>
      <c r="E63" s="79">
        <v>0</v>
      </c>
    </row>
    <row r="64" spans="2:5">
      <c r="B64" s="21" t="s">
        <v>31</v>
      </c>
      <c r="C64" s="22" t="s">
        <v>49</v>
      </c>
      <c r="D64" s="234">
        <v>10224013.310000001</v>
      </c>
      <c r="E64" s="81">
        <f>D64/E21</f>
        <v>0.93456941684286177</v>
      </c>
    </row>
    <row r="65" spans="2:5">
      <c r="B65" s="21" t="s">
        <v>33</v>
      </c>
      <c r="C65" s="22" t="s">
        <v>118</v>
      </c>
      <c r="D65" s="80">
        <v>0</v>
      </c>
      <c r="E65" s="81">
        <v>0</v>
      </c>
    </row>
    <row r="66" spans="2:5">
      <c r="B66" s="21" t="s">
        <v>50</v>
      </c>
      <c r="C66" s="22" t="s">
        <v>51</v>
      </c>
      <c r="D66" s="80">
        <v>0</v>
      </c>
      <c r="E66" s="81">
        <v>0</v>
      </c>
    </row>
    <row r="67" spans="2:5">
      <c r="B67" s="14" t="s">
        <v>52</v>
      </c>
      <c r="C67" s="15" t="s">
        <v>53</v>
      </c>
      <c r="D67" s="78">
        <v>0</v>
      </c>
      <c r="E67" s="79">
        <v>0</v>
      </c>
    </row>
    <row r="68" spans="2:5">
      <c r="B68" s="14" t="s">
        <v>54</v>
      </c>
      <c r="C68" s="15" t="s">
        <v>55</v>
      </c>
      <c r="D68" s="78">
        <v>0</v>
      </c>
      <c r="E68" s="79">
        <v>0</v>
      </c>
    </row>
    <row r="69" spans="2:5">
      <c r="B69" s="14" t="s">
        <v>56</v>
      </c>
      <c r="C69" s="15" t="s">
        <v>57</v>
      </c>
      <c r="D69" s="302">
        <v>710765.74</v>
      </c>
      <c r="E69" s="79">
        <f>D69/E21</f>
        <v>6.497056517854681E-2</v>
      </c>
    </row>
    <row r="70" spans="2:5">
      <c r="B70" s="112" t="s">
        <v>58</v>
      </c>
      <c r="C70" s="113" t="s">
        <v>59</v>
      </c>
      <c r="D70" s="114">
        <v>0</v>
      </c>
      <c r="E70" s="115">
        <v>0</v>
      </c>
    </row>
    <row r="71" spans="2:5">
      <c r="B71" s="120" t="s">
        <v>23</v>
      </c>
      <c r="C71" s="121" t="s">
        <v>61</v>
      </c>
      <c r="D71" s="122">
        <f>E13</f>
        <v>0</v>
      </c>
      <c r="E71" s="66">
        <f>D71/E21</f>
        <v>0</v>
      </c>
    </row>
    <row r="72" spans="2:5">
      <c r="B72" s="116" t="s">
        <v>60</v>
      </c>
      <c r="C72" s="117" t="s">
        <v>63</v>
      </c>
      <c r="D72" s="118">
        <f>E14</f>
        <v>7308.3</v>
      </c>
      <c r="E72" s="119">
        <f>D72/E21</f>
        <v>6.6804624192265329E-4</v>
      </c>
    </row>
    <row r="73" spans="2:5">
      <c r="B73" s="23" t="s">
        <v>62</v>
      </c>
      <c r="C73" s="24" t="s">
        <v>65</v>
      </c>
      <c r="D73" s="25">
        <f>E17</f>
        <v>2275.79</v>
      </c>
      <c r="E73" s="26">
        <f>D73/E21</f>
        <v>2.080282633314389E-4</v>
      </c>
    </row>
    <row r="74" spans="2:5">
      <c r="B74" s="120" t="s">
        <v>64</v>
      </c>
      <c r="C74" s="121" t="s">
        <v>66</v>
      </c>
      <c r="D74" s="122">
        <f>D58+D71+D72-D73</f>
        <v>10939811.560000002</v>
      </c>
      <c r="E74" s="66">
        <f>E58+E72-E73</f>
        <v>0.99999999999999978</v>
      </c>
    </row>
    <row r="75" spans="2:5">
      <c r="B75" s="14" t="s">
        <v>4</v>
      </c>
      <c r="C75" s="15" t="s">
        <v>67</v>
      </c>
      <c r="D75" s="78">
        <f>D74</f>
        <v>10939811.560000002</v>
      </c>
      <c r="E75" s="79">
        <f>E74</f>
        <v>0.99999999999999978</v>
      </c>
    </row>
    <row r="76" spans="2:5">
      <c r="B76" s="14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6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94488188976377963" right="0.74803149606299213" top="0.55118110236220474" bottom="0.47244094488188981" header="0.51181102362204722" footer="0.51181102362204722"/>
  <pageSetup paperSize="9" scale="70" orientation="portrait" r:id="rId1"/>
  <headerFooter alignWithMargins="0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4"/>
  <dimension ref="A1:G81"/>
  <sheetViews>
    <sheetView topLeftCell="A16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7"/>
      <c r="C4" s="147"/>
      <c r="D4" s="147"/>
      <c r="E4" s="147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251</v>
      </c>
      <c r="C6" s="353"/>
      <c r="D6" s="353"/>
      <c r="E6" s="353"/>
    </row>
    <row r="7" spans="2:7" ht="14.25">
      <c r="B7" s="145"/>
      <c r="C7" s="145"/>
      <c r="D7" s="145"/>
      <c r="E7" s="145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46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110148.53</v>
      </c>
      <c r="E11" s="228">
        <f>SUM(E12:E14)</f>
        <v>117771.06999999999</v>
      </c>
    </row>
    <row r="12" spans="2:7">
      <c r="B12" s="173" t="s">
        <v>4</v>
      </c>
      <c r="C12" s="174" t="s">
        <v>5</v>
      </c>
      <c r="D12" s="241">
        <v>110148.53</v>
      </c>
      <c r="E12" s="245">
        <v>117771.06999999999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110148.53</v>
      </c>
      <c r="E21" s="148">
        <f>E11-E17</f>
        <v>117771.06999999999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375341.18</v>
      </c>
      <c r="E26" s="217">
        <f>D21</f>
        <v>110148.53</v>
      </c>
    </row>
    <row r="27" spans="2:6">
      <c r="B27" s="9" t="s">
        <v>17</v>
      </c>
      <c r="C27" s="10" t="s">
        <v>111</v>
      </c>
      <c r="D27" s="323">
        <v>-274874.21000000002</v>
      </c>
      <c r="E27" s="274">
        <f>E28-E32</f>
        <v>4239.38</v>
      </c>
      <c r="F27" s="71"/>
    </row>
    <row r="28" spans="2:6">
      <c r="B28" s="9" t="s">
        <v>18</v>
      </c>
      <c r="C28" s="10" t="s">
        <v>19</v>
      </c>
      <c r="D28" s="323">
        <v>4015.47</v>
      </c>
      <c r="E28" s="275">
        <v>9150.76</v>
      </c>
      <c r="F28" s="71"/>
    </row>
    <row r="29" spans="2:6">
      <c r="B29" s="181" t="s">
        <v>4</v>
      </c>
      <c r="C29" s="174" t="s">
        <v>20</v>
      </c>
      <c r="D29" s="324">
        <v>3874.87</v>
      </c>
      <c r="E29" s="276">
        <v>3094.46</v>
      </c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>
        <v>140.6</v>
      </c>
      <c r="E31" s="276">
        <v>6056.3</v>
      </c>
      <c r="F31" s="71"/>
    </row>
    <row r="32" spans="2:6">
      <c r="B32" s="92" t="s">
        <v>23</v>
      </c>
      <c r="C32" s="11" t="s">
        <v>24</v>
      </c>
      <c r="D32" s="323">
        <v>278889.67999999993</v>
      </c>
      <c r="E32" s="275">
        <f>SUM(E33:E39)</f>
        <v>4911.38</v>
      </c>
      <c r="F32" s="71"/>
    </row>
    <row r="33" spans="2:6">
      <c r="B33" s="181" t="s">
        <v>4</v>
      </c>
      <c r="C33" s="174" t="s">
        <v>25</v>
      </c>
      <c r="D33" s="324">
        <v>274535.98</v>
      </c>
      <c r="E33" s="276">
        <f>1966.39+971.74</f>
        <v>2938.13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448.47</v>
      </c>
      <c r="E35" s="276">
        <v>240.64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3703.81</v>
      </c>
      <c r="E37" s="276">
        <v>1553.34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>
        <v>201.42</v>
      </c>
      <c r="E39" s="277">
        <v>179.27</v>
      </c>
      <c r="F39" s="71"/>
    </row>
    <row r="40" spans="2:6" ht="13.5" thickBot="1">
      <c r="B40" s="97" t="s">
        <v>35</v>
      </c>
      <c r="C40" s="98" t="s">
        <v>36</v>
      </c>
      <c r="D40" s="326">
        <v>9681.56</v>
      </c>
      <c r="E40" s="279">
        <v>3383.16</v>
      </c>
    </row>
    <row r="41" spans="2:6" ht="13.5" thickBot="1">
      <c r="B41" s="99" t="s">
        <v>37</v>
      </c>
      <c r="C41" s="100" t="s">
        <v>38</v>
      </c>
      <c r="D41" s="327">
        <v>110148.52999999997</v>
      </c>
      <c r="E41" s="148">
        <f>E26+E27+E40</f>
        <v>117771.07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1823.2837</v>
      </c>
      <c r="E47" s="73">
        <v>540.68589999999995</v>
      </c>
    </row>
    <row r="48" spans="2:6">
      <c r="B48" s="186" t="s">
        <v>6</v>
      </c>
      <c r="C48" s="187" t="s">
        <v>41</v>
      </c>
      <c r="D48" s="200">
        <v>540.68589999999995</v>
      </c>
      <c r="E48" s="149">
        <v>565.96219999999994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84" t="s">
        <v>4</v>
      </c>
      <c r="C50" s="185" t="s">
        <v>40</v>
      </c>
      <c r="D50" s="200">
        <v>205.86</v>
      </c>
      <c r="E50" s="75">
        <v>203.72</v>
      </c>
    </row>
    <row r="51" spans="2:5">
      <c r="B51" s="184" t="s">
        <v>6</v>
      </c>
      <c r="C51" s="185" t="s">
        <v>114</v>
      </c>
      <c r="D51" s="200">
        <v>195.72</v>
      </c>
      <c r="E51" s="75">
        <v>136.11000000000001</v>
      </c>
    </row>
    <row r="52" spans="2:5">
      <c r="B52" s="184" t="s">
        <v>8</v>
      </c>
      <c r="C52" s="185" t="s">
        <v>115</v>
      </c>
      <c r="D52" s="200">
        <v>220.15</v>
      </c>
      <c r="E52" s="75">
        <v>209.53</v>
      </c>
    </row>
    <row r="53" spans="2:5" ht="13.5" customHeight="1" thickBot="1">
      <c r="B53" s="188" t="s">
        <v>9</v>
      </c>
      <c r="C53" s="189" t="s">
        <v>41</v>
      </c>
      <c r="D53" s="202">
        <v>203.72</v>
      </c>
      <c r="E53" s="280">
        <v>208.09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6.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117771.06999999999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2.7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117771.06999999999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117771.06999999999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117771.06999999999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3" right="0.75" top="0.52" bottom="0.68" header="0.5" footer="0.5"/>
  <pageSetup paperSize="9" scale="70" orientation="portrait" r:id="rId1"/>
  <headerFooter alignWithMargins="0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5"/>
  <dimension ref="A1:G81"/>
  <sheetViews>
    <sheetView topLeftCell="A13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7"/>
      <c r="C4" s="147"/>
      <c r="D4" s="147"/>
      <c r="E4" s="147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252</v>
      </c>
      <c r="C6" s="353"/>
      <c r="D6" s="353"/>
      <c r="E6" s="353"/>
    </row>
    <row r="7" spans="2:7" ht="14.25">
      <c r="B7" s="145"/>
      <c r="C7" s="145"/>
      <c r="D7" s="145"/>
      <c r="E7" s="145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46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264319.95</v>
      </c>
      <c r="E11" s="228">
        <f>SUM(E12:E14)</f>
        <v>282161.15999999997</v>
      </c>
    </row>
    <row r="12" spans="2:7">
      <c r="B12" s="173" t="s">
        <v>4</v>
      </c>
      <c r="C12" s="174" t="s">
        <v>5</v>
      </c>
      <c r="D12" s="241">
        <v>264319.95</v>
      </c>
      <c r="E12" s="245">
        <v>282161.15999999997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264319.95</v>
      </c>
      <c r="E21" s="148">
        <f>E11-E17</f>
        <v>282161.15999999997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326312.65999999997</v>
      </c>
      <c r="E26" s="217">
        <f>D21</f>
        <v>264319.95</v>
      </c>
    </row>
    <row r="27" spans="2:6">
      <c r="B27" s="9" t="s">
        <v>17</v>
      </c>
      <c r="C27" s="10" t="s">
        <v>111</v>
      </c>
      <c r="D27" s="323">
        <v>-74180.209999999992</v>
      </c>
      <c r="E27" s="274">
        <f>E28-E32</f>
        <v>1031.9500000000044</v>
      </c>
      <c r="F27" s="71"/>
    </row>
    <row r="28" spans="2:6">
      <c r="B28" s="9" t="s">
        <v>18</v>
      </c>
      <c r="C28" s="10" t="s">
        <v>19</v>
      </c>
      <c r="D28" s="323">
        <v>28641.64</v>
      </c>
      <c r="E28" s="275">
        <v>37997.910000000003</v>
      </c>
      <c r="F28" s="71"/>
    </row>
    <row r="29" spans="2:6">
      <c r="B29" s="181" t="s">
        <v>4</v>
      </c>
      <c r="C29" s="174" t="s">
        <v>20</v>
      </c>
      <c r="D29" s="324">
        <v>10342.85</v>
      </c>
      <c r="E29" s="276">
        <v>11498.05</v>
      </c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>
        <v>18298.79</v>
      </c>
      <c r="E31" s="276">
        <v>26499.86</v>
      </c>
      <c r="F31" s="71"/>
    </row>
    <row r="32" spans="2:6">
      <c r="B32" s="92" t="s">
        <v>23</v>
      </c>
      <c r="C32" s="11" t="s">
        <v>24</v>
      </c>
      <c r="D32" s="323">
        <v>102821.84999999999</v>
      </c>
      <c r="E32" s="275">
        <f>SUM(E33:E39)</f>
        <v>36965.96</v>
      </c>
      <c r="F32" s="71"/>
    </row>
    <row r="33" spans="2:6">
      <c r="B33" s="181" t="s">
        <v>4</v>
      </c>
      <c r="C33" s="174" t="s">
        <v>25</v>
      </c>
      <c r="D33" s="324">
        <v>75486.7</v>
      </c>
      <c r="E33" s="276">
        <f>4754.82+491.09</f>
        <v>5245.91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1364.37</v>
      </c>
      <c r="E35" s="276">
        <v>1263.93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10688.65</v>
      </c>
      <c r="E37" s="276">
        <v>4236.03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>
        <v>15282.13</v>
      </c>
      <c r="E39" s="277">
        <v>26220.09</v>
      </c>
      <c r="F39" s="71"/>
    </row>
    <row r="40" spans="2:6" ht="13.5" thickBot="1">
      <c r="B40" s="97" t="s">
        <v>35</v>
      </c>
      <c r="C40" s="98" t="s">
        <v>36</v>
      </c>
      <c r="D40" s="326">
        <v>12187.5</v>
      </c>
      <c r="E40" s="279">
        <v>16809.259999999998</v>
      </c>
    </row>
    <row r="41" spans="2:6" ht="13.5" thickBot="1">
      <c r="B41" s="99" t="s">
        <v>37</v>
      </c>
      <c r="C41" s="100" t="s">
        <v>38</v>
      </c>
      <c r="D41" s="327">
        <v>264319.94999999995</v>
      </c>
      <c r="E41" s="148">
        <f>E26+E27+E40</f>
        <v>282161.16000000003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8" customHeight="1" thickBot="1">
      <c r="B44" s="354" t="s">
        <v>121</v>
      </c>
      <c r="C44" s="358"/>
      <c r="D44" s="358"/>
      <c r="E44" s="358"/>
    </row>
    <row r="45" spans="2:6" ht="13.5" thickBot="1">
      <c r="B45" s="146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923.71811000000002</v>
      </c>
      <c r="E47" s="73">
        <v>717.38350000000003</v>
      </c>
    </row>
    <row r="48" spans="2:6">
      <c r="B48" s="123" t="s">
        <v>6</v>
      </c>
      <c r="C48" s="22" t="s">
        <v>41</v>
      </c>
      <c r="D48" s="200">
        <v>717.38350000000003</v>
      </c>
      <c r="E48" s="149">
        <v>720.60770000000002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02" t="s">
        <v>4</v>
      </c>
      <c r="C50" s="15" t="s">
        <v>40</v>
      </c>
      <c r="D50" s="200">
        <v>353.26</v>
      </c>
      <c r="E50" s="75">
        <v>368.45</v>
      </c>
    </row>
    <row r="51" spans="2:5">
      <c r="B51" s="102" t="s">
        <v>6</v>
      </c>
      <c r="C51" s="15" t="s">
        <v>114</v>
      </c>
      <c r="D51" s="200">
        <v>352.17</v>
      </c>
      <c r="E51" s="75">
        <v>362.74</v>
      </c>
    </row>
    <row r="52" spans="2:5">
      <c r="B52" s="102" t="s">
        <v>8</v>
      </c>
      <c r="C52" s="15" t="s">
        <v>115</v>
      </c>
      <c r="D52" s="200">
        <v>369.66</v>
      </c>
      <c r="E52" s="75">
        <v>391.67</v>
      </c>
    </row>
    <row r="53" spans="2:5" ht="13.5" customHeight="1" thickBot="1">
      <c r="B53" s="103" t="s">
        <v>9</v>
      </c>
      <c r="C53" s="17" t="s">
        <v>41</v>
      </c>
      <c r="D53" s="202">
        <v>368.45</v>
      </c>
      <c r="E53" s="280">
        <v>391.56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5.7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282161.15999999997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2.7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E12</f>
        <v>282161.15999999997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f>E17</f>
        <v>0</v>
      </c>
      <c r="E73" s="26">
        <f>D73/E21</f>
        <v>0</v>
      </c>
    </row>
    <row r="74" spans="2:5">
      <c r="B74" s="130" t="s">
        <v>64</v>
      </c>
      <c r="C74" s="121" t="s">
        <v>66</v>
      </c>
      <c r="D74" s="122">
        <f>D58-D73</f>
        <v>282161.15999999997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282161.15999999997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6"/>
  <dimension ref="A1:G81"/>
  <sheetViews>
    <sheetView topLeftCell="A16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7"/>
      <c r="C4" s="147"/>
      <c r="D4" s="147"/>
      <c r="E4" s="147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253</v>
      </c>
      <c r="C6" s="353"/>
      <c r="D6" s="353"/>
      <c r="E6" s="353"/>
    </row>
    <row r="7" spans="2:7" ht="14.25">
      <c r="B7" s="145"/>
      <c r="C7" s="145"/>
      <c r="D7" s="145"/>
      <c r="E7" s="145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46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120943.93</v>
      </c>
      <c r="E11" s="228">
        <f>SUM(E12:E14)</f>
        <v>119987.76</v>
      </c>
    </row>
    <row r="12" spans="2:7">
      <c r="B12" s="173" t="s">
        <v>4</v>
      </c>
      <c r="C12" s="174" t="s">
        <v>5</v>
      </c>
      <c r="D12" s="241">
        <v>120943.93</v>
      </c>
      <c r="E12" s="245">
        <v>119987.76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120943.93</v>
      </c>
      <c r="E21" s="148">
        <f>E11-E17</f>
        <v>119987.76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148305.16999999998</v>
      </c>
      <c r="E26" s="217">
        <f>D21</f>
        <v>120943.93</v>
      </c>
    </row>
    <row r="27" spans="2:6">
      <c r="B27" s="9" t="s">
        <v>17</v>
      </c>
      <c r="C27" s="10" t="s">
        <v>111</v>
      </c>
      <c r="D27" s="323">
        <v>-33374.01999999999</v>
      </c>
      <c r="E27" s="274">
        <f>E28-E32</f>
        <v>-6056.9700000000012</v>
      </c>
      <c r="F27" s="71"/>
    </row>
    <row r="28" spans="2:6">
      <c r="B28" s="9" t="s">
        <v>18</v>
      </c>
      <c r="C28" s="10" t="s">
        <v>19</v>
      </c>
      <c r="D28" s="323">
        <v>186153.64</v>
      </c>
      <c r="E28" s="275">
        <v>99236.26</v>
      </c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>
        <v>186153.64</v>
      </c>
      <c r="E31" s="276">
        <v>99236.26</v>
      </c>
      <c r="F31" s="71"/>
    </row>
    <row r="32" spans="2:6">
      <c r="B32" s="92" t="s">
        <v>23</v>
      </c>
      <c r="C32" s="11" t="s">
        <v>24</v>
      </c>
      <c r="D32" s="323">
        <v>219527.66</v>
      </c>
      <c r="E32" s="275">
        <f>SUM(E33:E39)</f>
        <v>105293.23</v>
      </c>
      <c r="F32" s="71"/>
    </row>
    <row r="33" spans="2:6">
      <c r="B33" s="181" t="s">
        <v>4</v>
      </c>
      <c r="C33" s="174" t="s">
        <v>25</v>
      </c>
      <c r="D33" s="324">
        <v>215892.14</v>
      </c>
      <c r="E33" s="276">
        <f>2054.52+3.56</f>
        <v>2058.08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243.78</v>
      </c>
      <c r="E35" s="276">
        <v>244.39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3391.74</v>
      </c>
      <c r="E37" s="276">
        <v>2623.81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>
        <v>100366.95</v>
      </c>
      <c r="F39" s="71"/>
    </row>
    <row r="40" spans="2:6" ht="13.5" thickBot="1">
      <c r="B40" s="97" t="s">
        <v>35</v>
      </c>
      <c r="C40" s="98" t="s">
        <v>36</v>
      </c>
      <c r="D40" s="326">
        <v>6012.78</v>
      </c>
      <c r="E40" s="279">
        <v>5100.8</v>
      </c>
    </row>
    <row r="41" spans="2:6" ht="13.5" thickBot="1">
      <c r="B41" s="99" t="s">
        <v>37</v>
      </c>
      <c r="C41" s="100" t="s">
        <v>38</v>
      </c>
      <c r="D41" s="327">
        <v>120943.93</v>
      </c>
      <c r="E41" s="148">
        <f>E26+E27+E40</f>
        <v>119987.76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8" customHeight="1" thickBot="1">
      <c r="B44" s="354" t="s">
        <v>121</v>
      </c>
      <c r="C44" s="358"/>
      <c r="D44" s="358"/>
      <c r="E44" s="358"/>
    </row>
    <row r="45" spans="2:6" ht="13.5" thickBot="1">
      <c r="B45" s="146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671.85452999999995</v>
      </c>
      <c r="E47" s="73">
        <v>528.41630000000009</v>
      </c>
    </row>
    <row r="48" spans="2:6">
      <c r="B48" s="123" t="s">
        <v>6</v>
      </c>
      <c r="C48" s="22" t="s">
        <v>41</v>
      </c>
      <c r="D48" s="200">
        <v>528.41630000000009</v>
      </c>
      <c r="E48" s="149">
        <v>508.87549999999999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02" t="s">
        <v>4</v>
      </c>
      <c r="C50" s="15" t="s">
        <v>40</v>
      </c>
      <c r="D50" s="200">
        <v>220.74</v>
      </c>
      <c r="E50" s="75">
        <v>228.88</v>
      </c>
    </row>
    <row r="51" spans="2:5">
      <c r="B51" s="102" t="s">
        <v>6</v>
      </c>
      <c r="C51" s="15" t="s">
        <v>114</v>
      </c>
      <c r="D51" s="200">
        <v>220.52</v>
      </c>
      <c r="E51" s="75">
        <v>224.75</v>
      </c>
    </row>
    <row r="52" spans="2:5">
      <c r="B52" s="102" t="s">
        <v>8</v>
      </c>
      <c r="C52" s="15" t="s">
        <v>115</v>
      </c>
      <c r="D52" s="200">
        <v>228.88</v>
      </c>
      <c r="E52" s="75">
        <v>235.79</v>
      </c>
    </row>
    <row r="53" spans="2:5" ht="14.25" customHeight="1" thickBot="1">
      <c r="B53" s="103" t="s">
        <v>9</v>
      </c>
      <c r="C53" s="17" t="s">
        <v>41</v>
      </c>
      <c r="D53" s="202">
        <v>228.88</v>
      </c>
      <c r="E53" s="280">
        <v>235.79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7.2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119987.76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2.7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E12</f>
        <v>119987.76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f>E17</f>
        <v>0</v>
      </c>
      <c r="E73" s="81">
        <f>D73/E21</f>
        <v>0</v>
      </c>
    </row>
    <row r="74" spans="2:5">
      <c r="B74" s="130" t="s">
        <v>64</v>
      </c>
      <c r="C74" s="121" t="s">
        <v>66</v>
      </c>
      <c r="D74" s="122">
        <f>D58-D73</f>
        <v>119987.76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119987.76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000000000000004" right="0.75" top="0.61" bottom="0.6" header="0.5" footer="0.5"/>
  <pageSetup paperSize="9" scale="70" orientation="portrait" r:id="rId1"/>
  <headerFooter alignWithMargins="0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7"/>
  <dimension ref="A1:G81"/>
  <sheetViews>
    <sheetView topLeftCell="A13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7"/>
      <c r="C4" s="147"/>
      <c r="D4" s="147"/>
      <c r="E4" s="147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254</v>
      </c>
      <c r="C6" s="353"/>
      <c r="D6" s="353"/>
      <c r="E6" s="353"/>
    </row>
    <row r="7" spans="2:7" ht="14.25">
      <c r="B7" s="145"/>
      <c r="C7" s="145"/>
      <c r="D7" s="145"/>
      <c r="E7" s="145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46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104410.36</v>
      </c>
      <c r="E11" s="228">
        <f>SUM(E12:E14)</f>
        <v>117898.27</v>
      </c>
    </row>
    <row r="12" spans="2:7">
      <c r="B12" s="173" t="s">
        <v>4</v>
      </c>
      <c r="C12" s="174" t="s">
        <v>5</v>
      </c>
      <c r="D12" s="241">
        <v>104410.36</v>
      </c>
      <c r="E12" s="245">
        <v>117898.27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104410.36</v>
      </c>
      <c r="E21" s="148">
        <f>E11-E17</f>
        <v>117898.27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140492.79</v>
      </c>
      <c r="E26" s="217">
        <f>D21</f>
        <v>104410.36</v>
      </c>
    </row>
    <row r="27" spans="2:6">
      <c r="B27" s="9" t="s">
        <v>17</v>
      </c>
      <c r="C27" s="10" t="s">
        <v>111</v>
      </c>
      <c r="D27" s="323">
        <v>-44999.05000000001</v>
      </c>
      <c r="E27" s="274">
        <f>E28-E32</f>
        <v>8060.17</v>
      </c>
      <c r="F27" s="71"/>
    </row>
    <row r="28" spans="2:6">
      <c r="B28" s="9" t="s">
        <v>18</v>
      </c>
      <c r="C28" s="10" t="s">
        <v>19</v>
      </c>
      <c r="D28" s="323">
        <v>9356.5300000000007</v>
      </c>
      <c r="E28" s="275">
        <v>10693.09</v>
      </c>
      <c r="F28" s="71"/>
    </row>
    <row r="29" spans="2:6">
      <c r="B29" s="181" t="s">
        <v>4</v>
      </c>
      <c r="C29" s="174" t="s">
        <v>20</v>
      </c>
      <c r="D29" s="324">
        <v>9356.5300000000007</v>
      </c>
      <c r="E29" s="276">
        <v>9571.2800000000007</v>
      </c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>
        <f>1125.5-3.69</f>
        <v>1121.81</v>
      </c>
      <c r="F31" s="71"/>
    </row>
    <row r="32" spans="2:6">
      <c r="B32" s="92" t="s">
        <v>23</v>
      </c>
      <c r="C32" s="11" t="s">
        <v>24</v>
      </c>
      <c r="D32" s="323">
        <v>54355.580000000009</v>
      </c>
      <c r="E32" s="275">
        <f>SUM(E33:E39)</f>
        <v>2632.92</v>
      </c>
      <c r="F32" s="71"/>
    </row>
    <row r="33" spans="2:6">
      <c r="B33" s="181" t="s">
        <v>4</v>
      </c>
      <c r="C33" s="174" t="s">
        <v>25</v>
      </c>
      <c r="D33" s="324">
        <v>49353.560000000005</v>
      </c>
      <c r="E33" s="276">
        <f>588.74+20.86</f>
        <v>609.6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458.52</v>
      </c>
      <c r="E35" s="276">
        <v>463.78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4543.5000000000073</v>
      </c>
      <c r="E37" s="276">
        <v>1559.54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/>
      <c r="F39" s="71"/>
    </row>
    <row r="40" spans="2:6" ht="13.5" thickBot="1">
      <c r="B40" s="97" t="s">
        <v>35</v>
      </c>
      <c r="C40" s="98" t="s">
        <v>36</v>
      </c>
      <c r="D40" s="326">
        <v>8916.6200000000008</v>
      </c>
      <c r="E40" s="279">
        <v>5427.74</v>
      </c>
    </row>
    <row r="41" spans="2:6" ht="13.5" thickBot="1">
      <c r="B41" s="99" t="s">
        <v>37</v>
      </c>
      <c r="C41" s="100" t="s">
        <v>38</v>
      </c>
      <c r="D41" s="327">
        <v>104410.35999999999</v>
      </c>
      <c r="E41" s="148">
        <f>E26+E27+E40</f>
        <v>117898.27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8" customHeight="1" thickBot="1">
      <c r="B44" s="354" t="s">
        <v>121</v>
      </c>
      <c r="C44" s="358"/>
      <c r="D44" s="358"/>
      <c r="E44" s="358"/>
    </row>
    <row r="45" spans="2:6" ht="13.5" thickBot="1">
      <c r="B45" s="146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442.4273</v>
      </c>
      <c r="E47" s="73">
        <v>306.20670000000001</v>
      </c>
    </row>
    <row r="48" spans="2:6">
      <c r="B48" s="123" t="s">
        <v>6</v>
      </c>
      <c r="C48" s="22" t="s">
        <v>41</v>
      </c>
      <c r="D48" s="200">
        <v>306.20670000000001</v>
      </c>
      <c r="E48" s="149">
        <v>331.37970000000001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02" t="s">
        <v>4</v>
      </c>
      <c r="C50" s="15" t="s">
        <v>40</v>
      </c>
      <c r="D50" s="200">
        <v>317.55</v>
      </c>
      <c r="E50" s="75">
        <v>340.98</v>
      </c>
    </row>
    <row r="51" spans="2:5">
      <c r="B51" s="102" t="s">
        <v>6</v>
      </c>
      <c r="C51" s="15" t="s">
        <v>114</v>
      </c>
      <c r="D51" s="200">
        <v>317.47000000000003</v>
      </c>
      <c r="E51" s="75">
        <v>269.51</v>
      </c>
    </row>
    <row r="52" spans="2:5">
      <c r="B52" s="102" t="s">
        <v>8</v>
      </c>
      <c r="C52" s="15" t="s">
        <v>115</v>
      </c>
      <c r="D52" s="200">
        <v>344.99</v>
      </c>
      <c r="E52" s="75">
        <v>356.53</v>
      </c>
    </row>
    <row r="53" spans="2:5" ht="13.5" customHeight="1" thickBot="1">
      <c r="B53" s="103" t="s">
        <v>9</v>
      </c>
      <c r="C53" s="17" t="s">
        <v>41</v>
      </c>
      <c r="D53" s="202">
        <v>340.98</v>
      </c>
      <c r="E53" s="280">
        <v>355.78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7.2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117898.27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3.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117898.27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117898.27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117898.27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" right="0.75" top="0.55000000000000004" bottom="0.5" header="0.5" footer="0.5"/>
  <pageSetup paperSize="9" scale="70" orientation="portrait" r:id="rId1"/>
  <headerFooter alignWithMargins="0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8"/>
  <dimension ref="A1:F81"/>
  <sheetViews>
    <sheetView topLeftCell="A13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1" t="s">
        <v>0</v>
      </c>
      <c r="C2" s="351"/>
      <c r="D2" s="351"/>
      <c r="E2" s="351"/>
    </row>
    <row r="3" spans="2:5" ht="15.75">
      <c r="B3" s="351" t="s">
        <v>271</v>
      </c>
      <c r="C3" s="351"/>
      <c r="D3" s="351"/>
      <c r="E3" s="351"/>
    </row>
    <row r="4" spans="2:5" ht="15">
      <c r="B4" s="147"/>
      <c r="C4" s="147"/>
      <c r="D4" s="147"/>
      <c r="E4" s="147"/>
    </row>
    <row r="5" spans="2:5" ht="21" customHeight="1">
      <c r="B5" s="352" t="s">
        <v>1</v>
      </c>
      <c r="C5" s="352"/>
      <c r="D5" s="352"/>
      <c r="E5" s="352"/>
    </row>
    <row r="6" spans="2:5" ht="14.25">
      <c r="B6" s="353" t="s">
        <v>255</v>
      </c>
      <c r="C6" s="353"/>
      <c r="D6" s="353"/>
      <c r="E6" s="353"/>
    </row>
    <row r="7" spans="2:5" ht="14.25">
      <c r="B7" s="145"/>
      <c r="C7" s="145"/>
      <c r="D7" s="145"/>
      <c r="E7" s="145"/>
    </row>
    <row r="8" spans="2:5" ht="13.5">
      <c r="B8" s="355" t="s">
        <v>18</v>
      </c>
      <c r="C8" s="357"/>
      <c r="D8" s="357"/>
      <c r="E8" s="357"/>
    </row>
    <row r="9" spans="2:5" ht="16.5" thickBot="1">
      <c r="B9" s="354" t="s">
        <v>103</v>
      </c>
      <c r="C9" s="354"/>
      <c r="D9" s="354"/>
      <c r="E9" s="354"/>
    </row>
    <row r="10" spans="2:5" ht="13.5" thickBot="1">
      <c r="B10" s="146"/>
      <c r="C10" s="76" t="s">
        <v>2</v>
      </c>
      <c r="D10" s="70" t="s">
        <v>245</v>
      </c>
      <c r="E10" s="255" t="s">
        <v>265</v>
      </c>
    </row>
    <row r="11" spans="2:5">
      <c r="B11" s="90" t="s">
        <v>3</v>
      </c>
      <c r="C11" s="128" t="s">
        <v>109</v>
      </c>
      <c r="D11" s="227">
        <v>32313.63</v>
      </c>
      <c r="E11" s="228">
        <f>SUM(E12:E14)</f>
        <v>37408.15</v>
      </c>
    </row>
    <row r="12" spans="2:5">
      <c r="B12" s="173" t="s">
        <v>4</v>
      </c>
      <c r="C12" s="174" t="s">
        <v>5</v>
      </c>
      <c r="D12" s="241">
        <v>32313.63</v>
      </c>
      <c r="E12" s="245">
        <v>37408.15</v>
      </c>
    </row>
    <row r="13" spans="2:5">
      <c r="B13" s="173" t="s">
        <v>6</v>
      </c>
      <c r="C13" s="175" t="s">
        <v>7</v>
      </c>
      <c r="D13" s="237"/>
      <c r="E13" s="246"/>
    </row>
    <row r="14" spans="2:5">
      <c r="B14" s="173" t="s">
        <v>8</v>
      </c>
      <c r="C14" s="175" t="s">
        <v>10</v>
      </c>
      <c r="D14" s="237"/>
      <c r="E14" s="246"/>
    </row>
    <row r="15" spans="2:5">
      <c r="B15" s="173" t="s">
        <v>106</v>
      </c>
      <c r="C15" s="175" t="s">
        <v>11</v>
      </c>
      <c r="D15" s="237"/>
      <c r="E15" s="246"/>
    </row>
    <row r="16" spans="2:5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32313.63</v>
      </c>
      <c r="E21" s="148">
        <f>E11-E17</f>
        <v>37408.15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27244.59</v>
      </c>
      <c r="E26" s="217">
        <f>D21</f>
        <v>32313.63</v>
      </c>
    </row>
    <row r="27" spans="2:6">
      <c r="B27" s="9" t="s">
        <v>17</v>
      </c>
      <c r="C27" s="10" t="s">
        <v>111</v>
      </c>
      <c r="D27" s="323">
        <v>4480.09</v>
      </c>
      <c r="E27" s="274">
        <v>4409.9399999999996</v>
      </c>
      <c r="F27" s="71"/>
    </row>
    <row r="28" spans="2:6">
      <c r="B28" s="9" t="s">
        <v>18</v>
      </c>
      <c r="C28" s="10" t="s">
        <v>19</v>
      </c>
      <c r="D28" s="323">
        <v>4999.99</v>
      </c>
      <c r="E28" s="275">
        <v>5000</v>
      </c>
      <c r="F28" s="71"/>
    </row>
    <row r="29" spans="2:6">
      <c r="B29" s="181" t="s">
        <v>4</v>
      </c>
      <c r="C29" s="174" t="s">
        <v>20</v>
      </c>
      <c r="D29" s="324">
        <v>4999.99</v>
      </c>
      <c r="E29" s="276">
        <v>5000</v>
      </c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519.9</v>
      </c>
      <c r="E32" s="275">
        <v>590.05999999999995</v>
      </c>
      <c r="F32" s="71"/>
    </row>
    <row r="33" spans="2:6">
      <c r="B33" s="181" t="s">
        <v>4</v>
      </c>
      <c r="C33" s="174" t="s">
        <v>25</v>
      </c>
      <c r="D33" s="324"/>
      <c r="E33" s="276"/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71.19</v>
      </c>
      <c r="E35" s="276">
        <v>78.02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448.71</v>
      </c>
      <c r="E37" s="276">
        <v>512.04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/>
      <c r="F39" s="71"/>
    </row>
    <row r="40" spans="2:6" ht="13.5" thickBot="1">
      <c r="B40" s="97" t="s">
        <v>35</v>
      </c>
      <c r="C40" s="98" t="s">
        <v>36</v>
      </c>
      <c r="D40" s="326">
        <v>588.95000000000005</v>
      </c>
      <c r="E40" s="279">
        <v>684.58</v>
      </c>
    </row>
    <row r="41" spans="2:6" ht="13.5" thickBot="1">
      <c r="B41" s="99" t="s">
        <v>37</v>
      </c>
      <c r="C41" s="100" t="s">
        <v>38</v>
      </c>
      <c r="D41" s="327">
        <v>32313.63</v>
      </c>
      <c r="E41" s="148">
        <f>E26+E27+E40</f>
        <v>37408.15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8" customHeight="1" thickBot="1">
      <c r="B44" s="354" t="s">
        <v>121</v>
      </c>
      <c r="C44" s="358"/>
      <c r="D44" s="358"/>
      <c r="E44" s="358"/>
    </row>
    <row r="45" spans="2:6" ht="13.5" thickBot="1">
      <c r="B45" s="146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221.48269999999999</v>
      </c>
      <c r="E47" s="73">
        <v>257.35610000000003</v>
      </c>
    </row>
    <row r="48" spans="2:6">
      <c r="B48" s="123" t="s">
        <v>6</v>
      </c>
      <c r="C48" s="22" t="s">
        <v>41</v>
      </c>
      <c r="D48" s="200">
        <v>257.35610000000003</v>
      </c>
      <c r="E48" s="149">
        <v>292.00020000000001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02" t="s">
        <v>4</v>
      </c>
      <c r="C50" s="15" t="s">
        <v>40</v>
      </c>
      <c r="D50" s="200">
        <v>123.01</v>
      </c>
      <c r="E50" s="75">
        <v>125.56</v>
      </c>
    </row>
    <row r="51" spans="2:5">
      <c r="B51" s="102" t="s">
        <v>6</v>
      </c>
      <c r="C51" s="15" t="s">
        <v>114</v>
      </c>
      <c r="D51" s="200">
        <v>123.01</v>
      </c>
      <c r="E51" s="75">
        <v>124.33</v>
      </c>
    </row>
    <row r="52" spans="2:5">
      <c r="B52" s="102" t="s">
        <v>8</v>
      </c>
      <c r="C52" s="15" t="s">
        <v>115</v>
      </c>
      <c r="D52" s="200">
        <v>125.56</v>
      </c>
      <c r="E52" s="75">
        <v>128.11000000000001</v>
      </c>
    </row>
    <row r="53" spans="2:5" ht="13.5" customHeight="1" thickBot="1">
      <c r="B53" s="103" t="s">
        <v>9</v>
      </c>
      <c r="C53" s="17" t="s">
        <v>41</v>
      </c>
      <c r="D53" s="202">
        <v>125.56</v>
      </c>
      <c r="E53" s="280">
        <v>128.11000000000001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5.7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37408.15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2.7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37408.15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37408.15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37408.15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4" right="0.75" top="0.55000000000000004" bottom="0.59" header="0.5" footer="0.5"/>
  <pageSetup paperSize="9" scale="70" orientation="portrait" r:id="rId1"/>
  <headerFooter alignWithMargins="0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9"/>
  <dimension ref="A1:G81"/>
  <sheetViews>
    <sheetView tabSelected="1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7"/>
      <c r="C4" s="147"/>
      <c r="D4" s="147"/>
      <c r="E4" s="147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247</v>
      </c>
      <c r="C6" s="353"/>
      <c r="D6" s="353"/>
      <c r="E6" s="353"/>
    </row>
    <row r="7" spans="2:7" ht="14.25">
      <c r="B7" s="145"/>
      <c r="C7" s="145"/>
      <c r="D7" s="145"/>
      <c r="E7" s="145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46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201233.5</v>
      </c>
      <c r="E11" s="228">
        <f>SUM(E12:E14)</f>
        <v>202024.12</v>
      </c>
    </row>
    <row r="12" spans="2:7">
      <c r="B12" s="173" t="s">
        <v>4</v>
      </c>
      <c r="C12" s="174" t="s">
        <v>5</v>
      </c>
      <c r="D12" s="241">
        <v>201233.5</v>
      </c>
      <c r="E12" s="245">
        <v>202024.12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201233.5</v>
      </c>
      <c r="E21" s="148">
        <f>E11-E17</f>
        <v>202024.12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279765.01</v>
      </c>
      <c r="E26" s="217">
        <f>D21</f>
        <v>201233.5</v>
      </c>
    </row>
    <row r="27" spans="2:6">
      <c r="B27" s="9" t="s">
        <v>17</v>
      </c>
      <c r="C27" s="10" t="s">
        <v>111</v>
      </c>
      <c r="D27" s="323">
        <v>-100277.68</v>
      </c>
      <c r="E27" s="274">
        <v>-1921.22</v>
      </c>
      <c r="F27" s="71"/>
    </row>
    <row r="28" spans="2:6">
      <c r="B28" s="9" t="s">
        <v>18</v>
      </c>
      <c r="C28" s="10" t="s">
        <v>19</v>
      </c>
      <c r="D28" s="323">
        <v>1545.89</v>
      </c>
      <c r="E28" s="275">
        <v>1592.38</v>
      </c>
      <c r="F28" s="71"/>
    </row>
    <row r="29" spans="2:6">
      <c r="B29" s="181" t="s">
        <v>4</v>
      </c>
      <c r="C29" s="174" t="s">
        <v>20</v>
      </c>
      <c r="D29" s="324">
        <v>1545.89</v>
      </c>
      <c r="E29" s="276">
        <v>1592.38</v>
      </c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101823.57</v>
      </c>
      <c r="E32" s="275">
        <v>3513.6</v>
      </c>
      <c r="F32" s="71"/>
    </row>
    <row r="33" spans="2:6">
      <c r="B33" s="181" t="s">
        <v>4</v>
      </c>
      <c r="C33" s="174" t="s">
        <v>25</v>
      </c>
      <c r="D33" s="324">
        <v>97449.61</v>
      </c>
      <c r="E33" s="276"/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29.05</v>
      </c>
      <c r="E35" s="276">
        <v>32.42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4344.91</v>
      </c>
      <c r="E37" s="276">
        <v>3481.18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/>
      <c r="F39" s="71"/>
    </row>
    <row r="40" spans="2:6" ht="13.5" thickBot="1">
      <c r="B40" s="97" t="s">
        <v>35</v>
      </c>
      <c r="C40" s="98" t="s">
        <v>36</v>
      </c>
      <c r="D40" s="326">
        <v>21746.17</v>
      </c>
      <c r="E40" s="279">
        <v>2711.84</v>
      </c>
    </row>
    <row r="41" spans="2:6" ht="13.5" thickBot="1">
      <c r="B41" s="99" t="s">
        <v>37</v>
      </c>
      <c r="C41" s="100" t="s">
        <v>38</v>
      </c>
      <c r="D41" s="327">
        <v>201233.5</v>
      </c>
      <c r="E41" s="148">
        <f>E26+E27+E40</f>
        <v>202024.12</v>
      </c>
      <c r="F41" s="77"/>
    </row>
    <row r="42" spans="2:6">
      <c r="B42" s="93"/>
      <c r="C42" s="93"/>
      <c r="D42" s="216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8" customHeight="1" thickBot="1">
      <c r="B44" s="354" t="s">
        <v>121</v>
      </c>
      <c r="C44" s="358"/>
      <c r="D44" s="358"/>
      <c r="E44" s="358"/>
    </row>
    <row r="45" spans="2:6" ht="13.5" thickBot="1">
      <c r="B45" s="146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1525.2699</v>
      </c>
      <c r="E47" s="73">
        <v>1017.7701</v>
      </c>
    </row>
    <row r="48" spans="2:6">
      <c r="B48" s="123" t="s">
        <v>6</v>
      </c>
      <c r="C48" s="22" t="s">
        <v>41</v>
      </c>
      <c r="D48" s="200">
        <v>1017.7701</v>
      </c>
      <c r="E48" s="149">
        <v>1008.0540999999999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02" t="s">
        <v>4</v>
      </c>
      <c r="C50" s="15" t="s">
        <v>40</v>
      </c>
      <c r="D50" s="200">
        <v>183.42</v>
      </c>
      <c r="E50" s="75">
        <v>197.72</v>
      </c>
    </row>
    <row r="51" spans="2:5">
      <c r="B51" s="102" t="s">
        <v>6</v>
      </c>
      <c r="C51" s="15" t="s">
        <v>114</v>
      </c>
      <c r="D51" s="200">
        <v>182.37</v>
      </c>
      <c r="E51" s="75">
        <v>188.82</v>
      </c>
    </row>
    <row r="52" spans="2:5">
      <c r="B52" s="102" t="s">
        <v>8</v>
      </c>
      <c r="C52" s="15" t="s">
        <v>115</v>
      </c>
      <c r="D52" s="200">
        <v>201.38</v>
      </c>
      <c r="E52" s="75">
        <v>205.54</v>
      </c>
    </row>
    <row r="53" spans="2:5" ht="13.5" customHeight="1" thickBot="1">
      <c r="B53" s="103" t="s">
        <v>9</v>
      </c>
      <c r="C53" s="17" t="s">
        <v>41</v>
      </c>
      <c r="D53" s="202">
        <v>197.72</v>
      </c>
      <c r="E53" s="280">
        <v>200.41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6.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202024.12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3.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202024.12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202024.12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202024.12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0"/>
  <dimension ref="A1:G81"/>
  <sheetViews>
    <sheetView topLeftCell="A13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7"/>
      <c r="C4" s="147"/>
      <c r="D4" s="147"/>
      <c r="E4" s="147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256</v>
      </c>
      <c r="C6" s="353"/>
      <c r="D6" s="353"/>
      <c r="E6" s="353"/>
    </row>
    <row r="7" spans="2:7" ht="14.25">
      <c r="B7" s="145"/>
      <c r="C7" s="145"/>
      <c r="D7" s="145"/>
      <c r="E7" s="145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46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40954.5</v>
      </c>
      <c r="E11" s="228">
        <f>SUM(E12:E14)</f>
        <v>49124.57</v>
      </c>
    </row>
    <row r="12" spans="2:7">
      <c r="B12" s="173" t="s">
        <v>4</v>
      </c>
      <c r="C12" s="174" t="s">
        <v>5</v>
      </c>
      <c r="D12" s="241">
        <v>40954.5</v>
      </c>
      <c r="E12" s="245">
        <v>49124.57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40954.5</v>
      </c>
      <c r="E21" s="148">
        <f>E11-E17</f>
        <v>49124.57</v>
      </c>
      <c r="F21" s="77"/>
    </row>
    <row r="22" spans="2:6">
      <c r="B22" s="3"/>
      <c r="C22" s="7"/>
      <c r="D22" s="8"/>
      <c r="E22" s="215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34542.54</v>
      </c>
      <c r="E26" s="217">
        <f>D21</f>
        <v>40954.5</v>
      </c>
    </row>
    <row r="27" spans="2:6">
      <c r="B27" s="9" t="s">
        <v>17</v>
      </c>
      <c r="C27" s="10" t="s">
        <v>111</v>
      </c>
      <c r="D27" s="323">
        <v>4460.5</v>
      </c>
      <c r="E27" s="274">
        <v>4742.43</v>
      </c>
      <c r="F27" s="71"/>
    </row>
    <row r="28" spans="2:6">
      <c r="B28" s="9" t="s">
        <v>18</v>
      </c>
      <c r="C28" s="10" t="s">
        <v>19</v>
      </c>
      <c r="D28" s="323">
        <v>5181.8599999999997</v>
      </c>
      <c r="E28" s="275">
        <v>5446.17</v>
      </c>
      <c r="F28" s="71"/>
    </row>
    <row r="29" spans="2:6">
      <c r="B29" s="181" t="s">
        <v>4</v>
      </c>
      <c r="C29" s="174" t="s">
        <v>20</v>
      </c>
      <c r="D29" s="324">
        <v>5181.8599999999997</v>
      </c>
      <c r="E29" s="276">
        <v>5446.17</v>
      </c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721.36</v>
      </c>
      <c r="E32" s="275">
        <v>703.74</v>
      </c>
      <c r="F32" s="71"/>
    </row>
    <row r="33" spans="2:6">
      <c r="B33" s="181" t="s">
        <v>4</v>
      </c>
      <c r="C33" s="174" t="s">
        <v>25</v>
      </c>
      <c r="D33" s="324"/>
      <c r="E33" s="276"/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72.459999999999994</v>
      </c>
      <c r="E35" s="276">
        <v>64.87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648.9</v>
      </c>
      <c r="E37" s="276">
        <v>638.87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/>
      <c r="F39" s="71"/>
    </row>
    <row r="40" spans="2:6" ht="13.5" thickBot="1">
      <c r="B40" s="97" t="s">
        <v>35</v>
      </c>
      <c r="C40" s="98" t="s">
        <v>36</v>
      </c>
      <c r="D40" s="326">
        <v>1951.46</v>
      </c>
      <c r="E40" s="279">
        <v>3427.64</v>
      </c>
    </row>
    <row r="41" spans="2:6" ht="13.5" thickBot="1">
      <c r="B41" s="99" t="s">
        <v>37</v>
      </c>
      <c r="C41" s="100" t="s">
        <v>38</v>
      </c>
      <c r="D41" s="327">
        <v>40954.5</v>
      </c>
      <c r="E41" s="148">
        <f>E26+E27+E40</f>
        <v>49124.57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8" customHeight="1" thickBot="1">
      <c r="B44" s="354" t="s">
        <v>121</v>
      </c>
      <c r="C44" s="358"/>
      <c r="D44" s="358"/>
      <c r="E44" s="358"/>
    </row>
    <row r="45" spans="2:6" ht="13.5" thickBot="1">
      <c r="B45" s="146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194.6936</v>
      </c>
      <c r="E47" s="73">
        <v>218.97290000000001</v>
      </c>
    </row>
    <row r="48" spans="2:6">
      <c r="B48" s="123" t="s">
        <v>6</v>
      </c>
      <c r="C48" s="22" t="s">
        <v>41</v>
      </c>
      <c r="D48" s="200">
        <v>218.97290000000001</v>
      </c>
      <c r="E48" s="149">
        <v>244.30359999999999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02" t="s">
        <v>4</v>
      </c>
      <c r="C50" s="15" t="s">
        <v>40</v>
      </c>
      <c r="D50" s="200">
        <v>177.42</v>
      </c>
      <c r="E50" s="75">
        <v>187.03</v>
      </c>
    </row>
    <row r="51" spans="2:5">
      <c r="B51" s="102" t="s">
        <v>6</v>
      </c>
      <c r="C51" s="15" t="s">
        <v>114</v>
      </c>
      <c r="D51" s="200">
        <v>177.42</v>
      </c>
      <c r="E51" s="75">
        <v>165.73</v>
      </c>
    </row>
    <row r="52" spans="2:5">
      <c r="B52" s="102" t="s">
        <v>8</v>
      </c>
      <c r="C52" s="15" t="s">
        <v>115</v>
      </c>
      <c r="D52" s="200">
        <v>187.98</v>
      </c>
      <c r="E52" s="75">
        <v>201.23</v>
      </c>
    </row>
    <row r="53" spans="2:5" ht="13.5" customHeight="1" thickBot="1">
      <c r="B53" s="103" t="s">
        <v>9</v>
      </c>
      <c r="C53" s="17" t="s">
        <v>41</v>
      </c>
      <c r="D53" s="202">
        <v>187.03</v>
      </c>
      <c r="E53" s="280">
        <v>201.08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4.25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49124.57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3.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49124.57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49124.57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49124.57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9" right="0.75" top="0.56999999999999995" bottom="0.49" header="0.5" footer="0.5"/>
  <pageSetup paperSize="9" scale="70" orientation="portrait" r:id="rId1"/>
  <headerFooter alignWithMargins="0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2"/>
  <dimension ref="A1:G81"/>
  <sheetViews>
    <sheetView topLeftCell="A13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7"/>
      <c r="C4" s="147"/>
      <c r="D4" s="147"/>
      <c r="E4" s="147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246</v>
      </c>
      <c r="C6" s="353"/>
      <c r="D6" s="353"/>
      <c r="E6" s="353"/>
    </row>
    <row r="7" spans="2:7" ht="14.25">
      <c r="B7" s="145"/>
      <c r="C7" s="145"/>
      <c r="D7" s="145"/>
      <c r="E7" s="145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46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505768.33</v>
      </c>
      <c r="E11" s="228">
        <f>SUM(E12:E14)</f>
        <v>510691.57</v>
      </c>
    </row>
    <row r="12" spans="2:7">
      <c r="B12" s="173" t="s">
        <v>4</v>
      </c>
      <c r="C12" s="174" t="s">
        <v>5</v>
      </c>
      <c r="D12" s="241">
        <v>505768.33</v>
      </c>
      <c r="E12" s="245">
        <v>510691.57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505768.33</v>
      </c>
      <c r="E21" s="148">
        <f>E11-E17</f>
        <v>510691.57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985073.05</v>
      </c>
      <c r="E26" s="217">
        <f>D21</f>
        <v>505768.33</v>
      </c>
    </row>
    <row r="27" spans="2:6">
      <c r="B27" s="9" t="s">
        <v>17</v>
      </c>
      <c r="C27" s="10" t="s">
        <v>111</v>
      </c>
      <c r="D27" s="323">
        <v>-526890.87</v>
      </c>
      <c r="E27" s="274">
        <v>-30602.57</v>
      </c>
      <c r="F27" s="71"/>
    </row>
    <row r="28" spans="2:6">
      <c r="B28" s="9" t="s">
        <v>18</v>
      </c>
      <c r="C28" s="10" t="s">
        <v>19</v>
      </c>
      <c r="D28" s="323"/>
      <c r="E28" s="275"/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526890.87</v>
      </c>
      <c r="E32" s="275">
        <v>30602.57</v>
      </c>
      <c r="F32" s="71"/>
    </row>
    <row r="33" spans="2:6">
      <c r="B33" s="181" t="s">
        <v>4</v>
      </c>
      <c r="C33" s="174" t="s">
        <v>25</v>
      </c>
      <c r="D33" s="324">
        <v>510386.54</v>
      </c>
      <c r="E33" s="276">
        <v>20399.189999999999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3049.48</v>
      </c>
      <c r="E35" s="276">
        <v>2737.51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13454.850000000104</v>
      </c>
      <c r="E37" s="276">
        <v>7465.87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/>
      <c r="F39" s="71"/>
    </row>
    <row r="40" spans="2:6" ht="13.5" thickBot="1">
      <c r="B40" s="97" t="s">
        <v>35</v>
      </c>
      <c r="C40" s="98" t="s">
        <v>36</v>
      </c>
      <c r="D40" s="326">
        <v>47586.15</v>
      </c>
      <c r="E40" s="279">
        <v>35525.81</v>
      </c>
    </row>
    <row r="41" spans="2:6" ht="13.5" thickBot="1">
      <c r="B41" s="99" t="s">
        <v>37</v>
      </c>
      <c r="C41" s="100" t="s">
        <v>38</v>
      </c>
      <c r="D41" s="327">
        <v>505768.33000000007</v>
      </c>
      <c r="E41" s="148">
        <f>E26+E27+E40</f>
        <v>510691.57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8" customHeight="1" thickBot="1">
      <c r="B44" s="354" t="s">
        <v>121</v>
      </c>
      <c r="C44" s="358"/>
      <c r="D44" s="358"/>
      <c r="E44" s="358"/>
    </row>
    <row r="45" spans="2:6" ht="13.5" thickBot="1">
      <c r="B45" s="146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6287.9678999999996</v>
      </c>
      <c r="E47" s="73">
        <v>3066.9355</v>
      </c>
    </row>
    <row r="48" spans="2:6">
      <c r="B48" s="123" t="s">
        <v>6</v>
      </c>
      <c r="C48" s="22" t="s">
        <v>41</v>
      </c>
      <c r="D48" s="200">
        <v>3066.9355</v>
      </c>
      <c r="E48" s="149">
        <v>2885.1001000000001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02" t="s">
        <v>4</v>
      </c>
      <c r="C50" s="15" t="s">
        <v>40</v>
      </c>
      <c r="D50" s="200">
        <v>156.66</v>
      </c>
      <c r="E50" s="75">
        <v>164.91</v>
      </c>
    </row>
    <row r="51" spans="2:5">
      <c r="B51" s="102" t="s">
        <v>6</v>
      </c>
      <c r="C51" s="15" t="s">
        <v>114</v>
      </c>
      <c r="D51" s="200">
        <v>155.18</v>
      </c>
      <c r="E51" s="75">
        <v>159.16999999999999</v>
      </c>
    </row>
    <row r="52" spans="2:5">
      <c r="B52" s="102" t="s">
        <v>8</v>
      </c>
      <c r="C52" s="15" t="s">
        <v>115</v>
      </c>
      <c r="D52" s="200">
        <v>165.85</v>
      </c>
      <c r="E52" s="75">
        <v>177.01</v>
      </c>
    </row>
    <row r="53" spans="2:5" ht="13.5" customHeight="1" thickBot="1">
      <c r="B53" s="103" t="s">
        <v>9</v>
      </c>
      <c r="C53" s="17" t="s">
        <v>41</v>
      </c>
      <c r="D53" s="202">
        <v>164.91</v>
      </c>
      <c r="E53" s="280">
        <v>177.01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8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510691.57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510691.57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510691.57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510691.57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opLeftCell="A13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7"/>
      <c r="C4" s="147"/>
      <c r="D4" s="147"/>
      <c r="E4" s="147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264</v>
      </c>
      <c r="C6" s="353"/>
      <c r="D6" s="353"/>
      <c r="E6" s="353"/>
    </row>
    <row r="7" spans="2:7" ht="14.25">
      <c r="B7" s="213"/>
      <c r="C7" s="213"/>
      <c r="D7" s="213"/>
      <c r="E7" s="213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214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137500.97</v>
      </c>
      <c r="E11" s="228">
        <f>SUM(E12:E14)</f>
        <v>122546.98</v>
      </c>
    </row>
    <row r="12" spans="2:7">
      <c r="B12" s="173" t="s">
        <v>4</v>
      </c>
      <c r="C12" s="174" t="s">
        <v>5</v>
      </c>
      <c r="D12" s="241">
        <v>137500.97</v>
      </c>
      <c r="E12" s="245">
        <v>122546.98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137500.97</v>
      </c>
      <c r="E21" s="148">
        <f>E11-E17</f>
        <v>122546.98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14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121343.89</v>
      </c>
      <c r="E26" s="217">
        <f>D21</f>
        <v>137500.97</v>
      </c>
    </row>
    <row r="27" spans="2:6">
      <c r="B27" s="9" t="s">
        <v>17</v>
      </c>
      <c r="C27" s="10" t="s">
        <v>111</v>
      </c>
      <c r="D27" s="323">
        <v>-2084.37</v>
      </c>
      <c r="E27" s="274">
        <v>-20907.689999999999</v>
      </c>
      <c r="F27" s="71"/>
    </row>
    <row r="28" spans="2:6">
      <c r="B28" s="9" t="s">
        <v>18</v>
      </c>
      <c r="C28" s="10" t="s">
        <v>19</v>
      </c>
      <c r="D28" s="323"/>
      <c r="E28" s="275">
        <v>120868.37</v>
      </c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>
        <v>120868.37</v>
      </c>
      <c r="F31" s="71"/>
    </row>
    <row r="32" spans="2:6">
      <c r="B32" s="92" t="s">
        <v>23</v>
      </c>
      <c r="C32" s="11" t="s">
        <v>24</v>
      </c>
      <c r="D32" s="323">
        <v>2084.37</v>
      </c>
      <c r="E32" s="275">
        <v>141776.06</v>
      </c>
      <c r="F32" s="71"/>
    </row>
    <row r="33" spans="2:6">
      <c r="B33" s="181" t="s">
        <v>4</v>
      </c>
      <c r="C33" s="174" t="s">
        <v>25</v>
      </c>
      <c r="D33" s="324"/>
      <c r="E33" s="276">
        <v>140235.37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/>
      <c r="E35" s="276">
        <v>250.31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2084.37</v>
      </c>
      <c r="E37" s="276">
        <v>1290.3800000000001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/>
      <c r="F39" s="71"/>
    </row>
    <row r="40" spans="2:6" ht="13.5" thickBot="1">
      <c r="B40" s="97" t="s">
        <v>35</v>
      </c>
      <c r="C40" s="98" t="s">
        <v>36</v>
      </c>
      <c r="D40" s="326">
        <v>18241.45</v>
      </c>
      <c r="E40" s="279">
        <v>5953.7</v>
      </c>
    </row>
    <row r="41" spans="2:6" ht="13.5" thickBot="1">
      <c r="B41" s="99" t="s">
        <v>37</v>
      </c>
      <c r="C41" s="100" t="s">
        <v>38</v>
      </c>
      <c r="D41" s="327">
        <v>137500.97</v>
      </c>
      <c r="E41" s="148">
        <f>E26+E27+E40</f>
        <v>122546.98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8" customHeight="1" thickBot="1">
      <c r="B44" s="354" t="s">
        <v>121</v>
      </c>
      <c r="C44" s="358"/>
      <c r="D44" s="358"/>
      <c r="E44" s="358"/>
    </row>
    <row r="45" spans="2:6" ht="13.5" thickBot="1">
      <c r="B45" s="214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1164.5287000000001</v>
      </c>
      <c r="E47" s="73">
        <v>1146.0324000000001</v>
      </c>
    </row>
    <row r="48" spans="2:6">
      <c r="B48" s="123" t="s">
        <v>6</v>
      </c>
      <c r="C48" s="22" t="s">
        <v>41</v>
      </c>
      <c r="D48" s="200">
        <v>1146.0324000000001</v>
      </c>
      <c r="E48" s="149">
        <v>903.33910000000003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02" t="s">
        <v>4</v>
      </c>
      <c r="C50" s="15" t="s">
        <v>40</v>
      </c>
      <c r="D50" s="200">
        <v>104.2</v>
      </c>
      <c r="E50" s="75">
        <v>119.98</v>
      </c>
    </row>
    <row r="51" spans="2:5">
      <c r="B51" s="102" t="s">
        <v>6</v>
      </c>
      <c r="C51" s="15" t="s">
        <v>114</v>
      </c>
      <c r="D51" s="200">
        <v>103.42</v>
      </c>
      <c r="E51" s="75">
        <v>111.37</v>
      </c>
    </row>
    <row r="52" spans="2:5">
      <c r="B52" s="102" t="s">
        <v>8</v>
      </c>
      <c r="C52" s="15" t="s">
        <v>115</v>
      </c>
      <c r="D52" s="200">
        <v>119.98</v>
      </c>
      <c r="E52" s="75">
        <v>136.84</v>
      </c>
    </row>
    <row r="53" spans="2:5" ht="12.75" customHeight="1" thickBot="1">
      <c r="B53" s="103" t="s">
        <v>9</v>
      </c>
      <c r="C53" s="17" t="s">
        <v>41</v>
      </c>
      <c r="D53" s="202">
        <v>119.98</v>
      </c>
      <c r="E53" s="280">
        <v>135.66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8.7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122546.98</v>
      </c>
      <c r="E58" s="31">
        <v>0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3.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122546.98</v>
      </c>
      <c r="E64" s="81">
        <f>E58</f>
        <v>0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122546.98</v>
      </c>
      <c r="E74" s="66">
        <f>E58+E72-E73</f>
        <v>0</v>
      </c>
    </row>
    <row r="75" spans="2:5">
      <c r="B75" s="102" t="s">
        <v>4</v>
      </c>
      <c r="C75" s="15" t="s">
        <v>67</v>
      </c>
      <c r="D75" s="78">
        <f>D74</f>
        <v>122546.98</v>
      </c>
      <c r="E75" s="79">
        <f>E74</f>
        <v>0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9:E9"/>
    <mergeCell ref="B2:E2"/>
    <mergeCell ref="B3:E3"/>
    <mergeCell ref="B5:E5"/>
    <mergeCell ref="B6:E6"/>
    <mergeCell ref="B8:E8"/>
    <mergeCell ref="B56:E56"/>
    <mergeCell ref="B57:C57"/>
    <mergeCell ref="B21:C21"/>
    <mergeCell ref="B23:E23"/>
    <mergeCell ref="B24:E24"/>
    <mergeCell ref="B43:E43"/>
    <mergeCell ref="B44:E44"/>
    <mergeCell ref="B55:E55"/>
  </mergeCells>
  <pageMargins left="0.56999999999999995" right="0.75" top="0.61" bottom="0.49" header="0.5" footer="0.5"/>
  <pageSetup paperSize="9" scale="70" orientation="portrait" r:id="rId1"/>
  <headerFooter alignWithMargins="0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3"/>
  <dimension ref="A1:J49"/>
  <sheetViews>
    <sheetView zoomScale="80" zoomScaleNormal="80" workbookViewId="0">
      <selection activeCell="H5" sqref="H5"/>
    </sheetView>
  </sheetViews>
  <sheetFormatPr defaultRowHeight="12.75"/>
  <cols>
    <col min="3" max="3" width="13.85546875" customWidth="1"/>
    <col min="4" max="4" width="19" customWidth="1"/>
    <col min="5" max="5" width="18.5703125" customWidth="1"/>
    <col min="6" max="6" width="11.28515625" bestFit="1" customWidth="1"/>
    <col min="10" max="10" width="16.42578125" bestFit="1" customWidth="1"/>
  </cols>
  <sheetData>
    <row r="1" spans="1:6">
      <c r="A1" s="32"/>
      <c r="B1" s="33"/>
      <c r="C1" s="33" t="s">
        <v>92</v>
      </c>
      <c r="D1" s="34"/>
      <c r="E1" s="34"/>
      <c r="F1" s="34"/>
    </row>
    <row r="2" spans="1:6">
      <c r="A2" s="32"/>
      <c r="B2" s="33"/>
      <c r="C2" s="33" t="s">
        <v>93</v>
      </c>
      <c r="D2" s="34"/>
      <c r="E2" s="34"/>
      <c r="F2" s="34"/>
    </row>
    <row r="3" spans="1:6">
      <c r="A3" s="32"/>
      <c r="B3" s="33"/>
      <c r="C3" s="33" t="s">
        <v>94</v>
      </c>
      <c r="D3" s="34"/>
      <c r="E3" s="34"/>
      <c r="F3" s="34"/>
    </row>
    <row r="4" spans="1:6">
      <c r="A4" s="32"/>
      <c r="B4" s="33"/>
      <c r="C4" s="33" t="s">
        <v>95</v>
      </c>
      <c r="D4" s="34"/>
      <c r="E4" s="34"/>
      <c r="F4" s="34"/>
    </row>
    <row r="5" spans="1:6">
      <c r="A5" s="32"/>
      <c r="B5" s="33"/>
      <c r="C5" s="33" t="s">
        <v>270</v>
      </c>
      <c r="D5" s="34"/>
      <c r="E5" s="34"/>
      <c r="F5" s="34"/>
    </row>
    <row r="6" spans="1:6" ht="13.5" thickBot="1">
      <c r="A6" s="32"/>
      <c r="B6" s="33"/>
      <c r="C6" s="33"/>
      <c r="D6" s="34"/>
      <c r="E6" s="34"/>
      <c r="F6" s="34"/>
    </row>
    <row r="7" spans="1:6">
      <c r="A7" s="32"/>
      <c r="B7" s="35"/>
      <c r="C7" s="36"/>
      <c r="D7" s="37"/>
      <c r="E7" s="38"/>
      <c r="F7" s="39"/>
    </row>
    <row r="8" spans="1:6">
      <c r="A8" s="32"/>
      <c r="B8" s="40"/>
      <c r="C8" s="41"/>
      <c r="D8" s="42"/>
      <c r="E8" s="43"/>
      <c r="F8" s="39"/>
    </row>
    <row r="9" spans="1:6">
      <c r="A9" s="32"/>
      <c r="B9" s="40"/>
      <c r="C9" s="41"/>
      <c r="D9" s="259">
        <v>43830</v>
      </c>
      <c r="E9" s="260">
        <v>44196</v>
      </c>
      <c r="F9" s="39"/>
    </row>
    <row r="10" spans="1:6" ht="13.5" thickBot="1">
      <c r="A10" s="32"/>
      <c r="B10" s="44"/>
      <c r="C10" s="45"/>
      <c r="D10" s="46"/>
      <c r="E10" s="47"/>
      <c r="F10" s="39"/>
    </row>
    <row r="11" spans="1:6">
      <c r="A11" s="32"/>
      <c r="B11" s="40"/>
      <c r="C11" s="41"/>
      <c r="D11" s="42"/>
      <c r="E11" s="43"/>
      <c r="F11" s="155"/>
    </row>
    <row r="12" spans="1:6">
      <c r="A12" s="32"/>
      <c r="B12" s="40"/>
      <c r="C12" s="41"/>
      <c r="D12" s="48"/>
      <c r="E12" s="49"/>
      <c r="F12" s="155"/>
    </row>
    <row r="13" spans="1:6">
      <c r="A13" s="32"/>
      <c r="B13" s="50" t="s">
        <v>96</v>
      </c>
      <c r="C13" s="51"/>
      <c r="D13" s="52">
        <v>164218158.41999999</v>
      </c>
      <c r="E13" s="53">
        <v>156546648.74000001</v>
      </c>
      <c r="F13" s="155"/>
    </row>
    <row r="14" spans="1:6">
      <c r="A14" s="32"/>
      <c r="B14" s="50"/>
      <c r="C14" s="51"/>
      <c r="D14" s="54"/>
      <c r="E14" s="55"/>
      <c r="F14" s="155"/>
    </row>
    <row r="15" spans="1:6">
      <c r="A15" s="32"/>
      <c r="B15" s="50"/>
      <c r="C15" s="51"/>
      <c r="D15" s="54"/>
      <c r="E15" s="55"/>
      <c r="F15" s="39"/>
    </row>
    <row r="16" spans="1:6" ht="13.5" thickBot="1">
      <c r="A16" s="32"/>
      <c r="B16" s="50"/>
      <c r="C16" s="51"/>
      <c r="D16" s="54"/>
      <c r="E16" s="55"/>
      <c r="F16" s="39"/>
    </row>
    <row r="17" spans="1:10">
      <c r="A17" s="32"/>
      <c r="B17" s="56"/>
      <c r="C17" s="57"/>
      <c r="D17" s="58"/>
      <c r="E17" s="59"/>
      <c r="F17" s="32"/>
    </row>
    <row r="18" spans="1:10">
      <c r="A18" s="32"/>
      <c r="B18" s="50" t="s">
        <v>97</v>
      </c>
      <c r="C18" s="51"/>
      <c r="D18" s="72">
        <f>SUM('Fundusz Gwarantowany:Generali Z'!D35)</f>
        <v>22802426.699999996</v>
      </c>
      <c r="E18" s="72">
        <f>SUM('Fundusz Gwarantowany:Generali Z'!E35)</f>
        <v>22018976.649999991</v>
      </c>
      <c r="F18" s="32"/>
    </row>
    <row r="19" spans="1:10">
      <c r="A19" s="32"/>
      <c r="B19" s="50"/>
      <c r="C19" s="51"/>
      <c r="D19" s="54"/>
      <c r="E19" s="55"/>
      <c r="F19" s="32"/>
    </row>
    <row r="20" spans="1:10" ht="13.5" thickBot="1">
      <c r="A20" s="32"/>
      <c r="B20" s="60"/>
      <c r="C20" s="61"/>
      <c r="D20" s="62"/>
      <c r="E20" s="63"/>
      <c r="F20" s="32"/>
      <c r="G20" s="71"/>
      <c r="H20" s="71"/>
      <c r="I20" s="71"/>
      <c r="J20" s="250"/>
    </row>
    <row r="21" spans="1:10">
      <c r="A21" s="32"/>
      <c r="B21" s="50"/>
      <c r="C21" s="51"/>
      <c r="D21" s="54"/>
      <c r="E21" s="55"/>
      <c r="F21" s="32"/>
      <c r="G21" s="71"/>
      <c r="H21" s="71"/>
      <c r="I21" s="71"/>
      <c r="J21" s="250"/>
    </row>
    <row r="22" spans="1:10">
      <c r="A22" s="32"/>
      <c r="B22" s="50"/>
      <c r="C22" s="51"/>
      <c r="D22" s="54"/>
      <c r="E22" s="55"/>
      <c r="F22" s="32"/>
      <c r="G22" s="71"/>
      <c r="H22" s="71"/>
      <c r="I22" s="71"/>
      <c r="J22" s="250"/>
    </row>
    <row r="23" spans="1:10">
      <c r="A23" s="32"/>
      <c r="B23" s="50" t="s">
        <v>98</v>
      </c>
      <c r="C23" s="51"/>
      <c r="D23" s="54">
        <f>D13-D18</f>
        <v>141415731.72</v>
      </c>
      <c r="E23" s="55">
        <f>E13-E18</f>
        <v>134527672.09000003</v>
      </c>
      <c r="F23" s="32"/>
      <c r="G23" s="71"/>
      <c r="H23" s="71"/>
      <c r="I23" s="71"/>
      <c r="J23" s="250"/>
    </row>
    <row r="24" spans="1:10">
      <c r="A24" s="32"/>
      <c r="B24" s="40"/>
      <c r="C24" s="41"/>
      <c r="D24" s="48"/>
      <c r="E24" s="49"/>
      <c r="F24" s="32"/>
      <c r="G24" s="71"/>
      <c r="H24" s="71"/>
      <c r="I24" s="71"/>
      <c r="J24" s="250"/>
    </row>
    <row r="25" spans="1:10">
      <c r="A25" s="32"/>
      <c r="B25" s="40"/>
      <c r="C25" s="41"/>
      <c r="D25" s="48"/>
      <c r="E25" s="49"/>
      <c r="F25" s="32"/>
      <c r="G25" s="71"/>
      <c r="H25" s="71"/>
      <c r="I25" s="71"/>
      <c r="J25" s="71"/>
    </row>
    <row r="26" spans="1:10" ht="13.5" thickBot="1">
      <c r="A26" s="32"/>
      <c r="B26" s="44"/>
      <c r="C26" s="45"/>
      <c r="D26" s="64"/>
      <c r="E26" s="65"/>
      <c r="F26" s="32"/>
    </row>
    <row r="28" spans="1:10">
      <c r="E28" s="67"/>
    </row>
    <row r="30" spans="1:10">
      <c r="D30" s="71"/>
      <c r="E30" s="71"/>
    </row>
    <row r="31" spans="1:10">
      <c r="D31" s="71"/>
      <c r="E31" s="71"/>
    </row>
    <row r="32" spans="1:10">
      <c r="D32" s="71"/>
      <c r="E32" s="71"/>
    </row>
    <row r="33" spans="4:5">
      <c r="D33" s="71"/>
      <c r="E33" s="71"/>
    </row>
    <row r="34" spans="4:5">
      <c r="D34" s="71"/>
      <c r="E34" s="71"/>
    </row>
    <row r="35" spans="4:5">
      <c r="D35" s="71"/>
      <c r="E35" s="71"/>
    </row>
    <row r="38" spans="4:5">
      <c r="E38" s="71"/>
    </row>
    <row r="39" spans="4:5">
      <c r="E39" s="71"/>
    </row>
    <row r="40" spans="4:5">
      <c r="E40" s="71"/>
    </row>
    <row r="41" spans="4:5">
      <c r="E41" s="71"/>
    </row>
    <row r="42" spans="4:5">
      <c r="E42" s="71"/>
    </row>
    <row r="43" spans="4:5">
      <c r="E43" s="71"/>
    </row>
    <row r="44" spans="4:5">
      <c r="E44" s="71"/>
    </row>
    <row r="45" spans="4:5">
      <c r="D45" s="71"/>
      <c r="E45" s="71"/>
    </row>
    <row r="46" spans="4:5">
      <c r="E46" s="71"/>
    </row>
    <row r="48" spans="4:5">
      <c r="E48" s="71"/>
    </row>
    <row r="49" spans="5:5">
      <c r="E49" s="71"/>
    </row>
  </sheetData>
  <phoneticPr fontId="10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L81"/>
  <sheetViews>
    <sheetView zoomScale="80" zoomScaleNormal="80" workbookViewId="0">
      <selection activeCell="G16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85"/>
      <c r="C4" s="85"/>
      <c r="D4" s="85"/>
      <c r="E4" s="85"/>
    </row>
    <row r="5" spans="2:7" ht="21" customHeight="1">
      <c r="B5" s="352" t="s">
        <v>125</v>
      </c>
      <c r="C5" s="352"/>
      <c r="D5" s="352"/>
      <c r="E5" s="352"/>
    </row>
    <row r="6" spans="2:7" ht="14.25">
      <c r="B6" s="353" t="s">
        <v>142</v>
      </c>
      <c r="C6" s="353"/>
      <c r="D6" s="353"/>
      <c r="E6" s="353"/>
    </row>
    <row r="7" spans="2:7" ht="14.25">
      <c r="B7" s="89"/>
      <c r="C7" s="89"/>
      <c r="D7" s="89"/>
      <c r="E7" s="89"/>
    </row>
    <row r="8" spans="2:7" ht="13.5">
      <c r="B8" s="355" t="s">
        <v>126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86"/>
      <c r="C10" s="76" t="s">
        <v>2</v>
      </c>
      <c r="D10" s="70" t="s">
        <v>245</v>
      </c>
      <c r="E10" s="255" t="s">
        <v>265</v>
      </c>
    </row>
    <row r="11" spans="2:7">
      <c r="B11" s="90" t="s">
        <v>127</v>
      </c>
      <c r="C11" s="128" t="s">
        <v>109</v>
      </c>
      <c r="D11" s="227">
        <v>17084307.850000001</v>
      </c>
      <c r="E11" s="228">
        <f>SUM(E12:E14)</f>
        <v>17740206.459999997</v>
      </c>
    </row>
    <row r="12" spans="2:7">
      <c r="B12" s="106">
        <v>1</v>
      </c>
      <c r="C12" s="6" t="s">
        <v>5</v>
      </c>
      <c r="D12" s="241">
        <v>17067102.760000002</v>
      </c>
      <c r="E12" s="245">
        <f>17299323.24+468212.15-36853.61</f>
        <v>17730681.779999997</v>
      </c>
    </row>
    <row r="13" spans="2:7">
      <c r="B13" s="106">
        <v>2</v>
      </c>
      <c r="C13" s="68" t="s">
        <v>7</v>
      </c>
      <c r="D13" s="237">
        <v>4.26</v>
      </c>
      <c r="E13" s="246"/>
    </row>
    <row r="14" spans="2:7">
      <c r="B14" s="106">
        <v>3</v>
      </c>
      <c r="C14" s="68" t="s">
        <v>10</v>
      </c>
      <c r="D14" s="237">
        <v>17200.830000000002</v>
      </c>
      <c r="E14" s="246">
        <f>E15</f>
        <v>9524.68</v>
      </c>
    </row>
    <row r="15" spans="2:7">
      <c r="B15" s="106">
        <v>31</v>
      </c>
      <c r="C15" s="68" t="s">
        <v>11</v>
      </c>
      <c r="D15" s="237">
        <v>17200.830000000002</v>
      </c>
      <c r="E15" s="246">
        <v>9524.68</v>
      </c>
    </row>
    <row r="16" spans="2:7">
      <c r="B16" s="107">
        <v>32</v>
      </c>
      <c r="C16" s="91" t="s">
        <v>12</v>
      </c>
      <c r="D16" s="239"/>
      <c r="E16" s="247"/>
    </row>
    <row r="17" spans="2:12">
      <c r="B17" s="9" t="s">
        <v>128</v>
      </c>
      <c r="C17" s="11" t="s">
        <v>65</v>
      </c>
      <c r="D17" s="240">
        <v>21282.9</v>
      </c>
      <c r="E17" s="248">
        <f>E18</f>
        <v>59201.29</v>
      </c>
    </row>
    <row r="18" spans="2:12">
      <c r="B18" s="106">
        <v>1</v>
      </c>
      <c r="C18" s="6" t="s">
        <v>11</v>
      </c>
      <c r="D18" s="239">
        <v>21282.9</v>
      </c>
      <c r="E18" s="247">
        <v>59201.29</v>
      </c>
    </row>
    <row r="19" spans="2:12" ht="15" customHeight="1">
      <c r="B19" s="106">
        <v>2</v>
      </c>
      <c r="C19" s="68" t="s">
        <v>108</v>
      </c>
      <c r="D19" s="237"/>
      <c r="E19" s="246"/>
    </row>
    <row r="20" spans="2:12" ht="13.5" thickBot="1">
      <c r="B20" s="108">
        <v>3</v>
      </c>
      <c r="C20" s="69" t="s">
        <v>14</v>
      </c>
      <c r="D20" s="229"/>
      <c r="E20" s="230"/>
    </row>
    <row r="21" spans="2:12" ht="13.5" thickBot="1">
      <c r="B21" s="361" t="s">
        <v>129</v>
      </c>
      <c r="C21" s="362"/>
      <c r="D21" s="231">
        <v>17063024.950000003</v>
      </c>
      <c r="E21" s="148">
        <f>E11-E17</f>
        <v>17681005.169999998</v>
      </c>
      <c r="F21" s="77"/>
    </row>
    <row r="22" spans="2:12">
      <c r="B22" s="3"/>
      <c r="C22" s="7"/>
      <c r="D22" s="8"/>
      <c r="E22" s="299"/>
      <c r="L22" s="172"/>
    </row>
    <row r="23" spans="2:12" ht="13.5">
      <c r="B23" s="355" t="s">
        <v>130</v>
      </c>
      <c r="C23" s="363"/>
      <c r="D23" s="363"/>
      <c r="E23" s="363"/>
    </row>
    <row r="24" spans="2:12" ht="15.75" customHeight="1" thickBot="1">
      <c r="B24" s="354" t="s">
        <v>105</v>
      </c>
      <c r="C24" s="364"/>
      <c r="D24" s="364"/>
      <c r="E24" s="364"/>
    </row>
    <row r="25" spans="2:12" ht="13.5" thickBot="1">
      <c r="B25" s="86"/>
      <c r="C25" s="5" t="s">
        <v>2</v>
      </c>
      <c r="D25" s="70" t="s">
        <v>245</v>
      </c>
      <c r="E25" s="255" t="s">
        <v>265</v>
      </c>
    </row>
    <row r="26" spans="2:12">
      <c r="B26" s="95" t="s">
        <v>131</v>
      </c>
      <c r="C26" s="96" t="s">
        <v>16</v>
      </c>
      <c r="D26" s="339">
        <v>20425166.469999999</v>
      </c>
      <c r="E26" s="217">
        <f>D21</f>
        <v>17063024.950000003</v>
      </c>
    </row>
    <row r="27" spans="2:12">
      <c r="B27" s="9" t="s">
        <v>132</v>
      </c>
      <c r="C27" s="10" t="s">
        <v>111</v>
      </c>
      <c r="D27" s="340">
        <v>-4247793.0599999949</v>
      </c>
      <c r="E27" s="274">
        <f>E28-E32</f>
        <v>-1510628.4500000004</v>
      </c>
      <c r="F27" s="71"/>
    </row>
    <row r="28" spans="2:12">
      <c r="B28" s="9" t="s">
        <v>126</v>
      </c>
      <c r="C28" s="10" t="s">
        <v>19</v>
      </c>
      <c r="D28" s="340">
        <v>1205511.32</v>
      </c>
      <c r="E28" s="275">
        <v>1183744.8</v>
      </c>
      <c r="F28" s="71"/>
    </row>
    <row r="29" spans="2:12">
      <c r="B29" s="104">
        <v>1</v>
      </c>
      <c r="C29" s="6" t="s">
        <v>20</v>
      </c>
      <c r="D29" s="241">
        <v>1199939.19</v>
      </c>
      <c r="E29" s="276">
        <v>1131390.7</v>
      </c>
      <c r="F29" s="71"/>
    </row>
    <row r="30" spans="2:12">
      <c r="B30" s="104">
        <v>2</v>
      </c>
      <c r="C30" s="6" t="s">
        <v>21</v>
      </c>
      <c r="D30" s="241"/>
      <c r="E30" s="276"/>
      <c r="F30" s="71"/>
    </row>
    <row r="31" spans="2:12">
      <c r="B31" s="104">
        <v>3</v>
      </c>
      <c r="C31" s="6" t="s">
        <v>22</v>
      </c>
      <c r="D31" s="241">
        <v>5572.13</v>
      </c>
      <c r="E31" s="276">
        <v>52354.1</v>
      </c>
      <c r="F31" s="71"/>
    </row>
    <row r="32" spans="2:12">
      <c r="B32" s="92" t="s">
        <v>133</v>
      </c>
      <c r="C32" s="11" t="s">
        <v>24</v>
      </c>
      <c r="D32" s="340">
        <v>5453304.3799999952</v>
      </c>
      <c r="E32" s="275">
        <f>SUM(E33:E39)</f>
        <v>2694373.2500000005</v>
      </c>
      <c r="F32" s="71"/>
    </row>
    <row r="33" spans="2:6">
      <c r="B33" s="104">
        <v>1</v>
      </c>
      <c r="C33" s="6" t="s">
        <v>25</v>
      </c>
      <c r="D33" s="241">
        <v>4593974.3199999994</v>
      </c>
      <c r="E33" s="276">
        <f>2261033.69-38608.8</f>
        <v>2222424.89</v>
      </c>
      <c r="F33" s="71"/>
    </row>
    <row r="34" spans="2:6">
      <c r="B34" s="104">
        <v>2</v>
      </c>
      <c r="C34" s="6" t="s">
        <v>26</v>
      </c>
      <c r="D34" s="241"/>
      <c r="E34" s="276"/>
      <c r="F34" s="71"/>
    </row>
    <row r="35" spans="2:6">
      <c r="B35" s="104">
        <v>3</v>
      </c>
      <c r="C35" s="6" t="s">
        <v>27</v>
      </c>
      <c r="D35" s="241">
        <v>129720.43000000001</v>
      </c>
      <c r="E35" s="276">
        <v>117337.72</v>
      </c>
      <c r="F35" s="71"/>
    </row>
    <row r="36" spans="2:6">
      <c r="B36" s="104">
        <v>4</v>
      </c>
      <c r="C36" s="6" t="s">
        <v>28</v>
      </c>
      <c r="D36" s="241"/>
      <c r="E36" s="276"/>
      <c r="F36" s="71"/>
    </row>
    <row r="37" spans="2:6" ht="25.5">
      <c r="B37" s="104">
        <v>5</v>
      </c>
      <c r="C37" s="6" t="s">
        <v>30</v>
      </c>
      <c r="D37" s="241">
        <v>300329.3</v>
      </c>
      <c r="E37" s="276">
        <v>256452.81</v>
      </c>
      <c r="F37" s="71"/>
    </row>
    <row r="38" spans="2:6">
      <c r="B38" s="104">
        <v>6</v>
      </c>
      <c r="C38" s="6" t="s">
        <v>32</v>
      </c>
      <c r="D38" s="241"/>
      <c r="E38" s="276"/>
      <c r="F38" s="71"/>
    </row>
    <row r="39" spans="2:6">
      <c r="B39" s="105">
        <v>7</v>
      </c>
      <c r="C39" s="12" t="s">
        <v>34</v>
      </c>
      <c r="D39" s="341">
        <v>429280.32999999629</v>
      </c>
      <c r="E39" s="277">
        <v>98157.83</v>
      </c>
      <c r="F39" s="71"/>
    </row>
    <row r="40" spans="2:6" ht="13.5" thickBot="1">
      <c r="B40" s="97" t="s">
        <v>134</v>
      </c>
      <c r="C40" s="98" t="s">
        <v>36</v>
      </c>
      <c r="D40" s="342">
        <v>885651.54</v>
      </c>
      <c r="E40" s="279">
        <v>2128608.67</v>
      </c>
    </row>
    <row r="41" spans="2:6" ht="13.5" thickBot="1">
      <c r="B41" s="99" t="s">
        <v>135</v>
      </c>
      <c r="C41" s="100" t="s">
        <v>38</v>
      </c>
      <c r="D41" s="231">
        <v>17063024.950000003</v>
      </c>
      <c r="E41" s="148">
        <f>E26+E27+E40</f>
        <v>17681005.170000002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136</v>
      </c>
      <c r="C43" s="357"/>
      <c r="D43" s="357"/>
      <c r="E43" s="357"/>
    </row>
    <row r="44" spans="2:6" ht="18" customHeight="1" thickBot="1">
      <c r="B44" s="354" t="s">
        <v>121</v>
      </c>
      <c r="C44" s="358"/>
      <c r="D44" s="358"/>
      <c r="E44" s="358"/>
    </row>
    <row r="45" spans="2:6" ht="13.5" thickBot="1">
      <c r="B45" s="86"/>
      <c r="C45" s="29" t="s">
        <v>39</v>
      </c>
      <c r="D45" s="70" t="s">
        <v>245</v>
      </c>
      <c r="E45" s="255" t="s">
        <v>265</v>
      </c>
    </row>
    <row r="46" spans="2:6">
      <c r="B46" s="13" t="s">
        <v>126</v>
      </c>
      <c r="C46" s="30" t="s">
        <v>112</v>
      </c>
      <c r="D46" s="101"/>
      <c r="E46" s="28"/>
    </row>
    <row r="47" spans="2:6">
      <c r="B47" s="102">
        <v>1</v>
      </c>
      <c r="C47" s="15" t="s">
        <v>40</v>
      </c>
      <c r="D47" s="328">
        <v>155682.65416000001</v>
      </c>
      <c r="E47" s="73">
        <v>124326.6963</v>
      </c>
    </row>
    <row r="48" spans="2:6">
      <c r="B48" s="123">
        <v>2</v>
      </c>
      <c r="C48" s="22" t="s">
        <v>41</v>
      </c>
      <c r="D48" s="328">
        <v>124326.6963</v>
      </c>
      <c r="E48" s="330">
        <v>113872.3907</v>
      </c>
    </row>
    <row r="49" spans="2:5">
      <c r="B49" s="120" t="s">
        <v>133</v>
      </c>
      <c r="C49" s="124" t="s">
        <v>113</v>
      </c>
      <c r="D49" s="331"/>
      <c r="E49" s="125"/>
    </row>
    <row r="50" spans="2:5">
      <c r="B50" s="102">
        <v>1</v>
      </c>
      <c r="C50" s="15" t="s">
        <v>40</v>
      </c>
      <c r="D50" s="328">
        <v>131.197445090125</v>
      </c>
      <c r="E50" s="73">
        <v>137.24350000000001</v>
      </c>
    </row>
    <row r="51" spans="2:5">
      <c r="B51" s="102">
        <v>2</v>
      </c>
      <c r="C51" s="15" t="s">
        <v>114</v>
      </c>
      <c r="D51" s="328">
        <v>131.1311</v>
      </c>
      <c r="E51" s="297">
        <v>120.5645</v>
      </c>
    </row>
    <row r="52" spans="2:5" ht="12.75" customHeight="1">
      <c r="B52" s="102">
        <v>3</v>
      </c>
      <c r="C52" s="15" t="s">
        <v>115</v>
      </c>
      <c r="D52" s="328">
        <v>137.54490000000001</v>
      </c>
      <c r="E52" s="297">
        <v>155.4855</v>
      </c>
    </row>
    <row r="53" spans="2:5" ht="13.5" thickBot="1">
      <c r="B53" s="103">
        <v>4</v>
      </c>
      <c r="C53" s="17" t="s">
        <v>41</v>
      </c>
      <c r="D53" s="202">
        <v>137.24350000000001</v>
      </c>
      <c r="E53" s="280">
        <v>155.27030000000002</v>
      </c>
    </row>
    <row r="54" spans="2:5">
      <c r="B54" s="109"/>
      <c r="C54" s="110"/>
      <c r="D54" s="111"/>
      <c r="E54" s="111"/>
    </row>
    <row r="55" spans="2:5" ht="13.5">
      <c r="B55" s="356" t="s">
        <v>137</v>
      </c>
      <c r="C55" s="357"/>
      <c r="D55" s="357"/>
      <c r="E55" s="357"/>
    </row>
    <row r="56" spans="2:5" ht="17.2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126</v>
      </c>
      <c r="C58" s="126" t="s">
        <v>43</v>
      </c>
      <c r="D58" s="127">
        <f>SUM(D59:D70)</f>
        <v>17730681.779999997</v>
      </c>
      <c r="E58" s="31">
        <f>D58/E21</f>
        <v>1.002809603273251</v>
      </c>
    </row>
    <row r="59" spans="2:5" ht="25.5">
      <c r="B59" s="21">
        <v>1</v>
      </c>
      <c r="C59" s="22" t="s">
        <v>44</v>
      </c>
      <c r="D59" s="80">
        <v>0</v>
      </c>
      <c r="E59" s="81">
        <v>0</v>
      </c>
    </row>
    <row r="60" spans="2:5" ht="24" customHeight="1">
      <c r="B60" s="14">
        <v>2</v>
      </c>
      <c r="C60" s="15" t="s">
        <v>45</v>
      </c>
      <c r="D60" s="78">
        <v>0</v>
      </c>
      <c r="E60" s="79">
        <v>0</v>
      </c>
    </row>
    <row r="61" spans="2:5">
      <c r="B61" s="14">
        <v>3</v>
      </c>
      <c r="C61" s="15" t="s">
        <v>46</v>
      </c>
      <c r="D61" s="78">
        <v>0</v>
      </c>
      <c r="E61" s="79">
        <v>0</v>
      </c>
    </row>
    <row r="62" spans="2:5">
      <c r="B62" s="14">
        <v>4</v>
      </c>
      <c r="C62" s="15" t="s">
        <v>47</v>
      </c>
      <c r="D62" s="78">
        <v>0</v>
      </c>
      <c r="E62" s="79">
        <v>0</v>
      </c>
    </row>
    <row r="63" spans="2:5">
      <c r="B63" s="14">
        <v>5</v>
      </c>
      <c r="C63" s="15" t="s">
        <v>48</v>
      </c>
      <c r="D63" s="78">
        <v>0</v>
      </c>
      <c r="E63" s="79">
        <v>0</v>
      </c>
    </row>
    <row r="64" spans="2:5">
      <c r="B64" s="21">
        <v>6</v>
      </c>
      <c r="C64" s="22" t="s">
        <v>49</v>
      </c>
      <c r="D64" s="234">
        <v>17262469.629999999</v>
      </c>
      <c r="E64" s="81">
        <f>D64/E21</f>
        <v>0.97632852114595026</v>
      </c>
    </row>
    <row r="65" spans="2:5">
      <c r="B65" s="21">
        <v>7</v>
      </c>
      <c r="C65" s="22" t="s">
        <v>118</v>
      </c>
      <c r="D65" s="80">
        <v>0</v>
      </c>
      <c r="E65" s="81">
        <v>0</v>
      </c>
    </row>
    <row r="66" spans="2:5">
      <c r="B66" s="21">
        <v>8</v>
      </c>
      <c r="C66" s="22" t="s">
        <v>51</v>
      </c>
      <c r="D66" s="80">
        <v>0</v>
      </c>
      <c r="E66" s="81">
        <v>0</v>
      </c>
    </row>
    <row r="67" spans="2:5">
      <c r="B67" s="14">
        <v>9</v>
      </c>
      <c r="C67" s="15" t="s">
        <v>53</v>
      </c>
      <c r="D67" s="78">
        <v>0</v>
      </c>
      <c r="E67" s="79">
        <v>0</v>
      </c>
    </row>
    <row r="68" spans="2:5">
      <c r="B68" s="14">
        <v>10</v>
      </c>
      <c r="C68" s="15" t="s">
        <v>55</v>
      </c>
      <c r="D68" s="78">
        <v>0</v>
      </c>
      <c r="E68" s="79">
        <v>0</v>
      </c>
    </row>
    <row r="69" spans="2:5">
      <c r="B69" s="14">
        <v>11</v>
      </c>
      <c r="C69" s="15" t="s">
        <v>57</v>
      </c>
      <c r="D69" s="302">
        <v>468212.15</v>
      </c>
      <c r="E69" s="79">
        <f>D69/E21</f>
        <v>2.6481082127300801E-2</v>
      </c>
    </row>
    <row r="70" spans="2:5">
      <c r="B70" s="112">
        <v>12</v>
      </c>
      <c r="C70" s="113" t="s">
        <v>59</v>
      </c>
      <c r="D70" s="114">
        <v>0</v>
      </c>
      <c r="E70" s="115">
        <v>0</v>
      </c>
    </row>
    <row r="71" spans="2:5">
      <c r="B71" s="120" t="s">
        <v>133</v>
      </c>
      <c r="C71" s="121" t="s">
        <v>61</v>
      </c>
      <c r="D71" s="122">
        <f>E13</f>
        <v>0</v>
      </c>
      <c r="E71" s="66">
        <f>D71/E21</f>
        <v>0</v>
      </c>
    </row>
    <row r="72" spans="2:5">
      <c r="B72" s="116" t="s">
        <v>136</v>
      </c>
      <c r="C72" s="117" t="s">
        <v>63</v>
      </c>
      <c r="D72" s="118">
        <f>E14</f>
        <v>9524.68</v>
      </c>
      <c r="E72" s="119">
        <f>D72/E21</f>
        <v>5.3869561760893942E-4</v>
      </c>
    </row>
    <row r="73" spans="2:5">
      <c r="B73" s="23" t="s">
        <v>137</v>
      </c>
      <c r="C73" s="24" t="s">
        <v>65</v>
      </c>
      <c r="D73" s="25">
        <f>E17</f>
        <v>59201.29</v>
      </c>
      <c r="E73" s="26">
        <f>D73/E21</f>
        <v>3.3482988908599479E-3</v>
      </c>
    </row>
    <row r="74" spans="2:5">
      <c r="B74" s="120" t="s">
        <v>138</v>
      </c>
      <c r="C74" s="121" t="s">
        <v>66</v>
      </c>
      <c r="D74" s="122">
        <f>D58+D71+D72-D73</f>
        <v>17681005.169999998</v>
      </c>
      <c r="E74" s="66">
        <f>E58+E72-E73</f>
        <v>1</v>
      </c>
    </row>
    <row r="75" spans="2:5">
      <c r="B75" s="14">
        <v>1</v>
      </c>
      <c r="C75" s="15" t="s">
        <v>67</v>
      </c>
      <c r="D75" s="78">
        <f>D74</f>
        <v>17681005.169999998</v>
      </c>
      <c r="E75" s="79">
        <f>E74</f>
        <v>1</v>
      </c>
    </row>
    <row r="76" spans="2:5">
      <c r="B76" s="14">
        <v>2</v>
      </c>
      <c r="C76" s="15" t="s">
        <v>119</v>
      </c>
      <c r="D76" s="78">
        <v>0</v>
      </c>
      <c r="E76" s="79">
        <v>0</v>
      </c>
    </row>
    <row r="77" spans="2:5" ht="13.5" thickBot="1">
      <c r="B77" s="16">
        <v>3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1.03" right="0.75" top="0.6" bottom="0.19" header="0.5" footer="0.5"/>
  <pageSetup paperSize="9" scale="7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H81"/>
  <sheetViews>
    <sheetView zoomScale="80" zoomScaleNormal="80" workbookViewId="0">
      <selection activeCell="G16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87"/>
      <c r="C4" s="87"/>
      <c r="D4" s="87"/>
      <c r="E4" s="87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143</v>
      </c>
      <c r="C6" s="353"/>
      <c r="D6" s="353"/>
      <c r="E6" s="353"/>
    </row>
    <row r="7" spans="2:7" ht="14.25">
      <c r="B7" s="89"/>
      <c r="C7" s="89"/>
      <c r="D7" s="89"/>
      <c r="E7" s="8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88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13513088.439999999</v>
      </c>
      <c r="E11" s="228">
        <f>SUM(E12:E14)</f>
        <v>11649196.120000001</v>
      </c>
    </row>
    <row r="12" spans="2:7">
      <c r="B12" s="106" t="s">
        <v>4</v>
      </c>
      <c r="C12" s="6" t="s">
        <v>5</v>
      </c>
      <c r="D12" s="241">
        <v>13513015.959999999</v>
      </c>
      <c r="E12" s="245">
        <f>10976195.56+673000.56</f>
        <v>11649196.120000001</v>
      </c>
    </row>
    <row r="13" spans="2:7">
      <c r="B13" s="106" t="s">
        <v>6</v>
      </c>
      <c r="C13" s="68" t="s">
        <v>7</v>
      </c>
      <c r="D13" s="237"/>
      <c r="E13" s="246"/>
    </row>
    <row r="14" spans="2:7">
      <c r="B14" s="106" t="s">
        <v>8</v>
      </c>
      <c r="C14" s="68" t="s">
        <v>10</v>
      </c>
      <c r="D14" s="237">
        <v>72.48</v>
      </c>
      <c r="E14" s="246"/>
    </row>
    <row r="15" spans="2:7">
      <c r="B15" s="106" t="s">
        <v>106</v>
      </c>
      <c r="C15" s="68" t="s">
        <v>11</v>
      </c>
      <c r="D15" s="237">
        <v>72.48</v>
      </c>
      <c r="E15" s="246"/>
    </row>
    <row r="16" spans="2:7">
      <c r="B16" s="107" t="s">
        <v>107</v>
      </c>
      <c r="C16" s="91" t="s">
        <v>12</v>
      </c>
      <c r="D16" s="239"/>
      <c r="E16" s="247"/>
    </row>
    <row r="17" spans="2:8">
      <c r="B17" s="9" t="s">
        <v>13</v>
      </c>
      <c r="C17" s="11" t="s">
        <v>65</v>
      </c>
      <c r="D17" s="240">
        <v>641551.92000000004</v>
      </c>
      <c r="E17" s="248">
        <f>E18</f>
        <v>375.22</v>
      </c>
    </row>
    <row r="18" spans="2:8">
      <c r="B18" s="106" t="s">
        <v>4</v>
      </c>
      <c r="C18" s="6" t="s">
        <v>11</v>
      </c>
      <c r="D18" s="239">
        <v>641551.92000000004</v>
      </c>
      <c r="E18" s="247">
        <v>375.22</v>
      </c>
    </row>
    <row r="19" spans="2:8" ht="15" customHeight="1">
      <c r="B19" s="106" t="s">
        <v>6</v>
      </c>
      <c r="C19" s="68" t="s">
        <v>108</v>
      </c>
      <c r="D19" s="237"/>
      <c r="E19" s="246"/>
    </row>
    <row r="20" spans="2:8" ht="13.5" thickBot="1">
      <c r="B20" s="108" t="s">
        <v>8</v>
      </c>
      <c r="C20" s="69" t="s">
        <v>14</v>
      </c>
      <c r="D20" s="229"/>
      <c r="E20" s="230"/>
    </row>
    <row r="21" spans="2:8" ht="13.5" thickBot="1">
      <c r="B21" s="361" t="s">
        <v>110</v>
      </c>
      <c r="C21" s="362"/>
      <c r="D21" s="231">
        <v>12871536.52</v>
      </c>
      <c r="E21" s="148">
        <f>E11-E17</f>
        <v>11648820.9</v>
      </c>
      <c r="F21" s="77"/>
      <c r="H21" s="172"/>
    </row>
    <row r="22" spans="2:8">
      <c r="B22" s="3"/>
      <c r="C22" s="7"/>
      <c r="D22" s="8"/>
      <c r="E22" s="8"/>
    </row>
    <row r="23" spans="2:8" ht="13.5">
      <c r="B23" s="355" t="s">
        <v>104</v>
      </c>
      <c r="C23" s="363"/>
      <c r="D23" s="363"/>
      <c r="E23" s="363"/>
    </row>
    <row r="24" spans="2:8" ht="15.75" customHeight="1" thickBot="1">
      <c r="B24" s="354" t="s">
        <v>105</v>
      </c>
      <c r="C24" s="364"/>
      <c r="D24" s="364"/>
      <c r="E24" s="364"/>
    </row>
    <row r="25" spans="2:8" ht="13.5" thickBot="1">
      <c r="B25" s="88"/>
      <c r="C25" s="5" t="s">
        <v>2</v>
      </c>
      <c r="D25" s="70" t="s">
        <v>245</v>
      </c>
      <c r="E25" s="255" t="s">
        <v>265</v>
      </c>
    </row>
    <row r="26" spans="2:8">
      <c r="B26" s="95" t="s">
        <v>15</v>
      </c>
      <c r="C26" s="96" t="s">
        <v>16</v>
      </c>
      <c r="D26" s="322">
        <v>22444889.860000003</v>
      </c>
      <c r="E26" s="217">
        <f>D21</f>
        <v>12871536.52</v>
      </c>
    </row>
    <row r="27" spans="2:8">
      <c r="B27" s="9" t="s">
        <v>17</v>
      </c>
      <c r="C27" s="10" t="s">
        <v>111</v>
      </c>
      <c r="D27" s="323">
        <v>-14167223.42</v>
      </c>
      <c r="E27" s="274">
        <v>-2925572.42</v>
      </c>
      <c r="F27" s="71"/>
    </row>
    <row r="28" spans="2:8">
      <c r="B28" s="9" t="s">
        <v>18</v>
      </c>
      <c r="C28" s="10" t="s">
        <v>19</v>
      </c>
      <c r="D28" s="323">
        <v>454712.88</v>
      </c>
      <c r="E28" s="275">
        <v>83749.69</v>
      </c>
      <c r="F28" s="71"/>
    </row>
    <row r="29" spans="2:8">
      <c r="B29" s="104" t="s">
        <v>4</v>
      </c>
      <c r="C29" s="6" t="s">
        <v>20</v>
      </c>
      <c r="D29" s="324"/>
      <c r="E29" s="276"/>
      <c r="F29" s="71"/>
    </row>
    <row r="30" spans="2:8">
      <c r="B30" s="104" t="s">
        <v>6</v>
      </c>
      <c r="C30" s="6" t="s">
        <v>21</v>
      </c>
      <c r="D30" s="324"/>
      <c r="E30" s="276"/>
      <c r="F30" s="71"/>
    </row>
    <row r="31" spans="2:8">
      <c r="B31" s="104" t="s">
        <v>8</v>
      </c>
      <c r="C31" s="6" t="s">
        <v>22</v>
      </c>
      <c r="D31" s="324">
        <v>454712.88</v>
      </c>
      <c r="E31" s="276">
        <v>83749.69</v>
      </c>
      <c r="F31" s="71"/>
    </row>
    <row r="32" spans="2:8">
      <c r="B32" s="92" t="s">
        <v>23</v>
      </c>
      <c r="C32" s="11" t="s">
        <v>24</v>
      </c>
      <c r="D32" s="323">
        <v>14621936.300000001</v>
      </c>
      <c r="E32" s="275">
        <v>3009322.11</v>
      </c>
      <c r="F32" s="71"/>
    </row>
    <row r="33" spans="2:6">
      <c r="B33" s="104" t="s">
        <v>4</v>
      </c>
      <c r="C33" s="6" t="s">
        <v>25</v>
      </c>
      <c r="D33" s="324">
        <v>13763899.140000001</v>
      </c>
      <c r="E33" s="276">
        <v>2677894</v>
      </c>
      <c r="F33" s="71"/>
    </row>
    <row r="34" spans="2:6">
      <c r="B34" s="104" t="s">
        <v>6</v>
      </c>
      <c r="C34" s="6" t="s">
        <v>26</v>
      </c>
      <c r="D34" s="324"/>
      <c r="E34" s="276"/>
      <c r="F34" s="71"/>
    </row>
    <row r="35" spans="2:6">
      <c r="B35" s="104" t="s">
        <v>8</v>
      </c>
      <c r="C35" s="6" t="s">
        <v>27</v>
      </c>
      <c r="D35" s="324">
        <v>56793.16</v>
      </c>
      <c r="E35" s="276">
        <v>77574.42</v>
      </c>
      <c r="F35" s="71"/>
    </row>
    <row r="36" spans="2:6">
      <c r="B36" s="104" t="s">
        <v>9</v>
      </c>
      <c r="C36" s="6" t="s">
        <v>28</v>
      </c>
      <c r="D36" s="324"/>
      <c r="E36" s="276"/>
      <c r="F36" s="71"/>
    </row>
    <row r="37" spans="2:6" ht="25.5">
      <c r="B37" s="104" t="s">
        <v>29</v>
      </c>
      <c r="C37" s="6" t="s">
        <v>30</v>
      </c>
      <c r="D37" s="324">
        <v>370220.71</v>
      </c>
      <c r="E37" s="276">
        <v>205725.77</v>
      </c>
      <c r="F37" s="71"/>
    </row>
    <row r="38" spans="2:6">
      <c r="B38" s="104" t="s">
        <v>31</v>
      </c>
      <c r="C38" s="6" t="s">
        <v>32</v>
      </c>
      <c r="D38" s="324"/>
      <c r="E38" s="276"/>
      <c r="F38" s="71"/>
    </row>
    <row r="39" spans="2:6">
      <c r="B39" s="105" t="s">
        <v>33</v>
      </c>
      <c r="C39" s="12" t="s">
        <v>34</v>
      </c>
      <c r="D39" s="325">
        <v>431023.29</v>
      </c>
      <c r="E39" s="277">
        <v>48127.92</v>
      </c>
      <c r="F39" s="71"/>
    </row>
    <row r="40" spans="2:6" ht="13.5" thickBot="1">
      <c r="B40" s="97" t="s">
        <v>35</v>
      </c>
      <c r="C40" s="98" t="s">
        <v>36</v>
      </c>
      <c r="D40" s="326">
        <v>4593870.08</v>
      </c>
      <c r="E40" s="279">
        <v>1702856.8</v>
      </c>
    </row>
    <row r="41" spans="2:6" ht="13.5" thickBot="1">
      <c r="B41" s="99" t="s">
        <v>37</v>
      </c>
      <c r="C41" s="100" t="s">
        <v>38</v>
      </c>
      <c r="D41" s="327">
        <v>12871536.520000003</v>
      </c>
      <c r="E41" s="148">
        <f>E26+E27+E40</f>
        <v>11648820.9</v>
      </c>
      <c r="F41" s="77"/>
    </row>
    <row r="42" spans="2:6">
      <c r="B42" s="93"/>
      <c r="C42" s="93"/>
      <c r="D42" s="94"/>
      <c r="E42" s="264"/>
      <c r="F42" s="77"/>
    </row>
    <row r="43" spans="2:6" ht="13.5">
      <c r="B43" s="356" t="s">
        <v>60</v>
      </c>
      <c r="C43" s="357"/>
      <c r="D43" s="357"/>
      <c r="E43" s="357"/>
    </row>
    <row r="44" spans="2:6" ht="18" customHeight="1" thickBot="1">
      <c r="B44" s="354" t="s">
        <v>121</v>
      </c>
      <c r="C44" s="358"/>
      <c r="D44" s="358"/>
      <c r="E44" s="358"/>
    </row>
    <row r="45" spans="2:6" ht="13.5" thickBot="1">
      <c r="B45" s="88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183473.75649999999</v>
      </c>
      <c r="E47" s="73">
        <v>84057.901100000003</v>
      </c>
    </row>
    <row r="48" spans="2:6">
      <c r="B48" s="123" t="s">
        <v>6</v>
      </c>
      <c r="C48" s="22" t="s">
        <v>41</v>
      </c>
      <c r="D48" s="200">
        <v>84057.901100000003</v>
      </c>
      <c r="E48" s="335">
        <v>64648.942900000002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02" t="s">
        <v>4</v>
      </c>
      <c r="C50" s="15" t="s">
        <v>40</v>
      </c>
      <c r="D50" s="200">
        <v>122.33297169124</v>
      </c>
      <c r="E50" s="73">
        <v>153.12700000000001</v>
      </c>
    </row>
    <row r="51" spans="2:5">
      <c r="B51" s="102" t="s">
        <v>6</v>
      </c>
      <c r="C51" s="15" t="s">
        <v>114</v>
      </c>
      <c r="D51" s="200">
        <v>121.8511</v>
      </c>
      <c r="E51" s="297">
        <v>108.3224</v>
      </c>
    </row>
    <row r="52" spans="2:5" ht="12" customHeight="1">
      <c r="B52" s="102" t="s">
        <v>8</v>
      </c>
      <c r="C52" s="15" t="s">
        <v>115</v>
      </c>
      <c r="D52" s="200">
        <v>153.53270000000001</v>
      </c>
      <c r="E52" s="297">
        <v>180.1858</v>
      </c>
    </row>
    <row r="53" spans="2:5" ht="13.5" thickBot="1">
      <c r="B53" s="103" t="s">
        <v>9</v>
      </c>
      <c r="C53" s="17" t="s">
        <v>41</v>
      </c>
      <c r="D53" s="202">
        <v>153.12700000000001</v>
      </c>
      <c r="E53" s="280">
        <v>180.1858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5.7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SUM(D59:D70)</f>
        <v>11649196.120000001</v>
      </c>
      <c r="E58" s="31">
        <f>D58/E21</f>
        <v>1.0000322109854054</v>
      </c>
    </row>
    <row r="59" spans="2:5" ht="25.5">
      <c r="B59" s="21" t="s">
        <v>4</v>
      </c>
      <c r="C59" s="22" t="s">
        <v>44</v>
      </c>
      <c r="D59" s="80">
        <v>0</v>
      </c>
      <c r="E59" s="81">
        <v>0</v>
      </c>
    </row>
    <row r="60" spans="2:5" ht="24" customHeight="1">
      <c r="B60" s="14" t="s">
        <v>6</v>
      </c>
      <c r="C60" s="15" t="s">
        <v>45</v>
      </c>
      <c r="D60" s="78">
        <v>0</v>
      </c>
      <c r="E60" s="79">
        <v>0</v>
      </c>
    </row>
    <row r="61" spans="2:5">
      <c r="B61" s="14" t="s">
        <v>8</v>
      </c>
      <c r="C61" s="15" t="s">
        <v>46</v>
      </c>
      <c r="D61" s="78">
        <v>0</v>
      </c>
      <c r="E61" s="79">
        <v>0</v>
      </c>
    </row>
    <row r="62" spans="2:5">
      <c r="B62" s="14" t="s">
        <v>9</v>
      </c>
      <c r="C62" s="15" t="s">
        <v>47</v>
      </c>
      <c r="D62" s="78">
        <v>0</v>
      </c>
      <c r="E62" s="79">
        <v>0</v>
      </c>
    </row>
    <row r="63" spans="2:5">
      <c r="B63" s="14" t="s">
        <v>29</v>
      </c>
      <c r="C63" s="15" t="s">
        <v>48</v>
      </c>
      <c r="D63" s="78">
        <v>0</v>
      </c>
      <c r="E63" s="79">
        <v>0</v>
      </c>
    </row>
    <row r="64" spans="2:5">
      <c r="B64" s="21" t="s">
        <v>31</v>
      </c>
      <c r="C64" s="22" t="s">
        <v>49</v>
      </c>
      <c r="D64" s="234">
        <v>10976195.560000001</v>
      </c>
      <c r="E64" s="81">
        <f>D64/E21</f>
        <v>0.942258075235752</v>
      </c>
    </row>
    <row r="65" spans="2:5">
      <c r="B65" s="21" t="s">
        <v>33</v>
      </c>
      <c r="C65" s="22" t="s">
        <v>118</v>
      </c>
      <c r="D65" s="80">
        <v>0</v>
      </c>
      <c r="E65" s="81">
        <v>0</v>
      </c>
    </row>
    <row r="66" spans="2:5">
      <c r="B66" s="21" t="s">
        <v>50</v>
      </c>
      <c r="C66" s="22" t="s">
        <v>51</v>
      </c>
      <c r="D66" s="80">
        <v>0</v>
      </c>
      <c r="E66" s="81">
        <v>0</v>
      </c>
    </row>
    <row r="67" spans="2:5">
      <c r="B67" s="14" t="s">
        <v>52</v>
      </c>
      <c r="C67" s="15" t="s">
        <v>53</v>
      </c>
      <c r="D67" s="78">
        <v>0</v>
      </c>
      <c r="E67" s="79">
        <v>0</v>
      </c>
    </row>
    <row r="68" spans="2:5">
      <c r="B68" s="14" t="s">
        <v>54</v>
      </c>
      <c r="C68" s="15" t="s">
        <v>55</v>
      </c>
      <c r="D68" s="78">
        <v>0</v>
      </c>
      <c r="E68" s="79">
        <v>0</v>
      </c>
    </row>
    <row r="69" spans="2:5">
      <c r="B69" s="14" t="s">
        <v>56</v>
      </c>
      <c r="C69" s="15" t="s">
        <v>57</v>
      </c>
      <c r="D69" s="303">
        <v>673000.56</v>
      </c>
      <c r="E69" s="79">
        <f>D69/E21</f>
        <v>5.7774135749653427E-2</v>
      </c>
    </row>
    <row r="70" spans="2:5">
      <c r="B70" s="112" t="s">
        <v>58</v>
      </c>
      <c r="C70" s="113" t="s">
        <v>59</v>
      </c>
      <c r="D70" s="78">
        <v>0</v>
      </c>
      <c r="E70" s="115">
        <v>0</v>
      </c>
    </row>
    <row r="71" spans="2:5">
      <c r="B71" s="120" t="s">
        <v>23</v>
      </c>
      <c r="C71" s="121" t="s">
        <v>61</v>
      </c>
      <c r="D71" s="122">
        <f>E13</f>
        <v>0</v>
      </c>
      <c r="E71" s="66">
        <v>0</v>
      </c>
    </row>
    <row r="72" spans="2:5">
      <c r="B72" s="116" t="s">
        <v>60</v>
      </c>
      <c r="C72" s="117" t="s">
        <v>63</v>
      </c>
      <c r="D72" s="118">
        <f>E14</f>
        <v>0</v>
      </c>
      <c r="E72" s="119">
        <f>D72/E21</f>
        <v>0</v>
      </c>
    </row>
    <row r="73" spans="2:5">
      <c r="B73" s="23" t="s">
        <v>62</v>
      </c>
      <c r="C73" s="24" t="s">
        <v>65</v>
      </c>
      <c r="D73" s="25">
        <f>E17</f>
        <v>375.22</v>
      </c>
      <c r="E73" s="26">
        <f>D73/E21</f>
        <v>3.2210985405398411E-5</v>
      </c>
    </row>
    <row r="74" spans="2:5">
      <c r="B74" s="120" t="s">
        <v>64</v>
      </c>
      <c r="C74" s="121" t="s">
        <v>66</v>
      </c>
      <c r="D74" s="122">
        <f>D58+D71+D72-D73</f>
        <v>11648820.9</v>
      </c>
      <c r="E74" s="66">
        <f>E58+E72-E73</f>
        <v>1</v>
      </c>
    </row>
    <row r="75" spans="2:5">
      <c r="B75" s="14" t="s">
        <v>4</v>
      </c>
      <c r="C75" s="15" t="s">
        <v>67</v>
      </c>
      <c r="D75" s="78">
        <f>D74-D76</f>
        <v>10014462.109999999</v>
      </c>
      <c r="E75" s="79">
        <f>D75/E21</f>
        <v>0.85969749178648625</v>
      </c>
    </row>
    <row r="76" spans="2:5">
      <c r="B76" s="14" t="s">
        <v>6</v>
      </c>
      <c r="C76" s="15" t="s">
        <v>119</v>
      </c>
      <c r="D76" s="78">
        <v>1634358.79</v>
      </c>
      <c r="E76" s="79">
        <f>D76/E21</f>
        <v>0.1403025082135137</v>
      </c>
    </row>
    <row r="77" spans="2:5" ht="13.5" thickBot="1">
      <c r="B77" s="16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97" right="0.75" top="0.6" bottom="0.32" header="0.5" footer="0.5"/>
  <pageSetup paperSize="9" scale="7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G81"/>
  <sheetViews>
    <sheetView zoomScale="80" zoomScaleNormal="80" workbookViewId="0">
      <selection activeCell="E41" sqref="E41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87"/>
      <c r="C4" s="87"/>
      <c r="D4" s="87"/>
      <c r="E4" s="87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144</v>
      </c>
      <c r="C6" s="353"/>
      <c r="D6" s="353"/>
      <c r="E6" s="353"/>
    </row>
    <row r="7" spans="2:7" ht="14.25">
      <c r="B7" s="89"/>
      <c r="C7" s="89"/>
      <c r="D7" s="89"/>
      <c r="E7" s="8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88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1755347.36</v>
      </c>
      <c r="E11" s="228">
        <f>SUM(E12:E14)</f>
        <v>1549151.09</v>
      </c>
    </row>
    <row r="12" spans="2:7">
      <c r="B12" s="106" t="s">
        <v>4</v>
      </c>
      <c r="C12" s="6" t="s">
        <v>5</v>
      </c>
      <c r="D12" s="241">
        <v>1755347.36</v>
      </c>
      <c r="E12" s="245">
        <f>1522776.77+26374.32</f>
        <v>1549151.09</v>
      </c>
    </row>
    <row r="13" spans="2:7">
      <c r="B13" s="106" t="s">
        <v>6</v>
      </c>
      <c r="C13" s="68" t="s">
        <v>7</v>
      </c>
      <c r="D13" s="237"/>
      <c r="E13" s="246"/>
    </row>
    <row r="14" spans="2:7">
      <c r="B14" s="106" t="s">
        <v>8</v>
      </c>
      <c r="C14" s="68" t="s">
        <v>10</v>
      </c>
      <c r="D14" s="237"/>
      <c r="E14" s="246"/>
    </row>
    <row r="15" spans="2:7">
      <c r="B15" s="106" t="s">
        <v>106</v>
      </c>
      <c r="C15" s="68" t="s">
        <v>11</v>
      </c>
      <c r="D15" s="237"/>
      <c r="E15" s="246"/>
    </row>
    <row r="16" spans="2:7">
      <c r="B16" s="107" t="s">
        <v>107</v>
      </c>
      <c r="C16" s="91" t="s">
        <v>12</v>
      </c>
      <c r="D16" s="239"/>
      <c r="E16" s="247"/>
    </row>
    <row r="17" spans="2:6">
      <c r="B17" s="9" t="s">
        <v>13</v>
      </c>
      <c r="C17" s="11" t="s">
        <v>65</v>
      </c>
      <c r="D17" s="240">
        <v>6614.72</v>
      </c>
      <c r="E17" s="248">
        <f>E18</f>
        <v>85.24</v>
      </c>
    </row>
    <row r="18" spans="2:6">
      <c r="B18" s="106" t="s">
        <v>4</v>
      </c>
      <c r="C18" s="6" t="s">
        <v>11</v>
      </c>
      <c r="D18" s="239">
        <v>6614.72</v>
      </c>
      <c r="E18" s="247">
        <v>85.24</v>
      </c>
    </row>
    <row r="19" spans="2:6" ht="15" customHeight="1">
      <c r="B19" s="106" t="s">
        <v>6</v>
      </c>
      <c r="C19" s="68" t="s">
        <v>108</v>
      </c>
      <c r="D19" s="237"/>
      <c r="E19" s="246"/>
    </row>
    <row r="20" spans="2:6" ht="13.5" thickBot="1">
      <c r="B20" s="108" t="s">
        <v>8</v>
      </c>
      <c r="C20" s="6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1748732.6400000001</v>
      </c>
      <c r="E21" s="148">
        <f>E11-E17</f>
        <v>1549065.85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3"/>
      <c r="D23" s="363"/>
      <c r="E23" s="363"/>
    </row>
    <row r="24" spans="2:6" ht="15.75" customHeight="1" thickBot="1">
      <c r="B24" s="354" t="s">
        <v>105</v>
      </c>
      <c r="C24" s="364"/>
      <c r="D24" s="364"/>
      <c r="E24" s="364"/>
    </row>
    <row r="25" spans="2:6" ht="13.5" thickBot="1">
      <c r="B25" s="88"/>
      <c r="C25" s="5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39">
        <v>2746608.3899999997</v>
      </c>
      <c r="E26" s="217">
        <f>D21</f>
        <v>1748732.6400000001</v>
      </c>
    </row>
    <row r="27" spans="2:6">
      <c r="B27" s="9" t="s">
        <v>17</v>
      </c>
      <c r="C27" s="10" t="s">
        <v>111</v>
      </c>
      <c r="D27" s="340">
        <v>-1232211.1600000001</v>
      </c>
      <c r="E27" s="274">
        <v>-319333.45</v>
      </c>
      <c r="F27" s="71"/>
    </row>
    <row r="28" spans="2:6">
      <c r="B28" s="9" t="s">
        <v>18</v>
      </c>
      <c r="C28" s="10" t="s">
        <v>19</v>
      </c>
      <c r="D28" s="340">
        <v>31059.35</v>
      </c>
      <c r="E28" s="275">
        <v>15719.92</v>
      </c>
      <c r="F28" s="71"/>
    </row>
    <row r="29" spans="2:6">
      <c r="B29" s="104" t="s">
        <v>4</v>
      </c>
      <c r="C29" s="6" t="s">
        <v>20</v>
      </c>
      <c r="D29" s="241"/>
      <c r="E29" s="276"/>
      <c r="F29" s="71"/>
    </row>
    <row r="30" spans="2:6">
      <c r="B30" s="104" t="s">
        <v>6</v>
      </c>
      <c r="C30" s="6" t="s">
        <v>21</v>
      </c>
      <c r="D30" s="241"/>
      <c r="E30" s="276"/>
      <c r="F30" s="71"/>
    </row>
    <row r="31" spans="2:6">
      <c r="B31" s="104" t="s">
        <v>8</v>
      </c>
      <c r="C31" s="6" t="s">
        <v>22</v>
      </c>
      <c r="D31" s="241">
        <v>31059.35</v>
      </c>
      <c r="E31" s="276">
        <v>15719.92</v>
      </c>
      <c r="F31" s="71"/>
    </row>
    <row r="32" spans="2:6">
      <c r="B32" s="92" t="s">
        <v>23</v>
      </c>
      <c r="C32" s="11" t="s">
        <v>24</v>
      </c>
      <c r="D32" s="340">
        <v>1263270.5100000002</v>
      </c>
      <c r="E32" s="275">
        <v>335053.37</v>
      </c>
      <c r="F32" s="71"/>
    </row>
    <row r="33" spans="2:6">
      <c r="B33" s="104" t="s">
        <v>4</v>
      </c>
      <c r="C33" s="6" t="s">
        <v>25</v>
      </c>
      <c r="D33" s="241">
        <v>1190605.3400000001</v>
      </c>
      <c r="E33" s="276">
        <v>291775.35999999999</v>
      </c>
      <c r="F33" s="71"/>
    </row>
    <row r="34" spans="2:6">
      <c r="B34" s="104" t="s">
        <v>6</v>
      </c>
      <c r="C34" s="6" t="s">
        <v>26</v>
      </c>
      <c r="D34" s="241"/>
      <c r="E34" s="276"/>
      <c r="F34" s="71"/>
    </row>
    <row r="35" spans="2:6">
      <c r="B35" s="104" t="s">
        <v>8</v>
      </c>
      <c r="C35" s="6" t="s">
        <v>27</v>
      </c>
      <c r="D35" s="241">
        <v>11691.56</v>
      </c>
      <c r="E35" s="276">
        <v>15595.96</v>
      </c>
      <c r="F35" s="71"/>
    </row>
    <row r="36" spans="2:6">
      <c r="B36" s="104" t="s">
        <v>9</v>
      </c>
      <c r="C36" s="6" t="s">
        <v>28</v>
      </c>
      <c r="D36" s="241"/>
      <c r="E36" s="276"/>
      <c r="F36" s="71"/>
    </row>
    <row r="37" spans="2:6" ht="25.5">
      <c r="B37" s="104" t="s">
        <v>29</v>
      </c>
      <c r="C37" s="6" t="s">
        <v>30</v>
      </c>
      <c r="D37" s="241">
        <v>45283.6</v>
      </c>
      <c r="E37" s="276">
        <v>27682.05</v>
      </c>
      <c r="F37" s="71"/>
    </row>
    <row r="38" spans="2:6">
      <c r="B38" s="104" t="s">
        <v>31</v>
      </c>
      <c r="C38" s="6" t="s">
        <v>32</v>
      </c>
      <c r="D38" s="241"/>
      <c r="E38" s="276"/>
      <c r="F38" s="71"/>
    </row>
    <row r="39" spans="2:6">
      <c r="B39" s="105" t="s">
        <v>33</v>
      </c>
      <c r="C39" s="12" t="s">
        <v>34</v>
      </c>
      <c r="D39" s="341">
        <v>15690.01</v>
      </c>
      <c r="E39" s="277"/>
      <c r="F39" s="71"/>
    </row>
    <row r="40" spans="2:6" ht="13.5" thickBot="1">
      <c r="B40" s="97" t="s">
        <v>35</v>
      </c>
      <c r="C40" s="98" t="s">
        <v>36</v>
      </c>
      <c r="D40" s="342">
        <v>234335.41</v>
      </c>
      <c r="E40" s="279">
        <v>119666.66</v>
      </c>
    </row>
    <row r="41" spans="2:6" ht="13.5" thickBot="1">
      <c r="B41" s="99" t="s">
        <v>37</v>
      </c>
      <c r="C41" s="100" t="s">
        <v>38</v>
      </c>
      <c r="D41" s="231">
        <v>1748732.6399999994</v>
      </c>
      <c r="E41" s="148">
        <f>E26+E27+E40</f>
        <v>1549065.85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8" customHeight="1" thickBot="1">
      <c r="B44" s="354" t="s">
        <v>121</v>
      </c>
      <c r="C44" s="358"/>
      <c r="D44" s="358"/>
      <c r="E44" s="358"/>
    </row>
    <row r="45" spans="2:6" ht="13.5" thickBot="1">
      <c r="B45" s="88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328">
        <v>26010.744999999999</v>
      </c>
      <c r="E47" s="73">
        <v>14932.1675</v>
      </c>
    </row>
    <row r="48" spans="2:6">
      <c r="B48" s="123" t="s">
        <v>6</v>
      </c>
      <c r="C48" s="22" t="s">
        <v>41</v>
      </c>
      <c r="D48" s="328">
        <v>14932.1675</v>
      </c>
      <c r="E48" s="335">
        <v>12018.281300000001</v>
      </c>
    </row>
    <row r="49" spans="2:5">
      <c r="B49" s="120" t="s">
        <v>23</v>
      </c>
      <c r="C49" s="124" t="s">
        <v>113</v>
      </c>
      <c r="D49" s="331"/>
      <c r="E49" s="125"/>
    </row>
    <row r="50" spans="2:5">
      <c r="B50" s="102" t="s">
        <v>4</v>
      </c>
      <c r="C50" s="15" t="s">
        <v>40</v>
      </c>
      <c r="D50" s="328">
        <v>105.595145006419</v>
      </c>
      <c r="E50" s="73">
        <v>117.1118</v>
      </c>
    </row>
    <row r="51" spans="2:5">
      <c r="B51" s="102" t="s">
        <v>6</v>
      </c>
      <c r="C51" s="15" t="s">
        <v>114</v>
      </c>
      <c r="D51" s="328">
        <v>104.73520000000001</v>
      </c>
      <c r="E51" s="297">
        <v>79.812299999999993</v>
      </c>
    </row>
    <row r="52" spans="2:5">
      <c r="B52" s="102" t="s">
        <v>8</v>
      </c>
      <c r="C52" s="15" t="s">
        <v>115</v>
      </c>
      <c r="D52" s="328">
        <v>117.62260000000001</v>
      </c>
      <c r="E52" s="297">
        <v>129.01</v>
      </c>
    </row>
    <row r="53" spans="2:5" ht="12.75" customHeight="1" thickBot="1">
      <c r="B53" s="103" t="s">
        <v>9</v>
      </c>
      <c r="C53" s="17" t="s">
        <v>41</v>
      </c>
      <c r="D53" s="202">
        <v>117.1118</v>
      </c>
      <c r="E53" s="280">
        <v>128.89250000000001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5.7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SUM(D59:D70)</f>
        <v>1549151.09</v>
      </c>
      <c r="E58" s="31">
        <f>D58/E21</f>
        <v>1.0000550267117436</v>
      </c>
    </row>
    <row r="59" spans="2:5" ht="25.5">
      <c r="B59" s="21" t="s">
        <v>4</v>
      </c>
      <c r="C59" s="22" t="s">
        <v>44</v>
      </c>
      <c r="D59" s="80">
        <v>0</v>
      </c>
      <c r="E59" s="81">
        <v>0</v>
      </c>
    </row>
    <row r="60" spans="2:5" ht="25.5">
      <c r="B60" s="14" t="s">
        <v>6</v>
      </c>
      <c r="C60" s="15" t="s">
        <v>45</v>
      </c>
      <c r="D60" s="78">
        <v>0</v>
      </c>
      <c r="E60" s="79">
        <v>0</v>
      </c>
    </row>
    <row r="61" spans="2:5" ht="13.5" customHeight="1">
      <c r="B61" s="14" t="s">
        <v>8</v>
      </c>
      <c r="C61" s="15" t="s">
        <v>46</v>
      </c>
      <c r="D61" s="78">
        <v>0</v>
      </c>
      <c r="E61" s="79">
        <v>0</v>
      </c>
    </row>
    <row r="62" spans="2:5">
      <c r="B62" s="14" t="s">
        <v>9</v>
      </c>
      <c r="C62" s="15" t="s">
        <v>47</v>
      </c>
      <c r="D62" s="78">
        <v>0</v>
      </c>
      <c r="E62" s="79">
        <v>0</v>
      </c>
    </row>
    <row r="63" spans="2:5">
      <c r="B63" s="14" t="s">
        <v>29</v>
      </c>
      <c r="C63" s="15" t="s">
        <v>48</v>
      </c>
      <c r="D63" s="78">
        <v>0</v>
      </c>
      <c r="E63" s="79">
        <v>0</v>
      </c>
    </row>
    <row r="64" spans="2:5">
      <c r="B64" s="21" t="s">
        <v>31</v>
      </c>
      <c r="C64" s="22" t="s">
        <v>49</v>
      </c>
      <c r="D64" s="234">
        <v>1522776.77</v>
      </c>
      <c r="E64" s="81">
        <f>D64/E21</f>
        <v>0.98302907523266359</v>
      </c>
    </row>
    <row r="65" spans="2:5">
      <c r="B65" s="21" t="s">
        <v>33</v>
      </c>
      <c r="C65" s="22" t="s">
        <v>118</v>
      </c>
      <c r="D65" s="80"/>
      <c r="E65" s="81">
        <v>0</v>
      </c>
    </row>
    <row r="66" spans="2:5">
      <c r="B66" s="21" t="s">
        <v>50</v>
      </c>
      <c r="C66" s="22" t="s">
        <v>51</v>
      </c>
      <c r="D66" s="80">
        <v>0</v>
      </c>
      <c r="E66" s="81">
        <v>0</v>
      </c>
    </row>
    <row r="67" spans="2:5">
      <c r="B67" s="14" t="s">
        <v>52</v>
      </c>
      <c r="C67" s="15" t="s">
        <v>53</v>
      </c>
      <c r="D67" s="78">
        <v>0</v>
      </c>
      <c r="E67" s="79">
        <v>0</v>
      </c>
    </row>
    <row r="68" spans="2:5">
      <c r="B68" s="14" t="s">
        <v>54</v>
      </c>
      <c r="C68" s="15" t="s">
        <v>55</v>
      </c>
      <c r="D68" s="78">
        <v>0</v>
      </c>
      <c r="E68" s="79">
        <v>0</v>
      </c>
    </row>
    <row r="69" spans="2:5">
      <c r="B69" s="14" t="s">
        <v>56</v>
      </c>
      <c r="C69" s="15" t="s">
        <v>57</v>
      </c>
      <c r="D69" s="303">
        <v>26374.32</v>
      </c>
      <c r="E69" s="79">
        <f>D69/E21</f>
        <v>1.7025951479080117E-2</v>
      </c>
    </row>
    <row r="70" spans="2:5">
      <c r="B70" s="112" t="s">
        <v>58</v>
      </c>
      <c r="C70" s="113" t="s">
        <v>59</v>
      </c>
      <c r="D70" s="114">
        <v>0</v>
      </c>
      <c r="E70" s="115">
        <v>0</v>
      </c>
    </row>
    <row r="71" spans="2:5">
      <c r="B71" s="120" t="s">
        <v>23</v>
      </c>
      <c r="C71" s="121" t="s">
        <v>61</v>
      </c>
      <c r="D71" s="122">
        <f>E13</f>
        <v>0</v>
      </c>
      <c r="E71" s="66">
        <f>D71/E21</f>
        <v>0</v>
      </c>
    </row>
    <row r="72" spans="2:5">
      <c r="B72" s="116" t="s">
        <v>60</v>
      </c>
      <c r="C72" s="117" t="s">
        <v>63</v>
      </c>
      <c r="D72" s="118">
        <f>E14</f>
        <v>0</v>
      </c>
      <c r="E72" s="119">
        <f>D72/E21</f>
        <v>0</v>
      </c>
    </row>
    <row r="73" spans="2:5">
      <c r="B73" s="23" t="s">
        <v>62</v>
      </c>
      <c r="C73" s="24" t="s">
        <v>65</v>
      </c>
      <c r="D73" s="25">
        <f>E17</f>
        <v>85.24</v>
      </c>
      <c r="E73" s="26">
        <f>D73/E21</f>
        <v>5.5026711743726061E-5</v>
      </c>
    </row>
    <row r="74" spans="2:5">
      <c r="B74" s="120" t="s">
        <v>64</v>
      </c>
      <c r="C74" s="121" t="s">
        <v>66</v>
      </c>
      <c r="D74" s="122">
        <f>D58-D73+D71+D72</f>
        <v>1549065.85</v>
      </c>
      <c r="E74" s="66">
        <f>E58+E72-E73</f>
        <v>0.99999999999999989</v>
      </c>
    </row>
    <row r="75" spans="2:5">
      <c r="B75" s="14" t="s">
        <v>4</v>
      </c>
      <c r="C75" s="15" t="s">
        <v>67</v>
      </c>
      <c r="D75" s="78">
        <f>D74-D76</f>
        <v>1123369.4200000002</v>
      </c>
      <c r="E75" s="79">
        <f>D75/E21</f>
        <v>0.72519152107058593</v>
      </c>
    </row>
    <row r="76" spans="2:5">
      <c r="B76" s="14" t="s">
        <v>6</v>
      </c>
      <c r="C76" s="15" t="s">
        <v>119</v>
      </c>
      <c r="D76" s="78">
        <v>425696.43</v>
      </c>
      <c r="E76" s="79">
        <f>D76/E21</f>
        <v>0.27480847892941412</v>
      </c>
    </row>
    <row r="77" spans="2:5" ht="13.5" thickBot="1">
      <c r="B77" s="16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I81"/>
  <sheetViews>
    <sheetView zoomScale="80" zoomScaleNormal="80" workbookViewId="0">
      <selection activeCell="K34" sqref="K34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87"/>
      <c r="C4" s="87"/>
      <c r="D4" s="87"/>
      <c r="E4" s="87"/>
    </row>
    <row r="5" spans="2:7" ht="21" customHeight="1">
      <c r="B5" s="352" t="s">
        <v>1</v>
      </c>
      <c r="C5" s="352"/>
      <c r="D5" s="352"/>
      <c r="E5" s="352"/>
    </row>
    <row r="6" spans="2:7" ht="14.25" customHeight="1">
      <c r="B6" s="353" t="s">
        <v>145</v>
      </c>
      <c r="C6" s="353"/>
      <c r="D6" s="353"/>
      <c r="E6" s="353"/>
    </row>
    <row r="7" spans="2:7" ht="14.25">
      <c r="B7" s="89"/>
      <c r="C7" s="89"/>
      <c r="D7" s="89"/>
      <c r="E7" s="8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88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6778575.1400000006</v>
      </c>
      <c r="E11" s="228">
        <f>SUM(E12:E14)</f>
        <v>4235605.2299999995</v>
      </c>
    </row>
    <row r="12" spans="2:7">
      <c r="B12" s="106" t="s">
        <v>4</v>
      </c>
      <c r="C12" s="6" t="s">
        <v>5</v>
      </c>
      <c r="D12" s="241">
        <v>6778531.4900000012</v>
      </c>
      <c r="E12" s="245">
        <f>4033359.8+202245.43</f>
        <v>4235605.2299999995</v>
      </c>
    </row>
    <row r="13" spans="2:7">
      <c r="B13" s="106" t="s">
        <v>6</v>
      </c>
      <c r="C13" s="68" t="s">
        <v>7</v>
      </c>
      <c r="D13" s="237">
        <v>41.97</v>
      </c>
      <c r="E13" s="246"/>
    </row>
    <row r="14" spans="2:7">
      <c r="B14" s="106" t="s">
        <v>8</v>
      </c>
      <c r="C14" s="68" t="s">
        <v>10</v>
      </c>
      <c r="D14" s="237">
        <v>1.68</v>
      </c>
      <c r="E14" s="246"/>
    </row>
    <row r="15" spans="2:7">
      <c r="B15" s="106" t="s">
        <v>106</v>
      </c>
      <c r="C15" s="68" t="s">
        <v>11</v>
      </c>
      <c r="D15" s="237">
        <v>1.68</v>
      </c>
      <c r="E15" s="246"/>
    </row>
    <row r="16" spans="2:7">
      <c r="B16" s="107" t="s">
        <v>107</v>
      </c>
      <c r="C16" s="91" t="s">
        <v>12</v>
      </c>
      <c r="D16" s="239"/>
      <c r="E16" s="247"/>
    </row>
    <row r="17" spans="2:9">
      <c r="B17" s="9" t="s">
        <v>13</v>
      </c>
      <c r="C17" s="11" t="s">
        <v>65</v>
      </c>
      <c r="D17" s="240">
        <v>65537.87</v>
      </c>
      <c r="E17" s="248">
        <f>E18</f>
        <v>222.99</v>
      </c>
    </row>
    <row r="18" spans="2:9">
      <c r="B18" s="106" t="s">
        <v>4</v>
      </c>
      <c r="C18" s="6" t="s">
        <v>11</v>
      </c>
      <c r="D18" s="239">
        <v>65537.87</v>
      </c>
      <c r="E18" s="247">
        <v>222.99</v>
      </c>
    </row>
    <row r="19" spans="2:9" ht="15" customHeight="1">
      <c r="B19" s="106" t="s">
        <v>6</v>
      </c>
      <c r="C19" s="68" t="s">
        <v>108</v>
      </c>
      <c r="D19" s="237"/>
      <c r="E19" s="246"/>
    </row>
    <row r="20" spans="2:9" ht="13.5" thickBot="1">
      <c r="B20" s="108" t="s">
        <v>8</v>
      </c>
      <c r="C20" s="69" t="s">
        <v>14</v>
      </c>
      <c r="D20" s="229"/>
      <c r="E20" s="230"/>
    </row>
    <row r="21" spans="2:9" ht="13.5" thickBot="1">
      <c r="B21" s="361" t="s">
        <v>110</v>
      </c>
      <c r="C21" s="362"/>
      <c r="D21" s="231">
        <v>6713037.2700000005</v>
      </c>
      <c r="E21" s="148">
        <f>E11-E17</f>
        <v>4235382.2399999993</v>
      </c>
      <c r="F21" s="77"/>
      <c r="I21" s="172"/>
    </row>
    <row r="22" spans="2:9">
      <c r="B22" s="3"/>
      <c r="C22" s="7"/>
      <c r="D22" s="8"/>
      <c r="E22" s="8"/>
    </row>
    <row r="23" spans="2:9" ht="13.5">
      <c r="B23" s="355" t="s">
        <v>104</v>
      </c>
      <c r="C23" s="363"/>
      <c r="D23" s="363"/>
      <c r="E23" s="363"/>
    </row>
    <row r="24" spans="2:9" ht="15.75" customHeight="1" thickBot="1">
      <c r="B24" s="354" t="s">
        <v>105</v>
      </c>
      <c r="C24" s="364"/>
      <c r="D24" s="364"/>
      <c r="E24" s="364"/>
    </row>
    <row r="25" spans="2:9" ht="13.5" thickBot="1">
      <c r="B25" s="88"/>
      <c r="C25" s="5" t="s">
        <v>2</v>
      </c>
      <c r="D25" s="70" t="s">
        <v>245</v>
      </c>
      <c r="E25" s="255" t="s">
        <v>265</v>
      </c>
    </row>
    <row r="26" spans="2:9">
      <c r="B26" s="95" t="s">
        <v>15</v>
      </c>
      <c r="C26" s="96" t="s">
        <v>16</v>
      </c>
      <c r="D26" s="322">
        <v>12188495.310000001</v>
      </c>
      <c r="E26" s="217">
        <f>D21</f>
        <v>6713037.2700000005</v>
      </c>
    </row>
    <row r="27" spans="2:9">
      <c r="B27" s="9" t="s">
        <v>17</v>
      </c>
      <c r="C27" s="10" t="s">
        <v>111</v>
      </c>
      <c r="D27" s="323">
        <v>-6334673.0399999991</v>
      </c>
      <c r="E27" s="274">
        <f>E28-E32</f>
        <v>-2242774.94</v>
      </c>
      <c r="F27" s="71"/>
    </row>
    <row r="28" spans="2:9">
      <c r="B28" s="9" t="s">
        <v>18</v>
      </c>
      <c r="C28" s="10" t="s">
        <v>19</v>
      </c>
      <c r="D28" s="323">
        <v>52536.12</v>
      </c>
      <c r="E28" s="275"/>
      <c r="F28" s="71"/>
    </row>
    <row r="29" spans="2:9">
      <c r="B29" s="104" t="s">
        <v>4</v>
      </c>
      <c r="C29" s="6" t="s">
        <v>20</v>
      </c>
      <c r="D29" s="324"/>
      <c r="E29" s="276"/>
      <c r="F29" s="71"/>
    </row>
    <row r="30" spans="2:9">
      <c r="B30" s="104" t="s">
        <v>6</v>
      </c>
      <c r="C30" s="6" t="s">
        <v>21</v>
      </c>
      <c r="D30" s="324"/>
      <c r="E30" s="276"/>
      <c r="F30" s="71"/>
    </row>
    <row r="31" spans="2:9">
      <c r="B31" s="104" t="s">
        <v>8</v>
      </c>
      <c r="C31" s="6" t="s">
        <v>22</v>
      </c>
      <c r="D31" s="324">
        <v>52536.12</v>
      </c>
      <c r="E31" s="276"/>
      <c r="F31" s="71"/>
    </row>
    <row r="32" spans="2:9">
      <c r="B32" s="92" t="s">
        <v>23</v>
      </c>
      <c r="C32" s="11" t="s">
        <v>24</v>
      </c>
      <c r="D32" s="323">
        <v>6387209.1599999992</v>
      </c>
      <c r="E32" s="275">
        <f>SUM(E33:E39)</f>
        <v>2242774.94</v>
      </c>
      <c r="F32" s="71"/>
    </row>
    <row r="33" spans="2:6">
      <c r="B33" s="104" t="s">
        <v>4</v>
      </c>
      <c r="C33" s="6" t="s">
        <v>25</v>
      </c>
      <c r="D33" s="324">
        <v>6058434.0599999996</v>
      </c>
      <c r="E33" s="276">
        <f>2124011.59-27103.89</f>
        <v>2096907.7</v>
      </c>
      <c r="F33" s="71"/>
    </row>
    <row r="34" spans="2:6">
      <c r="B34" s="104" t="s">
        <v>6</v>
      </c>
      <c r="C34" s="6" t="s">
        <v>26</v>
      </c>
      <c r="D34" s="324"/>
      <c r="E34" s="276"/>
      <c r="F34" s="71"/>
    </row>
    <row r="35" spans="2:6">
      <c r="B35" s="104" t="s">
        <v>8</v>
      </c>
      <c r="C35" s="6" t="s">
        <v>27</v>
      </c>
      <c r="D35" s="324">
        <v>20950.3</v>
      </c>
      <c r="E35" s="276">
        <v>29438.45</v>
      </c>
      <c r="F35" s="71"/>
    </row>
    <row r="36" spans="2:6">
      <c r="B36" s="104" t="s">
        <v>9</v>
      </c>
      <c r="C36" s="6" t="s">
        <v>28</v>
      </c>
      <c r="D36" s="324"/>
      <c r="E36" s="276"/>
      <c r="F36" s="71"/>
    </row>
    <row r="37" spans="2:6" ht="25.5">
      <c r="B37" s="104" t="s">
        <v>29</v>
      </c>
      <c r="C37" s="6" t="s">
        <v>30</v>
      </c>
      <c r="D37" s="324">
        <v>204098.05</v>
      </c>
      <c r="E37" s="276">
        <v>94231.64</v>
      </c>
      <c r="F37" s="71"/>
    </row>
    <row r="38" spans="2:6">
      <c r="B38" s="104" t="s">
        <v>31</v>
      </c>
      <c r="C38" s="6" t="s">
        <v>32</v>
      </c>
      <c r="D38" s="324"/>
      <c r="E38" s="276"/>
      <c r="F38" s="71"/>
    </row>
    <row r="39" spans="2:6">
      <c r="B39" s="105" t="s">
        <v>33</v>
      </c>
      <c r="C39" s="12" t="s">
        <v>34</v>
      </c>
      <c r="D39" s="325">
        <v>103726.75</v>
      </c>
      <c r="E39" s="277">
        <v>22197.15</v>
      </c>
      <c r="F39" s="71"/>
    </row>
    <row r="40" spans="2:6" ht="13.5" thickBot="1">
      <c r="B40" s="97" t="s">
        <v>35</v>
      </c>
      <c r="C40" s="98" t="s">
        <v>36</v>
      </c>
      <c r="D40" s="326">
        <v>859215</v>
      </c>
      <c r="E40" s="279">
        <v>-234880.09</v>
      </c>
    </row>
    <row r="41" spans="2:6" ht="13.5" thickBot="1">
      <c r="B41" s="99" t="s">
        <v>37</v>
      </c>
      <c r="C41" s="100" t="s">
        <v>38</v>
      </c>
      <c r="D41" s="327">
        <v>6713037.2700000014</v>
      </c>
      <c r="E41" s="148">
        <f>E26+E27+E40</f>
        <v>4235382.24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8" customHeight="1" thickBot="1">
      <c r="B44" s="354" t="s">
        <v>121</v>
      </c>
      <c r="C44" s="358"/>
      <c r="D44" s="358"/>
      <c r="E44" s="358"/>
    </row>
    <row r="45" spans="2:6" ht="13.5" thickBot="1">
      <c r="B45" s="88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113533.9915</v>
      </c>
      <c r="E47" s="73">
        <v>57812.837899999999</v>
      </c>
    </row>
    <row r="48" spans="2:6">
      <c r="B48" s="123" t="s">
        <v>6</v>
      </c>
      <c r="C48" s="22" t="s">
        <v>41</v>
      </c>
      <c r="D48" s="200">
        <v>57812.837899999999</v>
      </c>
      <c r="E48" s="335">
        <v>37397.4015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02" t="s">
        <v>4</v>
      </c>
      <c r="C50" s="15" t="s">
        <v>40</v>
      </c>
      <c r="D50" s="200">
        <v>107.355472567878</v>
      </c>
      <c r="E50" s="73">
        <v>116.11669999999999</v>
      </c>
    </row>
    <row r="51" spans="2:5">
      <c r="B51" s="102" t="s">
        <v>6</v>
      </c>
      <c r="C51" s="15" t="s">
        <v>114</v>
      </c>
      <c r="D51" s="200">
        <v>107.35550000000001</v>
      </c>
      <c r="E51" s="297">
        <v>96.997500000000002</v>
      </c>
    </row>
    <row r="52" spans="2:5">
      <c r="B52" s="102" t="s">
        <v>8</v>
      </c>
      <c r="C52" s="15" t="s">
        <v>115</v>
      </c>
      <c r="D52" s="200">
        <v>116.11669999999999</v>
      </c>
      <c r="E52" s="297">
        <v>116.8227</v>
      </c>
    </row>
    <row r="53" spans="2:5" ht="13.5" customHeight="1" thickBot="1">
      <c r="B53" s="103" t="s">
        <v>9</v>
      </c>
      <c r="C53" s="17" t="s">
        <v>41</v>
      </c>
      <c r="D53" s="202">
        <v>116.11669999999999</v>
      </c>
      <c r="E53" s="280">
        <v>113.2534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7.2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SUM(D59:D70)</f>
        <v>4235605.2299999995</v>
      </c>
      <c r="E58" s="31">
        <f>D58/E21</f>
        <v>1.0000526493212099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2.7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234">
        <v>4033359.7999999993</v>
      </c>
      <c r="E64" s="81">
        <f>D64/E21</f>
        <v>0.9523012496742207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303">
        <v>202245.43</v>
      </c>
      <c r="E69" s="79">
        <f>D69/E21</f>
        <v>4.7751399646989129E-2</v>
      </c>
    </row>
    <row r="70" spans="2:5">
      <c r="B70" s="129" t="s">
        <v>58</v>
      </c>
      <c r="C70" s="113" t="s">
        <v>59</v>
      </c>
      <c r="D70" s="235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f>E13</f>
        <v>0</v>
      </c>
      <c r="E71" s="66">
        <f>D71/E21</f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f>D72/E21</f>
        <v>0</v>
      </c>
    </row>
    <row r="73" spans="2:5">
      <c r="B73" s="132" t="s">
        <v>62</v>
      </c>
      <c r="C73" s="24" t="s">
        <v>65</v>
      </c>
      <c r="D73" s="25">
        <f>E17</f>
        <v>222.99</v>
      </c>
      <c r="E73" s="26">
        <f>D73/E21</f>
        <v>5.2649321209790039E-5</v>
      </c>
    </row>
    <row r="74" spans="2:5">
      <c r="B74" s="130" t="s">
        <v>64</v>
      </c>
      <c r="C74" s="121" t="s">
        <v>66</v>
      </c>
      <c r="D74" s="122">
        <f>D58-D73+D71+D72</f>
        <v>4235382.2399999993</v>
      </c>
      <c r="E74" s="66">
        <f>E58+E72-E73+E71</f>
        <v>1</v>
      </c>
    </row>
    <row r="75" spans="2:5">
      <c r="B75" s="102" t="s">
        <v>4</v>
      </c>
      <c r="C75" s="15" t="s">
        <v>67</v>
      </c>
      <c r="D75" s="78">
        <f>D74</f>
        <v>4235382.2399999993</v>
      </c>
      <c r="E75" s="79">
        <f>D75/E21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f>D76/E21</f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G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5.28515625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85"/>
      <c r="C4" s="85"/>
      <c r="D4" s="85"/>
      <c r="E4" s="85"/>
    </row>
    <row r="5" spans="2:7" ht="14.25">
      <c r="B5" s="352" t="s">
        <v>1</v>
      </c>
      <c r="C5" s="352"/>
      <c r="D5" s="352"/>
      <c r="E5" s="352"/>
    </row>
    <row r="6" spans="2:7" ht="14.25">
      <c r="B6" s="353" t="s">
        <v>85</v>
      </c>
      <c r="C6" s="353"/>
      <c r="D6" s="353"/>
      <c r="E6" s="353"/>
    </row>
    <row r="7" spans="2:7" ht="14.25">
      <c r="B7" s="89"/>
      <c r="C7" s="89"/>
      <c r="D7" s="89"/>
      <c r="E7" s="8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86"/>
      <c r="C10" s="76" t="s">
        <v>2</v>
      </c>
      <c r="D10" s="263" t="s">
        <v>245</v>
      </c>
      <c r="E10" s="262" t="s">
        <v>265</v>
      </c>
    </row>
    <row r="11" spans="2:7">
      <c r="B11" s="90" t="s">
        <v>3</v>
      </c>
      <c r="C11" s="193" t="s">
        <v>109</v>
      </c>
      <c r="D11" s="227">
        <f>SUM(D12:D14)</f>
        <v>170768562.52000001</v>
      </c>
      <c r="E11" s="228">
        <f>SUM(E12:E14)</f>
        <v>194154936.51000002</v>
      </c>
    </row>
    <row r="12" spans="2:7">
      <c r="B12" s="106" t="s">
        <v>4</v>
      </c>
      <c r="C12" s="194" t="s">
        <v>5</v>
      </c>
      <c r="D12" s="241">
        <f>175884744.37+100480.43-5785261.62</f>
        <v>170199963.18000001</v>
      </c>
      <c r="E12" s="245">
        <f>199348477.83+394702.04-6199431.01</f>
        <v>193543748.86000001</v>
      </c>
    </row>
    <row r="13" spans="2:7">
      <c r="B13" s="106" t="s">
        <v>6</v>
      </c>
      <c r="C13" s="194" t="s">
        <v>7</v>
      </c>
      <c r="D13" s="237"/>
      <c r="E13" s="246"/>
    </row>
    <row r="14" spans="2:7">
      <c r="B14" s="106" t="s">
        <v>8</v>
      </c>
      <c r="C14" s="194" t="s">
        <v>10</v>
      </c>
      <c r="D14" s="237">
        <f>D15</f>
        <v>568599.34</v>
      </c>
      <c r="E14" s="246">
        <f>E15</f>
        <v>611187.65</v>
      </c>
    </row>
    <row r="15" spans="2:7">
      <c r="B15" s="106" t="s">
        <v>106</v>
      </c>
      <c r="C15" s="194" t="s">
        <v>11</v>
      </c>
      <c r="D15" s="237">
        <v>568599.34</v>
      </c>
      <c r="E15" s="246">
        <v>611187.65</v>
      </c>
    </row>
    <row r="16" spans="2:7">
      <c r="B16" s="107" t="s">
        <v>107</v>
      </c>
      <c r="C16" s="195" t="s">
        <v>12</v>
      </c>
      <c r="D16" s="239"/>
      <c r="E16" s="247"/>
    </row>
    <row r="17" spans="2:6">
      <c r="B17" s="9" t="s">
        <v>13</v>
      </c>
      <c r="C17" s="196" t="s">
        <v>65</v>
      </c>
      <c r="D17" s="240">
        <f>D18</f>
        <v>519939.78</v>
      </c>
      <c r="E17" s="248">
        <f>E18</f>
        <v>250914.4</v>
      </c>
    </row>
    <row r="18" spans="2:6">
      <c r="B18" s="106" t="s">
        <v>4</v>
      </c>
      <c r="C18" s="194" t="s">
        <v>11</v>
      </c>
      <c r="D18" s="239">
        <v>519939.78</v>
      </c>
      <c r="E18" s="247">
        <v>250914.4</v>
      </c>
    </row>
    <row r="19" spans="2:6" ht="15" customHeight="1">
      <c r="B19" s="106" t="s">
        <v>6</v>
      </c>
      <c r="C19" s="194" t="s">
        <v>108</v>
      </c>
      <c r="D19" s="237"/>
      <c r="E19" s="246"/>
    </row>
    <row r="20" spans="2:6" ht="13.5" thickBot="1">
      <c r="B20" s="108" t="s">
        <v>8</v>
      </c>
      <c r="C20" s="6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f>D11-D17</f>
        <v>170248622.74000001</v>
      </c>
      <c r="E21" s="148">
        <f>E11-E17</f>
        <v>193904022.11000001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3"/>
      <c r="D23" s="363"/>
      <c r="E23" s="363"/>
    </row>
    <row r="24" spans="2:6" ht="15.75" customHeight="1" thickBot="1">
      <c r="B24" s="354" t="s">
        <v>105</v>
      </c>
      <c r="C24" s="364"/>
      <c r="D24" s="364"/>
      <c r="E24" s="364"/>
    </row>
    <row r="25" spans="2:6" ht="13.5" thickBot="1">
      <c r="B25" s="86"/>
      <c r="C25" s="5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166979546.58000001</v>
      </c>
      <c r="E26" s="217">
        <f>D21</f>
        <v>170248622.74000001</v>
      </c>
    </row>
    <row r="27" spans="2:6">
      <c r="B27" s="9" t="s">
        <v>17</v>
      </c>
      <c r="C27" s="10" t="s">
        <v>111</v>
      </c>
      <c r="D27" s="323">
        <v>-4052526.5800000019</v>
      </c>
      <c r="E27" s="274">
        <f>E28-E32</f>
        <v>-5870894.6900000051</v>
      </c>
      <c r="F27" s="71"/>
    </row>
    <row r="28" spans="2:6">
      <c r="B28" s="9" t="s">
        <v>18</v>
      </c>
      <c r="C28" s="10" t="s">
        <v>19</v>
      </c>
      <c r="D28" s="323">
        <v>22441449.549999997</v>
      </c>
      <c r="E28" s="275">
        <v>21200439.889999997</v>
      </c>
      <c r="F28" s="71"/>
    </row>
    <row r="29" spans="2:6">
      <c r="B29" s="181" t="s">
        <v>4</v>
      </c>
      <c r="C29" s="174" t="s">
        <v>20</v>
      </c>
      <c r="D29" s="324">
        <v>20505596.890000001</v>
      </c>
      <c r="E29" s="276">
        <v>19759571.960000001</v>
      </c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>
        <v>1935852.6600000001</v>
      </c>
      <c r="E31" s="276">
        <v>1440867.9300000002</v>
      </c>
      <c r="F31" s="71"/>
    </row>
    <row r="32" spans="2:6">
      <c r="B32" s="92" t="s">
        <v>23</v>
      </c>
      <c r="C32" s="11" t="s">
        <v>24</v>
      </c>
      <c r="D32" s="323">
        <v>26493976.129999999</v>
      </c>
      <c r="E32" s="275">
        <f>SUM(E33:E39)</f>
        <v>27071334.580000002</v>
      </c>
      <c r="F32" s="71"/>
    </row>
    <row r="33" spans="2:6">
      <c r="B33" s="181" t="s">
        <v>4</v>
      </c>
      <c r="C33" s="174" t="s">
        <v>25</v>
      </c>
      <c r="D33" s="324">
        <v>20389189.279999997</v>
      </c>
      <c r="E33" s="276">
        <f>18067791.18+414169.39</f>
        <v>18481960.57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3788289.06</v>
      </c>
      <c r="E35" s="276">
        <v>3735510.42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/>
      <c r="E37" s="276"/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>
        <v>2316497.7900000033</v>
      </c>
      <c r="E39" s="277">
        <v>4853863.59</v>
      </c>
      <c r="F39" s="71"/>
    </row>
    <row r="40" spans="2:6" ht="13.5" thickBot="1">
      <c r="B40" s="97" t="s">
        <v>35</v>
      </c>
      <c r="C40" s="98" t="s">
        <v>36</v>
      </c>
      <c r="D40" s="326">
        <v>7321602.7400000002</v>
      </c>
      <c r="E40" s="279">
        <v>29526294.059999999</v>
      </c>
    </row>
    <row r="41" spans="2:6" ht="13.5" thickBot="1">
      <c r="B41" s="99" t="s">
        <v>37</v>
      </c>
      <c r="C41" s="100" t="s">
        <v>38</v>
      </c>
      <c r="D41" s="327">
        <v>170248622.74000001</v>
      </c>
      <c r="E41" s="148">
        <f>E26+E27+E40</f>
        <v>193904022.11000001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5.75" customHeight="1" thickBot="1">
      <c r="B44" s="354" t="s">
        <v>121</v>
      </c>
      <c r="C44" s="366"/>
      <c r="D44" s="366"/>
      <c r="E44" s="366"/>
    </row>
    <row r="45" spans="2:6" ht="13.5" thickBot="1">
      <c r="B45" s="305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328">
        <v>8972178.9675999992</v>
      </c>
      <c r="E47" s="329">
        <v>8775867.4966000002</v>
      </c>
    </row>
    <row r="48" spans="2:6">
      <c r="B48" s="186" t="s">
        <v>6</v>
      </c>
      <c r="C48" s="187" t="s">
        <v>41</v>
      </c>
      <c r="D48" s="328">
        <v>8775867.4966000002</v>
      </c>
      <c r="E48" s="330">
        <v>8524112.8409000002</v>
      </c>
    </row>
    <row r="49" spans="2:5">
      <c r="B49" s="120" t="s">
        <v>23</v>
      </c>
      <c r="C49" s="124" t="s">
        <v>113</v>
      </c>
      <c r="D49" s="331"/>
      <c r="E49" s="204"/>
    </row>
    <row r="50" spans="2:5">
      <c r="B50" s="184" t="s">
        <v>4</v>
      </c>
      <c r="C50" s="185" t="s">
        <v>40</v>
      </c>
      <c r="D50" s="328">
        <v>18.610813179687199</v>
      </c>
      <c r="E50" s="329">
        <v>19.3996</v>
      </c>
    </row>
    <row r="51" spans="2:5">
      <c r="B51" s="184" t="s">
        <v>6</v>
      </c>
      <c r="C51" s="185" t="s">
        <v>114</v>
      </c>
      <c r="D51" s="328">
        <v>18.6022</v>
      </c>
      <c r="E51" s="218">
        <v>17.285799999999998</v>
      </c>
    </row>
    <row r="52" spans="2:5">
      <c r="B52" s="184" t="s">
        <v>8</v>
      </c>
      <c r="C52" s="185" t="s">
        <v>115</v>
      </c>
      <c r="D52" s="328">
        <v>19.596399999999999</v>
      </c>
      <c r="E52" s="218">
        <v>22.788699999999999</v>
      </c>
    </row>
    <row r="53" spans="2:5" ht="13.5" thickBot="1">
      <c r="B53" s="188" t="s">
        <v>9</v>
      </c>
      <c r="C53" s="189" t="s">
        <v>41</v>
      </c>
      <c r="D53" s="202">
        <v>19.3996</v>
      </c>
      <c r="E53" s="280">
        <v>22.747700000000002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7.2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D64+D69</f>
        <v>193543748.86000001</v>
      </c>
      <c r="E58" s="31">
        <f>D58/E21</f>
        <v>0.99814200218190618</v>
      </c>
    </row>
    <row r="59" spans="2:5" ht="25.5">
      <c r="B59" s="21" t="s">
        <v>4</v>
      </c>
      <c r="C59" s="22" t="s">
        <v>44</v>
      </c>
      <c r="D59" s="80">
        <v>0</v>
      </c>
      <c r="E59" s="81">
        <v>0</v>
      </c>
    </row>
    <row r="60" spans="2:5" ht="25.5">
      <c r="B60" s="14" t="s">
        <v>6</v>
      </c>
      <c r="C60" s="15" t="s">
        <v>45</v>
      </c>
      <c r="D60" s="78">
        <v>0</v>
      </c>
      <c r="E60" s="79">
        <v>0</v>
      </c>
    </row>
    <row r="61" spans="2:5">
      <c r="B61" s="14" t="s">
        <v>8</v>
      </c>
      <c r="C61" s="15" t="s">
        <v>46</v>
      </c>
      <c r="D61" s="78">
        <v>0</v>
      </c>
      <c r="E61" s="79">
        <v>0</v>
      </c>
    </row>
    <row r="62" spans="2:5">
      <c r="B62" s="14" t="s">
        <v>9</v>
      </c>
      <c r="C62" s="15" t="s">
        <v>47</v>
      </c>
      <c r="D62" s="78">
        <v>0</v>
      </c>
      <c r="E62" s="79">
        <v>0</v>
      </c>
    </row>
    <row r="63" spans="2:5">
      <c r="B63" s="14" t="s">
        <v>29</v>
      </c>
      <c r="C63" s="15" t="s">
        <v>48</v>
      </c>
      <c r="D63" s="78">
        <v>0</v>
      </c>
      <c r="E63" s="79">
        <v>0</v>
      </c>
    </row>
    <row r="64" spans="2:5">
      <c r="B64" s="21" t="s">
        <v>31</v>
      </c>
      <c r="C64" s="22" t="s">
        <v>49</v>
      </c>
      <c r="D64" s="80">
        <v>193149046.82000002</v>
      </c>
      <c r="E64" s="81">
        <f>D64/E21</f>
        <v>0.99610644853167774</v>
      </c>
    </row>
    <row r="65" spans="2:5">
      <c r="B65" s="21" t="s">
        <v>33</v>
      </c>
      <c r="C65" s="22" t="s">
        <v>118</v>
      </c>
      <c r="D65" s="80">
        <v>0</v>
      </c>
      <c r="E65" s="81">
        <v>0</v>
      </c>
    </row>
    <row r="66" spans="2:5">
      <c r="B66" s="21" t="s">
        <v>50</v>
      </c>
      <c r="C66" s="22" t="s">
        <v>51</v>
      </c>
      <c r="D66" s="80">
        <v>0</v>
      </c>
      <c r="E66" s="81">
        <v>0</v>
      </c>
    </row>
    <row r="67" spans="2:5">
      <c r="B67" s="14" t="s">
        <v>52</v>
      </c>
      <c r="C67" s="15" t="s">
        <v>53</v>
      </c>
      <c r="D67" s="78">
        <v>0</v>
      </c>
      <c r="E67" s="79">
        <v>0</v>
      </c>
    </row>
    <row r="68" spans="2:5">
      <c r="B68" s="14" t="s">
        <v>54</v>
      </c>
      <c r="C68" s="15" t="s">
        <v>55</v>
      </c>
      <c r="D68" s="78">
        <v>0</v>
      </c>
      <c r="E68" s="79">
        <v>0</v>
      </c>
    </row>
    <row r="69" spans="2:5">
      <c r="B69" s="14" t="s">
        <v>56</v>
      </c>
      <c r="C69" s="15" t="s">
        <v>57</v>
      </c>
      <c r="D69" s="302">
        <v>394702.04</v>
      </c>
      <c r="E69" s="79">
        <f>D69/E21</f>
        <v>2.0355536502285085E-3</v>
      </c>
    </row>
    <row r="70" spans="2:5">
      <c r="B70" s="112" t="s">
        <v>58</v>
      </c>
      <c r="C70" s="113" t="s">
        <v>59</v>
      </c>
      <c r="D70" s="114">
        <v>0</v>
      </c>
      <c r="E70" s="115">
        <v>0</v>
      </c>
    </row>
    <row r="71" spans="2:5">
      <c r="B71" s="120" t="s">
        <v>23</v>
      </c>
      <c r="C71" s="121" t="s">
        <v>61</v>
      </c>
      <c r="D71" s="122">
        <f>E13</f>
        <v>0</v>
      </c>
      <c r="E71" s="66">
        <v>0</v>
      </c>
    </row>
    <row r="72" spans="2:5">
      <c r="B72" s="116" t="s">
        <v>60</v>
      </c>
      <c r="C72" s="117" t="s">
        <v>63</v>
      </c>
      <c r="D72" s="118">
        <f>E14</f>
        <v>611187.65</v>
      </c>
      <c r="E72" s="119">
        <f>D72/E21</f>
        <v>3.1520112030129976E-3</v>
      </c>
    </row>
    <row r="73" spans="2:5">
      <c r="B73" s="23" t="s">
        <v>62</v>
      </c>
      <c r="C73" s="24" t="s">
        <v>65</v>
      </c>
      <c r="D73" s="25">
        <f>E17</f>
        <v>250914.4</v>
      </c>
      <c r="E73" s="26">
        <f>D73/E21</f>
        <v>1.2940133849191561E-3</v>
      </c>
    </row>
    <row r="74" spans="2:5">
      <c r="B74" s="120" t="s">
        <v>64</v>
      </c>
      <c r="C74" s="121" t="s">
        <v>66</v>
      </c>
      <c r="D74" s="122">
        <f>D58+D71+D72-D73</f>
        <v>193904022.11000001</v>
      </c>
      <c r="E74" s="66">
        <f>E58+E72-E73</f>
        <v>0.99999999999999989</v>
      </c>
    </row>
    <row r="75" spans="2:5">
      <c r="B75" s="14" t="s">
        <v>4</v>
      </c>
      <c r="C75" s="15" t="s">
        <v>67</v>
      </c>
      <c r="D75" s="78">
        <f>D74</f>
        <v>193904022.11000001</v>
      </c>
      <c r="E75" s="79">
        <f>E74</f>
        <v>0.99999999999999989</v>
      </c>
    </row>
    <row r="76" spans="2:5">
      <c r="B76" s="14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6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6:E56"/>
    <mergeCell ref="B57:C57"/>
    <mergeCell ref="B21:C21"/>
    <mergeCell ref="B23:E23"/>
    <mergeCell ref="B24:E24"/>
    <mergeCell ref="B43:E43"/>
    <mergeCell ref="B44:E44"/>
    <mergeCell ref="B55:E55"/>
    <mergeCell ref="B9:E9"/>
    <mergeCell ref="B2:E2"/>
    <mergeCell ref="B3:E3"/>
    <mergeCell ref="B5:E5"/>
    <mergeCell ref="B6:E6"/>
    <mergeCell ref="B8:E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:G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7"/>
      <c r="C4" s="147"/>
      <c r="D4" s="147"/>
      <c r="E4" s="147"/>
    </row>
    <row r="5" spans="2:7" ht="14.25">
      <c r="B5" s="352" t="s">
        <v>1</v>
      </c>
      <c r="C5" s="352"/>
      <c r="D5" s="352"/>
      <c r="E5" s="352"/>
    </row>
    <row r="6" spans="2:7" ht="14.25">
      <c r="B6" s="353" t="s">
        <v>146</v>
      </c>
      <c r="C6" s="353"/>
      <c r="D6" s="353"/>
      <c r="E6" s="353"/>
    </row>
    <row r="7" spans="2:7" ht="14.25">
      <c r="B7" s="150"/>
      <c r="C7" s="150"/>
      <c r="D7" s="150"/>
      <c r="E7" s="150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51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f>SUM(D12:D14)</f>
        <v>74478.210000000006</v>
      </c>
      <c r="E11" s="228">
        <f>SUM(E12:E14)</f>
        <v>73532.95</v>
      </c>
    </row>
    <row r="12" spans="2:7">
      <c r="B12" s="106" t="s">
        <v>4</v>
      </c>
      <c r="C12" s="6" t="s">
        <v>5</v>
      </c>
      <c r="D12" s="241">
        <f>67918.02+6560.19</f>
        <v>74478.210000000006</v>
      </c>
      <c r="E12" s="245">
        <f>68955.72+4577.23</f>
        <v>73532.95</v>
      </c>
    </row>
    <row r="13" spans="2:7">
      <c r="B13" s="106" t="s">
        <v>6</v>
      </c>
      <c r="C13" s="68" t="s">
        <v>7</v>
      </c>
      <c r="D13" s="237"/>
      <c r="E13" s="246"/>
    </row>
    <row r="14" spans="2:7">
      <c r="B14" s="106" t="s">
        <v>8</v>
      </c>
      <c r="C14" s="68" t="s">
        <v>10</v>
      </c>
      <c r="D14" s="237"/>
      <c r="E14" s="246"/>
    </row>
    <row r="15" spans="2:7">
      <c r="B15" s="106" t="s">
        <v>106</v>
      </c>
      <c r="C15" s="68" t="s">
        <v>11</v>
      </c>
      <c r="D15" s="237"/>
      <c r="E15" s="246"/>
    </row>
    <row r="16" spans="2:7">
      <c r="B16" s="107" t="s">
        <v>107</v>
      </c>
      <c r="C16" s="91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06" t="s">
        <v>4</v>
      </c>
      <c r="C18" s="6" t="s">
        <v>11</v>
      </c>
      <c r="D18" s="239"/>
      <c r="E18" s="247"/>
    </row>
    <row r="19" spans="2:6" ht="15" customHeight="1">
      <c r="B19" s="106" t="s">
        <v>6</v>
      </c>
      <c r="C19" s="68" t="s">
        <v>108</v>
      </c>
      <c r="D19" s="237"/>
      <c r="E19" s="246"/>
    </row>
    <row r="20" spans="2:6" ht="13.5" thickBot="1">
      <c r="B20" s="108" t="s">
        <v>8</v>
      </c>
      <c r="C20" s="6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f>D11-D17</f>
        <v>74478.210000000006</v>
      </c>
      <c r="E21" s="148">
        <f>E11-E17</f>
        <v>73532.95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3"/>
      <c r="D23" s="363"/>
      <c r="E23" s="363"/>
    </row>
    <row r="24" spans="2:6" ht="15.75" customHeight="1" thickBot="1">
      <c r="B24" s="354" t="s">
        <v>105</v>
      </c>
      <c r="C24" s="364"/>
      <c r="D24" s="364"/>
      <c r="E24" s="364"/>
    </row>
    <row r="25" spans="2:6" ht="13.5" thickBot="1">
      <c r="B25" s="151"/>
      <c r="C25" s="5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191426.72</v>
      </c>
      <c r="E26" s="217">
        <f>D21</f>
        <v>74478.210000000006</v>
      </c>
    </row>
    <row r="27" spans="2:6">
      <c r="B27" s="9" t="s">
        <v>17</v>
      </c>
      <c r="C27" s="10" t="s">
        <v>111</v>
      </c>
      <c r="D27" s="323">
        <v>-119965.99</v>
      </c>
      <c r="E27" s="274">
        <v>-1993.97</v>
      </c>
      <c r="F27" s="71"/>
    </row>
    <row r="28" spans="2:6">
      <c r="B28" s="9" t="s">
        <v>18</v>
      </c>
      <c r="C28" s="10" t="s">
        <v>19</v>
      </c>
      <c r="D28" s="323"/>
      <c r="E28" s="275"/>
      <c r="F28" s="71"/>
    </row>
    <row r="29" spans="2:6">
      <c r="B29" s="104" t="s">
        <v>4</v>
      </c>
      <c r="C29" s="6" t="s">
        <v>20</v>
      </c>
      <c r="D29" s="324"/>
      <c r="E29" s="276"/>
      <c r="F29" s="71"/>
    </row>
    <row r="30" spans="2:6">
      <c r="B30" s="104" t="s">
        <v>6</v>
      </c>
      <c r="C30" s="6" t="s">
        <v>21</v>
      </c>
      <c r="D30" s="324"/>
      <c r="E30" s="276"/>
      <c r="F30" s="71"/>
    </row>
    <row r="31" spans="2:6">
      <c r="B31" s="104" t="s">
        <v>8</v>
      </c>
      <c r="C31" s="6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119965.99</v>
      </c>
      <c r="E32" s="275">
        <v>1993.97</v>
      </c>
      <c r="F32" s="71"/>
    </row>
    <row r="33" spans="2:6">
      <c r="B33" s="104" t="s">
        <v>4</v>
      </c>
      <c r="C33" s="6" t="s">
        <v>25</v>
      </c>
      <c r="D33" s="324">
        <v>116549.22</v>
      </c>
      <c r="E33" s="276"/>
      <c r="F33" s="71"/>
    </row>
    <row r="34" spans="2:6">
      <c r="B34" s="104" t="s">
        <v>6</v>
      </c>
      <c r="C34" s="6" t="s">
        <v>26</v>
      </c>
      <c r="D34" s="324"/>
      <c r="E34" s="276"/>
      <c r="F34" s="71"/>
    </row>
    <row r="35" spans="2:6">
      <c r="B35" s="104" t="s">
        <v>8</v>
      </c>
      <c r="C35" s="6" t="s">
        <v>27</v>
      </c>
      <c r="D35" s="324">
        <v>1182.79</v>
      </c>
      <c r="E35" s="276">
        <v>739.02</v>
      </c>
      <c r="F35" s="71"/>
    </row>
    <row r="36" spans="2:6">
      <c r="B36" s="104" t="s">
        <v>9</v>
      </c>
      <c r="C36" s="6" t="s">
        <v>28</v>
      </c>
      <c r="D36" s="324"/>
      <c r="E36" s="276"/>
      <c r="F36" s="71"/>
    </row>
    <row r="37" spans="2:6" ht="25.5">
      <c r="B37" s="104" t="s">
        <v>29</v>
      </c>
      <c r="C37" s="6" t="s">
        <v>30</v>
      </c>
      <c r="D37" s="324">
        <v>2233.98</v>
      </c>
      <c r="E37" s="276">
        <v>1254.95</v>
      </c>
      <c r="F37" s="71"/>
    </row>
    <row r="38" spans="2:6">
      <c r="B38" s="104" t="s">
        <v>31</v>
      </c>
      <c r="C38" s="6" t="s">
        <v>32</v>
      </c>
      <c r="D38" s="324"/>
      <c r="E38" s="276"/>
      <c r="F38" s="71"/>
    </row>
    <row r="39" spans="2:6">
      <c r="B39" s="105" t="s">
        <v>33</v>
      </c>
      <c r="C39" s="12" t="s">
        <v>34</v>
      </c>
      <c r="D39" s="325"/>
      <c r="E39" s="277"/>
      <c r="F39" s="71"/>
    </row>
    <row r="40" spans="2:6" ht="13.5" thickBot="1">
      <c r="B40" s="97" t="s">
        <v>35</v>
      </c>
      <c r="C40" s="98" t="s">
        <v>36</v>
      </c>
      <c r="D40" s="326">
        <v>3017.48</v>
      </c>
      <c r="E40" s="279">
        <v>1048.71</v>
      </c>
    </row>
    <row r="41" spans="2:6" ht="13.5" thickBot="1">
      <c r="B41" s="99" t="s">
        <v>37</v>
      </c>
      <c r="C41" s="100" t="s">
        <v>38</v>
      </c>
      <c r="D41" s="327">
        <v>74478.209999999992</v>
      </c>
      <c r="E41" s="148">
        <f>E26+E27+E40</f>
        <v>73532.950000000012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8" customHeight="1" thickBot="1">
      <c r="B44" s="354" t="s">
        <v>121</v>
      </c>
      <c r="C44" s="358"/>
      <c r="D44" s="358"/>
      <c r="E44" s="358"/>
    </row>
    <row r="45" spans="2:6" ht="13.5" thickBot="1">
      <c r="B45" s="151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1806.508</v>
      </c>
      <c r="E47" s="73">
        <v>687.54060000000004</v>
      </c>
    </row>
    <row r="48" spans="2:6">
      <c r="B48" s="123" t="s">
        <v>6</v>
      </c>
      <c r="C48" s="22" t="s">
        <v>41</v>
      </c>
      <c r="D48" s="200">
        <v>687.54060000000004</v>
      </c>
      <c r="E48" s="335">
        <v>669.14580000000001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02" t="s">
        <v>4</v>
      </c>
      <c r="C50" s="15" t="s">
        <v>40</v>
      </c>
      <c r="D50" s="200">
        <v>105.965055233633</v>
      </c>
      <c r="E50" s="73">
        <v>108.32550000000001</v>
      </c>
    </row>
    <row r="51" spans="2:5">
      <c r="B51" s="102" t="s">
        <v>6</v>
      </c>
      <c r="C51" s="15" t="s">
        <v>114</v>
      </c>
      <c r="D51" s="200">
        <v>105.96510000000001</v>
      </c>
      <c r="E51" s="297">
        <v>106.20189999999999</v>
      </c>
    </row>
    <row r="52" spans="2:5">
      <c r="B52" s="102" t="s">
        <v>8</v>
      </c>
      <c r="C52" s="15" t="s">
        <v>115</v>
      </c>
      <c r="D52" s="200">
        <v>108.32550000000001</v>
      </c>
      <c r="E52" s="297">
        <v>110.0001</v>
      </c>
    </row>
    <row r="53" spans="2:5" ht="13.5" thickBot="1">
      <c r="B53" s="103" t="s">
        <v>9</v>
      </c>
      <c r="C53" s="17" t="s">
        <v>41</v>
      </c>
      <c r="D53" s="202">
        <v>108.32550000000001</v>
      </c>
      <c r="E53" s="280">
        <v>109.8908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4.25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SUM(D59:D70)</f>
        <v>73532.95</v>
      </c>
      <c r="E58" s="31">
        <f>D58/E21</f>
        <v>1</v>
      </c>
    </row>
    <row r="59" spans="2:5" ht="25.5">
      <c r="B59" s="123" t="s">
        <v>4</v>
      </c>
      <c r="C59" s="187" t="s">
        <v>44</v>
      </c>
      <c r="D59" s="80">
        <v>0</v>
      </c>
      <c r="E59" s="81">
        <v>0</v>
      </c>
    </row>
    <row r="60" spans="2:5" ht="25.5">
      <c r="B60" s="102" t="s">
        <v>6</v>
      </c>
      <c r="C60" s="185" t="s">
        <v>45</v>
      </c>
      <c r="D60" s="78">
        <v>0</v>
      </c>
      <c r="E60" s="79">
        <v>0</v>
      </c>
    </row>
    <row r="61" spans="2:5">
      <c r="B61" s="102" t="s">
        <v>8</v>
      </c>
      <c r="C61" s="185" t="s">
        <v>46</v>
      </c>
      <c r="D61" s="78">
        <v>0</v>
      </c>
      <c r="E61" s="79">
        <v>0</v>
      </c>
    </row>
    <row r="62" spans="2:5">
      <c r="B62" s="102" t="s">
        <v>9</v>
      </c>
      <c r="C62" s="185" t="s">
        <v>47</v>
      </c>
      <c r="D62" s="78">
        <v>0</v>
      </c>
      <c r="E62" s="79">
        <v>0</v>
      </c>
    </row>
    <row r="63" spans="2:5">
      <c r="B63" s="102" t="s">
        <v>29</v>
      </c>
      <c r="C63" s="185" t="s">
        <v>48</v>
      </c>
      <c r="D63" s="78">
        <v>0</v>
      </c>
      <c r="E63" s="79">
        <v>0</v>
      </c>
    </row>
    <row r="64" spans="2:5">
      <c r="B64" s="123" t="s">
        <v>31</v>
      </c>
      <c r="C64" s="187" t="s">
        <v>49</v>
      </c>
      <c r="D64" s="234">
        <v>68955.72</v>
      </c>
      <c r="E64" s="81">
        <f>D64/E21</f>
        <v>0.93775266734164753</v>
      </c>
    </row>
    <row r="65" spans="2:5">
      <c r="B65" s="123" t="s">
        <v>33</v>
      </c>
      <c r="C65" s="187" t="s">
        <v>118</v>
      </c>
      <c r="D65" s="80">
        <v>0</v>
      </c>
      <c r="E65" s="81">
        <v>0</v>
      </c>
    </row>
    <row r="66" spans="2:5">
      <c r="B66" s="123" t="s">
        <v>50</v>
      </c>
      <c r="C66" s="187" t="s">
        <v>51</v>
      </c>
      <c r="D66" s="80">
        <v>0</v>
      </c>
      <c r="E66" s="81">
        <v>0</v>
      </c>
    </row>
    <row r="67" spans="2:5">
      <c r="B67" s="102" t="s">
        <v>52</v>
      </c>
      <c r="C67" s="185" t="s">
        <v>53</v>
      </c>
      <c r="D67" s="78">
        <v>0</v>
      </c>
      <c r="E67" s="79">
        <v>0</v>
      </c>
    </row>
    <row r="68" spans="2:5">
      <c r="B68" s="102" t="s">
        <v>54</v>
      </c>
      <c r="C68" s="185" t="s">
        <v>55</v>
      </c>
      <c r="D68" s="78">
        <v>0</v>
      </c>
      <c r="E68" s="79">
        <v>0</v>
      </c>
    </row>
    <row r="69" spans="2:5">
      <c r="B69" s="102" t="s">
        <v>56</v>
      </c>
      <c r="C69" s="185" t="s">
        <v>57</v>
      </c>
      <c r="D69" s="303">
        <v>4577.2299999999996</v>
      </c>
      <c r="E69" s="79">
        <f>D69/E21</f>
        <v>6.2247332658352479E-2</v>
      </c>
    </row>
    <row r="70" spans="2:5">
      <c r="B70" s="129" t="s">
        <v>58</v>
      </c>
      <c r="C70" s="220" t="s">
        <v>59</v>
      </c>
      <c r="D70" s="235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f>E13</f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f>E17</f>
        <v>0</v>
      </c>
      <c r="E73" s="26">
        <f>D73/E21</f>
        <v>0</v>
      </c>
    </row>
    <row r="74" spans="2:5">
      <c r="B74" s="130" t="s">
        <v>64</v>
      </c>
      <c r="C74" s="121" t="s">
        <v>66</v>
      </c>
      <c r="D74" s="122">
        <f>D58-D73</f>
        <v>73532.95</v>
      </c>
      <c r="E74" s="66">
        <f>E58+E72-E73</f>
        <v>1</v>
      </c>
    </row>
    <row r="75" spans="2:5">
      <c r="B75" s="102" t="s">
        <v>4</v>
      </c>
      <c r="C75" s="185" t="s">
        <v>67</v>
      </c>
      <c r="D75" s="78">
        <f>D74</f>
        <v>73532.95</v>
      </c>
      <c r="E75" s="79">
        <f>E74</f>
        <v>1</v>
      </c>
    </row>
    <row r="76" spans="2:5">
      <c r="B76" s="102" t="s">
        <v>6</v>
      </c>
      <c r="C76" s="18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89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9:E9"/>
    <mergeCell ref="B2:E2"/>
    <mergeCell ref="B3:E3"/>
    <mergeCell ref="B5:E5"/>
    <mergeCell ref="B6:E6"/>
    <mergeCell ref="B8:E8"/>
    <mergeCell ref="B56:E56"/>
    <mergeCell ref="B57:C57"/>
    <mergeCell ref="B21:C21"/>
    <mergeCell ref="B23:E23"/>
    <mergeCell ref="B24:E24"/>
    <mergeCell ref="B43:E43"/>
    <mergeCell ref="B44:E44"/>
    <mergeCell ref="B55:E55"/>
  </mergeCells>
  <pageMargins left="0.7" right="0.7" top="0.75" bottom="0.75" header="0.3" footer="0.3"/>
  <pageSetup paperSize="9" orientation="portrait" horizontalDpi="90" verticalDpi="9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1"/>
  <dimension ref="A1:G81"/>
  <sheetViews>
    <sheetView zoomScale="80" zoomScaleNormal="80" workbookViewId="0">
      <selection activeCell="G16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7"/>
      <c r="C4" s="147"/>
      <c r="D4" s="147"/>
      <c r="E4" s="147"/>
    </row>
    <row r="5" spans="2:7" ht="14.25">
      <c r="B5" s="352" t="s">
        <v>1</v>
      </c>
      <c r="C5" s="352"/>
      <c r="D5" s="352"/>
      <c r="E5" s="352"/>
    </row>
    <row r="6" spans="2:7" ht="14.25">
      <c r="B6" s="353" t="s">
        <v>147</v>
      </c>
      <c r="C6" s="353"/>
      <c r="D6" s="353"/>
      <c r="E6" s="353"/>
    </row>
    <row r="7" spans="2:7" ht="14.25">
      <c r="B7" s="166"/>
      <c r="C7" s="166"/>
      <c r="D7" s="166"/>
      <c r="E7" s="166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67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93" t="s">
        <v>109</v>
      </c>
      <c r="D11" s="227">
        <v>16673.87</v>
      </c>
      <c r="E11" s="228">
        <f>SUM(E12:E14)</f>
        <v>17467.93</v>
      </c>
    </row>
    <row r="12" spans="2:7">
      <c r="B12" s="106" t="s">
        <v>4</v>
      </c>
      <c r="C12" s="194" t="s">
        <v>5</v>
      </c>
      <c r="D12" s="241">
        <v>16673.87</v>
      </c>
      <c r="E12" s="245">
        <f>15789.83+1678.1</f>
        <v>17467.93</v>
      </c>
    </row>
    <row r="13" spans="2:7">
      <c r="B13" s="106" t="s">
        <v>6</v>
      </c>
      <c r="C13" s="194" t="s">
        <v>7</v>
      </c>
      <c r="D13" s="237"/>
      <c r="E13" s="246"/>
    </row>
    <row r="14" spans="2:7">
      <c r="B14" s="106" t="s">
        <v>8</v>
      </c>
      <c r="C14" s="194" t="s">
        <v>10</v>
      </c>
      <c r="D14" s="237"/>
      <c r="E14" s="246"/>
    </row>
    <row r="15" spans="2:7">
      <c r="B15" s="106" t="s">
        <v>106</v>
      </c>
      <c r="C15" s="194" t="s">
        <v>11</v>
      </c>
      <c r="D15" s="237"/>
      <c r="E15" s="246"/>
    </row>
    <row r="16" spans="2:7">
      <c r="B16" s="107" t="s">
        <v>107</v>
      </c>
      <c r="C16" s="195" t="s">
        <v>12</v>
      </c>
      <c r="D16" s="239"/>
      <c r="E16" s="247"/>
    </row>
    <row r="17" spans="2:6">
      <c r="B17" s="9" t="s">
        <v>13</v>
      </c>
      <c r="C17" s="196" t="s">
        <v>65</v>
      </c>
      <c r="D17" s="240"/>
      <c r="E17" s="248"/>
    </row>
    <row r="18" spans="2:6">
      <c r="B18" s="106" t="s">
        <v>4</v>
      </c>
      <c r="C18" s="194" t="s">
        <v>11</v>
      </c>
      <c r="D18" s="239"/>
      <c r="E18" s="247"/>
    </row>
    <row r="19" spans="2:6" ht="15" customHeight="1">
      <c r="B19" s="106" t="s">
        <v>6</v>
      </c>
      <c r="C19" s="194" t="s">
        <v>108</v>
      </c>
      <c r="D19" s="237"/>
      <c r="E19" s="246"/>
    </row>
    <row r="20" spans="2:6" ht="13.5" thickBot="1">
      <c r="B20" s="108" t="s">
        <v>8</v>
      </c>
      <c r="C20" s="6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16673.87</v>
      </c>
      <c r="E21" s="148">
        <f>E11-E17</f>
        <v>17467.93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3"/>
      <c r="D23" s="363"/>
      <c r="E23" s="363"/>
    </row>
    <row r="24" spans="2:6" ht="15.75" customHeight="1" thickBot="1">
      <c r="B24" s="354" t="s">
        <v>105</v>
      </c>
      <c r="C24" s="364"/>
      <c r="D24" s="364"/>
      <c r="E24" s="364"/>
    </row>
    <row r="25" spans="2:6" ht="13.5" thickBot="1">
      <c r="B25" s="167"/>
      <c r="C25" s="5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14868.63</v>
      </c>
      <c r="E26" s="217">
        <f>D21</f>
        <v>16673.87</v>
      </c>
    </row>
    <row r="27" spans="2:6">
      <c r="B27" s="9" t="s">
        <v>17</v>
      </c>
      <c r="C27" s="10" t="s">
        <v>111</v>
      </c>
      <c r="D27" s="323">
        <v>-345.21999999999997</v>
      </c>
      <c r="E27" s="274">
        <v>-350.46</v>
      </c>
      <c r="F27" s="71"/>
    </row>
    <row r="28" spans="2:6">
      <c r="B28" s="9" t="s">
        <v>18</v>
      </c>
      <c r="C28" s="10" t="s">
        <v>19</v>
      </c>
      <c r="D28" s="323"/>
      <c r="E28" s="275"/>
      <c r="F28" s="71"/>
    </row>
    <row r="29" spans="2:6">
      <c r="B29" s="104" t="s">
        <v>4</v>
      </c>
      <c r="C29" s="6" t="s">
        <v>20</v>
      </c>
      <c r="D29" s="324"/>
      <c r="E29" s="276"/>
      <c r="F29" s="71"/>
    </row>
    <row r="30" spans="2:6">
      <c r="B30" s="104" t="s">
        <v>6</v>
      </c>
      <c r="C30" s="6" t="s">
        <v>21</v>
      </c>
      <c r="D30" s="324"/>
      <c r="E30" s="276"/>
      <c r="F30" s="71"/>
    </row>
    <row r="31" spans="2:6">
      <c r="B31" s="104" t="s">
        <v>8</v>
      </c>
      <c r="C31" s="6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345.21999999999997</v>
      </c>
      <c r="E32" s="275">
        <v>350.46</v>
      </c>
      <c r="F32" s="71"/>
    </row>
    <row r="33" spans="2:6">
      <c r="B33" s="104" t="s">
        <v>4</v>
      </c>
      <c r="C33" s="6" t="s">
        <v>25</v>
      </c>
      <c r="D33" s="324"/>
      <c r="E33" s="276"/>
      <c r="F33" s="71"/>
    </row>
    <row r="34" spans="2:6">
      <c r="B34" s="104" t="s">
        <v>6</v>
      </c>
      <c r="C34" s="6" t="s">
        <v>26</v>
      </c>
      <c r="D34" s="324"/>
      <c r="E34" s="276"/>
      <c r="F34" s="71"/>
    </row>
    <row r="35" spans="2:6">
      <c r="B35" s="104" t="s">
        <v>8</v>
      </c>
      <c r="C35" s="6" t="s">
        <v>27</v>
      </c>
      <c r="D35" s="324">
        <v>71.13</v>
      </c>
      <c r="E35" s="276">
        <v>74.989999999999995</v>
      </c>
      <c r="F35" s="71"/>
    </row>
    <row r="36" spans="2:6">
      <c r="B36" s="104" t="s">
        <v>9</v>
      </c>
      <c r="C36" s="6" t="s">
        <v>28</v>
      </c>
      <c r="D36" s="324"/>
      <c r="E36" s="276"/>
      <c r="F36" s="71"/>
    </row>
    <row r="37" spans="2:6" ht="25.5">
      <c r="B37" s="104" t="s">
        <v>29</v>
      </c>
      <c r="C37" s="6" t="s">
        <v>30</v>
      </c>
      <c r="D37" s="324">
        <v>274.08999999999997</v>
      </c>
      <c r="E37" s="276">
        <v>275.47000000000003</v>
      </c>
      <c r="F37" s="71"/>
    </row>
    <row r="38" spans="2:6">
      <c r="B38" s="104" t="s">
        <v>31</v>
      </c>
      <c r="C38" s="6" t="s">
        <v>32</v>
      </c>
      <c r="D38" s="324"/>
      <c r="E38" s="276"/>
      <c r="F38" s="71"/>
    </row>
    <row r="39" spans="2:6">
      <c r="B39" s="105" t="s">
        <v>33</v>
      </c>
      <c r="C39" s="12" t="s">
        <v>34</v>
      </c>
      <c r="D39" s="325"/>
      <c r="E39" s="277"/>
      <c r="F39" s="71"/>
    </row>
    <row r="40" spans="2:6" ht="13.5" thickBot="1">
      <c r="B40" s="97" t="s">
        <v>35</v>
      </c>
      <c r="C40" s="98" t="s">
        <v>36</v>
      </c>
      <c r="D40" s="326">
        <v>2150.46</v>
      </c>
      <c r="E40" s="279">
        <v>1144.52</v>
      </c>
    </row>
    <row r="41" spans="2:6" ht="13.5" thickBot="1">
      <c r="B41" s="99" t="s">
        <v>37</v>
      </c>
      <c r="C41" s="100" t="s">
        <v>38</v>
      </c>
      <c r="D41" s="327">
        <v>16673.87</v>
      </c>
      <c r="E41" s="148">
        <f>E26+E27+E40</f>
        <v>17467.93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8" customHeight="1" thickBot="1">
      <c r="B44" s="354" t="s">
        <v>121</v>
      </c>
      <c r="C44" s="358"/>
      <c r="D44" s="358"/>
      <c r="E44" s="358"/>
    </row>
    <row r="45" spans="2:6" ht="13.5" thickBot="1">
      <c r="B45" s="16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144.68700000000001</v>
      </c>
      <c r="E47" s="73">
        <v>141.619</v>
      </c>
    </row>
    <row r="48" spans="2:6">
      <c r="B48" s="186" t="s">
        <v>6</v>
      </c>
      <c r="C48" s="187" t="s">
        <v>41</v>
      </c>
      <c r="D48" s="200">
        <v>141.619</v>
      </c>
      <c r="E48" s="335">
        <v>138.5753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84" t="s">
        <v>4</v>
      </c>
      <c r="C50" s="185" t="s">
        <v>40</v>
      </c>
      <c r="D50" s="200">
        <v>102.764104584378</v>
      </c>
      <c r="E50" s="73">
        <v>117.7375</v>
      </c>
    </row>
    <row r="51" spans="2:5">
      <c r="B51" s="184" t="s">
        <v>6</v>
      </c>
      <c r="C51" s="185" t="s">
        <v>114</v>
      </c>
      <c r="D51" s="200">
        <v>102.7641</v>
      </c>
      <c r="E51" s="319">
        <v>95.770600000000002</v>
      </c>
    </row>
    <row r="52" spans="2:5">
      <c r="B52" s="184" t="s">
        <v>8</v>
      </c>
      <c r="C52" s="185" t="s">
        <v>115</v>
      </c>
      <c r="D52" s="200">
        <v>117.79989999999999</v>
      </c>
      <c r="E52" s="319">
        <v>126.05370000000001</v>
      </c>
    </row>
    <row r="53" spans="2:5" ht="13.5" thickBot="1">
      <c r="B53" s="188" t="s">
        <v>9</v>
      </c>
      <c r="C53" s="189" t="s">
        <v>41</v>
      </c>
      <c r="D53" s="202">
        <v>117.7375</v>
      </c>
      <c r="E53" s="343">
        <v>126.05370000000001</v>
      </c>
    </row>
    <row r="54" spans="2:5">
      <c r="B54" s="190"/>
      <c r="C54" s="191"/>
      <c r="D54" s="111"/>
      <c r="E54" s="111"/>
    </row>
    <row r="55" spans="2:5" ht="13.5">
      <c r="B55" s="356" t="s">
        <v>62</v>
      </c>
      <c r="C55" s="365"/>
      <c r="D55" s="365"/>
      <c r="E55" s="365"/>
    </row>
    <row r="56" spans="2:5" ht="14.25" thickBot="1">
      <c r="B56" s="354" t="s">
        <v>116</v>
      </c>
      <c r="C56" s="366"/>
      <c r="D56" s="366"/>
      <c r="E56" s="366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SUM(D59:D70)</f>
        <v>17467.93</v>
      </c>
      <c r="E58" s="31">
        <f>D58/E21</f>
        <v>1</v>
      </c>
    </row>
    <row r="59" spans="2:5" ht="25.5">
      <c r="B59" s="123" t="s">
        <v>4</v>
      </c>
      <c r="C59" s="187" t="s">
        <v>44</v>
      </c>
      <c r="D59" s="80">
        <v>0</v>
      </c>
      <c r="E59" s="81">
        <v>0</v>
      </c>
    </row>
    <row r="60" spans="2:5" ht="25.5">
      <c r="B60" s="102" t="s">
        <v>6</v>
      </c>
      <c r="C60" s="185" t="s">
        <v>45</v>
      </c>
      <c r="D60" s="78">
        <v>0</v>
      </c>
      <c r="E60" s="79">
        <v>0</v>
      </c>
    </row>
    <row r="61" spans="2:5">
      <c r="B61" s="102" t="s">
        <v>8</v>
      </c>
      <c r="C61" s="185" t="s">
        <v>46</v>
      </c>
      <c r="D61" s="78">
        <v>0</v>
      </c>
      <c r="E61" s="79">
        <v>0</v>
      </c>
    </row>
    <row r="62" spans="2:5">
      <c r="B62" s="102" t="s">
        <v>9</v>
      </c>
      <c r="C62" s="185" t="s">
        <v>47</v>
      </c>
      <c r="D62" s="78">
        <v>0</v>
      </c>
      <c r="E62" s="79">
        <v>0</v>
      </c>
    </row>
    <row r="63" spans="2:5">
      <c r="B63" s="102" t="s">
        <v>29</v>
      </c>
      <c r="C63" s="185" t="s">
        <v>48</v>
      </c>
      <c r="D63" s="78">
        <v>0</v>
      </c>
      <c r="E63" s="79">
        <v>0</v>
      </c>
    </row>
    <row r="64" spans="2:5">
      <c r="B64" s="123" t="s">
        <v>31</v>
      </c>
      <c r="C64" s="187" t="s">
        <v>49</v>
      </c>
      <c r="D64" s="234">
        <v>15789.83</v>
      </c>
      <c r="E64" s="81">
        <f>D64/E21</f>
        <v>0.90393252091117837</v>
      </c>
    </row>
    <row r="65" spans="2:5">
      <c r="B65" s="123" t="s">
        <v>33</v>
      </c>
      <c r="C65" s="187" t="s">
        <v>118</v>
      </c>
      <c r="D65" s="80">
        <v>0</v>
      </c>
      <c r="E65" s="81">
        <v>0</v>
      </c>
    </row>
    <row r="66" spans="2:5">
      <c r="B66" s="123" t="s">
        <v>50</v>
      </c>
      <c r="C66" s="187" t="s">
        <v>51</v>
      </c>
      <c r="D66" s="80">
        <v>0</v>
      </c>
      <c r="E66" s="81">
        <v>0</v>
      </c>
    </row>
    <row r="67" spans="2:5">
      <c r="B67" s="102" t="s">
        <v>52</v>
      </c>
      <c r="C67" s="185" t="s">
        <v>53</v>
      </c>
      <c r="D67" s="78">
        <v>0</v>
      </c>
      <c r="E67" s="79">
        <v>0</v>
      </c>
    </row>
    <row r="68" spans="2:5">
      <c r="B68" s="102" t="s">
        <v>54</v>
      </c>
      <c r="C68" s="185" t="s">
        <v>55</v>
      </c>
      <c r="D68" s="78">
        <v>0</v>
      </c>
      <c r="E68" s="79">
        <v>0</v>
      </c>
    </row>
    <row r="69" spans="2:5">
      <c r="B69" s="102" t="s">
        <v>56</v>
      </c>
      <c r="C69" s="185" t="s">
        <v>57</v>
      </c>
      <c r="D69" s="303">
        <v>1678.1</v>
      </c>
      <c r="E69" s="79">
        <f>D69/E21</f>
        <v>9.6067479088821628E-2</v>
      </c>
    </row>
    <row r="70" spans="2:5">
      <c r="B70" s="129" t="s">
        <v>58</v>
      </c>
      <c r="C70" s="220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f>E13</f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f>E17</f>
        <v>0</v>
      </c>
      <c r="E73" s="26">
        <f>D73/E21</f>
        <v>0</v>
      </c>
    </row>
    <row r="74" spans="2:5">
      <c r="B74" s="130" t="s">
        <v>64</v>
      </c>
      <c r="C74" s="121" t="s">
        <v>66</v>
      </c>
      <c r="D74" s="122">
        <f>D58-D73</f>
        <v>17467.93</v>
      </c>
      <c r="E74" s="66">
        <f>E58+E72-E73</f>
        <v>1</v>
      </c>
    </row>
    <row r="75" spans="2:5">
      <c r="B75" s="102" t="s">
        <v>4</v>
      </c>
      <c r="C75" s="185" t="s">
        <v>67</v>
      </c>
      <c r="D75" s="78">
        <f>D74</f>
        <v>17467.93</v>
      </c>
      <c r="E75" s="79">
        <f>E74</f>
        <v>1</v>
      </c>
    </row>
    <row r="76" spans="2:5">
      <c r="B76" s="102" t="s">
        <v>6</v>
      </c>
      <c r="C76" s="18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89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9:E9"/>
    <mergeCell ref="B2:E2"/>
    <mergeCell ref="B3:E3"/>
    <mergeCell ref="B5:E5"/>
    <mergeCell ref="B6:E6"/>
    <mergeCell ref="B8:E8"/>
    <mergeCell ref="B56:E56"/>
    <mergeCell ref="B57:C57"/>
    <mergeCell ref="B21:C21"/>
    <mergeCell ref="B23:E23"/>
    <mergeCell ref="B24:E24"/>
    <mergeCell ref="B43:E43"/>
    <mergeCell ref="B44:E44"/>
    <mergeCell ref="B55:E55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2"/>
  <dimension ref="A1:G81"/>
  <sheetViews>
    <sheetView zoomScale="80" zoomScaleNormal="80" workbookViewId="0">
      <selection activeCell="E41" sqref="E41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87"/>
      <c r="C4" s="87"/>
      <c r="D4" s="87"/>
      <c r="E4" s="87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68</v>
      </c>
      <c r="C6" s="353"/>
      <c r="D6" s="353"/>
      <c r="E6" s="353"/>
    </row>
    <row r="7" spans="2:7" ht="14.25">
      <c r="B7" s="89"/>
      <c r="C7" s="89"/>
      <c r="D7" s="89"/>
      <c r="E7" s="8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88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16985387.210000001</v>
      </c>
      <c r="E11" s="228">
        <f>SUM(E12:E14)</f>
        <v>15877715.82</v>
      </c>
    </row>
    <row r="12" spans="2:7">
      <c r="B12" s="106" t="s">
        <v>4</v>
      </c>
      <c r="C12" s="6" t="s">
        <v>5</v>
      </c>
      <c r="D12" s="241">
        <v>16978900.25</v>
      </c>
      <c r="E12" s="245">
        <v>15877715.82</v>
      </c>
    </row>
    <row r="13" spans="2:7">
      <c r="B13" s="106" t="s">
        <v>6</v>
      </c>
      <c r="C13" s="68" t="s">
        <v>7</v>
      </c>
      <c r="D13" s="237">
        <v>6486.96</v>
      </c>
      <c r="E13" s="246"/>
    </row>
    <row r="14" spans="2:7">
      <c r="B14" s="106" t="s">
        <v>8</v>
      </c>
      <c r="C14" s="68" t="s">
        <v>10</v>
      </c>
      <c r="D14" s="237"/>
      <c r="E14" s="246"/>
    </row>
    <row r="15" spans="2:7">
      <c r="B15" s="106" t="s">
        <v>106</v>
      </c>
      <c r="C15" s="68" t="s">
        <v>11</v>
      </c>
      <c r="D15" s="237"/>
      <c r="E15" s="246"/>
    </row>
    <row r="16" spans="2:7">
      <c r="B16" s="107" t="s">
        <v>107</v>
      </c>
      <c r="C16" s="91" t="s">
        <v>12</v>
      </c>
      <c r="D16" s="239"/>
      <c r="E16" s="247"/>
    </row>
    <row r="17" spans="2:6">
      <c r="B17" s="9" t="s">
        <v>13</v>
      </c>
      <c r="C17" s="11" t="s">
        <v>65</v>
      </c>
      <c r="D17" s="240">
        <v>31223.11</v>
      </c>
      <c r="E17" s="248">
        <f>E18</f>
        <v>55019.02</v>
      </c>
    </row>
    <row r="18" spans="2:6">
      <c r="B18" s="106" t="s">
        <v>4</v>
      </c>
      <c r="C18" s="6" t="s">
        <v>11</v>
      </c>
      <c r="D18" s="239">
        <v>31223.11</v>
      </c>
      <c r="E18" s="247">
        <v>55019.02</v>
      </c>
    </row>
    <row r="19" spans="2:6" ht="15" customHeight="1">
      <c r="B19" s="106" t="s">
        <v>6</v>
      </c>
      <c r="C19" s="68" t="s">
        <v>108</v>
      </c>
      <c r="D19" s="237"/>
      <c r="E19" s="246"/>
    </row>
    <row r="20" spans="2:6" ht="13.5" thickBot="1">
      <c r="B20" s="108" t="s">
        <v>8</v>
      </c>
      <c r="C20" s="6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16954164.100000001</v>
      </c>
      <c r="E21" s="148">
        <f>E11-E17</f>
        <v>15822696.800000001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3"/>
      <c r="D23" s="363"/>
      <c r="E23" s="363"/>
    </row>
    <row r="24" spans="2:6" ht="15.75" customHeight="1" thickBot="1">
      <c r="B24" s="354" t="s">
        <v>105</v>
      </c>
      <c r="C24" s="364"/>
      <c r="D24" s="364"/>
      <c r="E24" s="364"/>
    </row>
    <row r="25" spans="2:6" ht="13.5" thickBot="1">
      <c r="B25" s="88"/>
      <c r="C25" s="5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18525775.870000005</v>
      </c>
      <c r="E26" s="217">
        <f>D21</f>
        <v>16954164.100000001</v>
      </c>
    </row>
    <row r="27" spans="2:6">
      <c r="B27" s="9" t="s">
        <v>17</v>
      </c>
      <c r="C27" s="10" t="s">
        <v>111</v>
      </c>
      <c r="D27" s="323">
        <v>-1679872.3900000001</v>
      </c>
      <c r="E27" s="274">
        <f>E28-E32</f>
        <v>-1510075.1600000001</v>
      </c>
      <c r="F27" s="71"/>
    </row>
    <row r="28" spans="2:6">
      <c r="B28" s="9" t="s">
        <v>18</v>
      </c>
      <c r="C28" s="10" t="s">
        <v>19</v>
      </c>
      <c r="D28" s="323">
        <v>653497.1</v>
      </c>
      <c r="E28" s="275">
        <v>410536.57</v>
      </c>
      <c r="F28" s="71"/>
    </row>
    <row r="29" spans="2:6">
      <c r="B29" s="104" t="s">
        <v>4</v>
      </c>
      <c r="C29" s="6" t="s">
        <v>20</v>
      </c>
      <c r="D29" s="324">
        <v>11448.22</v>
      </c>
      <c r="E29" s="276">
        <v>10071.469999999999</v>
      </c>
      <c r="F29" s="71"/>
    </row>
    <row r="30" spans="2:6">
      <c r="B30" s="104" t="s">
        <v>6</v>
      </c>
      <c r="C30" s="6" t="s">
        <v>21</v>
      </c>
      <c r="D30" s="324"/>
      <c r="E30" s="276"/>
      <c r="F30" s="71"/>
    </row>
    <row r="31" spans="2:6">
      <c r="B31" s="104" t="s">
        <v>8</v>
      </c>
      <c r="C31" s="6" t="s">
        <v>22</v>
      </c>
      <c r="D31" s="324">
        <v>642048.88</v>
      </c>
      <c r="E31" s="276">
        <v>400465.1</v>
      </c>
      <c r="F31" s="71"/>
    </row>
    <row r="32" spans="2:6">
      <c r="B32" s="92" t="s">
        <v>23</v>
      </c>
      <c r="C32" s="11" t="s">
        <v>24</v>
      </c>
      <c r="D32" s="323">
        <v>2333369.4900000002</v>
      </c>
      <c r="E32" s="275">
        <f>SUM(E33:E39)</f>
        <v>1920611.7300000002</v>
      </c>
      <c r="F32" s="71"/>
    </row>
    <row r="33" spans="2:6">
      <c r="B33" s="104" t="s">
        <v>4</v>
      </c>
      <c r="C33" s="6" t="s">
        <v>25</v>
      </c>
      <c r="D33" s="324">
        <v>2200005.31</v>
      </c>
      <c r="E33" s="276">
        <f>1767537.1-11641</f>
        <v>1755896.1</v>
      </c>
      <c r="F33" s="71"/>
    </row>
    <row r="34" spans="2:6">
      <c r="B34" s="104" t="s">
        <v>6</v>
      </c>
      <c r="C34" s="6" t="s">
        <v>26</v>
      </c>
      <c r="D34" s="324"/>
      <c r="E34" s="276"/>
      <c r="F34" s="71"/>
    </row>
    <row r="35" spans="2:6">
      <c r="B35" s="104" t="s">
        <v>8</v>
      </c>
      <c r="C35" s="6" t="s">
        <v>27</v>
      </c>
      <c r="D35" s="324">
        <v>36527.230000000003</v>
      </c>
      <c r="E35" s="276">
        <v>37012.61</v>
      </c>
      <c r="F35" s="71"/>
    </row>
    <row r="36" spans="2:6">
      <c r="B36" s="104" t="s">
        <v>9</v>
      </c>
      <c r="C36" s="6" t="s">
        <v>28</v>
      </c>
      <c r="D36" s="324"/>
      <c r="E36" s="276"/>
      <c r="F36" s="71"/>
    </row>
    <row r="37" spans="2:6" ht="25.5">
      <c r="B37" s="104" t="s">
        <v>29</v>
      </c>
      <c r="C37" s="6" t="s">
        <v>30</v>
      </c>
      <c r="D37" s="324"/>
      <c r="E37" s="276"/>
      <c r="F37" s="71"/>
    </row>
    <row r="38" spans="2:6">
      <c r="B38" s="104" t="s">
        <v>31</v>
      </c>
      <c r="C38" s="6" t="s">
        <v>32</v>
      </c>
      <c r="D38" s="324"/>
      <c r="E38" s="276"/>
      <c r="F38" s="71"/>
    </row>
    <row r="39" spans="2:6">
      <c r="B39" s="105" t="s">
        <v>33</v>
      </c>
      <c r="C39" s="12" t="s">
        <v>34</v>
      </c>
      <c r="D39" s="325">
        <v>96836.95</v>
      </c>
      <c r="E39" s="277">
        <v>127703.02</v>
      </c>
      <c r="F39" s="71"/>
    </row>
    <row r="40" spans="2:6" ht="13.5" thickBot="1">
      <c r="B40" s="97" t="s">
        <v>35</v>
      </c>
      <c r="C40" s="98" t="s">
        <v>36</v>
      </c>
      <c r="D40" s="326">
        <v>108260.62</v>
      </c>
      <c r="E40" s="279">
        <v>378607.86</v>
      </c>
    </row>
    <row r="41" spans="2:6" ht="13.5" thickBot="1">
      <c r="B41" s="99" t="s">
        <v>37</v>
      </c>
      <c r="C41" s="100" t="s">
        <v>38</v>
      </c>
      <c r="D41" s="327">
        <v>16954164.100000005</v>
      </c>
      <c r="E41" s="148">
        <f>E26+E27+E40</f>
        <v>15822696.800000001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8" customHeight="1" thickBot="1">
      <c r="B44" s="354" t="s">
        <v>121</v>
      </c>
      <c r="C44" s="358"/>
      <c r="D44" s="358"/>
      <c r="E44" s="358"/>
    </row>
    <row r="45" spans="2:6" ht="13.5" thickBot="1">
      <c r="B45" s="88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1422805.0834999999</v>
      </c>
      <c r="E47" s="73">
        <v>1294336.0936999999</v>
      </c>
    </row>
    <row r="48" spans="2:6">
      <c r="B48" s="123" t="s">
        <v>6</v>
      </c>
      <c r="C48" s="22" t="s">
        <v>41</v>
      </c>
      <c r="D48" s="200">
        <v>1294336.0936999999</v>
      </c>
      <c r="E48" s="73">
        <v>1179559.9424000001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02" t="s">
        <v>4</v>
      </c>
      <c r="C50" s="15" t="s">
        <v>40</v>
      </c>
      <c r="D50" s="200">
        <v>13.0206</v>
      </c>
      <c r="E50" s="73">
        <v>13.098699999999999</v>
      </c>
    </row>
    <row r="51" spans="2:5">
      <c r="B51" s="102" t="s">
        <v>6</v>
      </c>
      <c r="C51" s="15" t="s">
        <v>114</v>
      </c>
      <c r="D51" s="200">
        <v>12.990399999999999</v>
      </c>
      <c r="E51" s="75">
        <v>12.7288</v>
      </c>
    </row>
    <row r="52" spans="2:5">
      <c r="B52" s="102" t="s">
        <v>8</v>
      </c>
      <c r="C52" s="15" t="s">
        <v>115</v>
      </c>
      <c r="D52" s="200">
        <v>13.2189</v>
      </c>
      <c r="E52" s="75">
        <v>13.416399999999999</v>
      </c>
    </row>
    <row r="53" spans="2:5" ht="13.5" customHeight="1" thickBot="1">
      <c r="B53" s="103" t="s">
        <v>9</v>
      </c>
      <c r="C53" s="17" t="s">
        <v>41</v>
      </c>
      <c r="D53" s="202">
        <v>13.098699999999999</v>
      </c>
      <c r="E53" s="280">
        <v>13.414099999999999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5.7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15877715.82</v>
      </c>
      <c r="E58" s="31">
        <f>D58/E21</f>
        <v>1.00347722140514</v>
      </c>
    </row>
    <row r="59" spans="2:5" ht="25.5">
      <c r="B59" s="186" t="s">
        <v>4</v>
      </c>
      <c r="C59" s="187" t="s">
        <v>44</v>
      </c>
      <c r="D59" s="80">
        <v>0</v>
      </c>
      <c r="E59" s="81">
        <v>0</v>
      </c>
    </row>
    <row r="60" spans="2:5" ht="25.5">
      <c r="B60" s="184" t="s">
        <v>6</v>
      </c>
      <c r="C60" s="185" t="s">
        <v>45</v>
      </c>
      <c r="D60" s="78">
        <v>0</v>
      </c>
      <c r="E60" s="79">
        <v>0</v>
      </c>
    </row>
    <row r="61" spans="2:5" ht="12.75" customHeight="1">
      <c r="B61" s="184" t="s">
        <v>8</v>
      </c>
      <c r="C61" s="185" t="s">
        <v>46</v>
      </c>
      <c r="D61" s="78">
        <v>0</v>
      </c>
      <c r="E61" s="79">
        <v>0</v>
      </c>
    </row>
    <row r="62" spans="2:5">
      <c r="B62" s="184" t="s">
        <v>9</v>
      </c>
      <c r="C62" s="185" t="s">
        <v>47</v>
      </c>
      <c r="D62" s="78">
        <v>0</v>
      </c>
      <c r="E62" s="79">
        <v>0</v>
      </c>
    </row>
    <row r="63" spans="2:5">
      <c r="B63" s="184" t="s">
        <v>29</v>
      </c>
      <c r="C63" s="185" t="s">
        <v>48</v>
      </c>
      <c r="D63" s="78">
        <v>0</v>
      </c>
      <c r="E63" s="79">
        <v>0</v>
      </c>
    </row>
    <row r="64" spans="2:5">
      <c r="B64" s="186" t="s">
        <v>31</v>
      </c>
      <c r="C64" s="187" t="s">
        <v>49</v>
      </c>
      <c r="D64" s="80">
        <f>E12</f>
        <v>15877715.82</v>
      </c>
      <c r="E64" s="81">
        <f>D64/E21</f>
        <v>1.00347722140514</v>
      </c>
    </row>
    <row r="65" spans="2:5">
      <c r="B65" s="186" t="s">
        <v>33</v>
      </c>
      <c r="C65" s="187" t="s">
        <v>118</v>
      </c>
      <c r="D65" s="80">
        <v>0</v>
      </c>
      <c r="E65" s="81">
        <v>0</v>
      </c>
    </row>
    <row r="66" spans="2:5">
      <c r="B66" s="186" t="s">
        <v>50</v>
      </c>
      <c r="C66" s="187" t="s">
        <v>51</v>
      </c>
      <c r="D66" s="80">
        <v>0</v>
      </c>
      <c r="E66" s="81">
        <v>0</v>
      </c>
    </row>
    <row r="67" spans="2:5">
      <c r="B67" s="184" t="s">
        <v>52</v>
      </c>
      <c r="C67" s="185" t="s">
        <v>53</v>
      </c>
      <c r="D67" s="78">
        <v>0</v>
      </c>
      <c r="E67" s="79">
        <v>0</v>
      </c>
    </row>
    <row r="68" spans="2:5">
      <c r="B68" s="184" t="s">
        <v>54</v>
      </c>
      <c r="C68" s="185" t="s">
        <v>55</v>
      </c>
      <c r="D68" s="78">
        <v>0</v>
      </c>
      <c r="E68" s="79">
        <v>0</v>
      </c>
    </row>
    <row r="69" spans="2:5">
      <c r="B69" s="184" t="s">
        <v>56</v>
      </c>
      <c r="C69" s="185" t="s">
        <v>57</v>
      </c>
      <c r="D69" s="235">
        <v>0</v>
      </c>
      <c r="E69" s="79">
        <v>0</v>
      </c>
    </row>
    <row r="70" spans="2:5">
      <c r="B70" s="221" t="s">
        <v>58</v>
      </c>
      <c r="C70" s="220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f>E13</f>
        <v>0</v>
      </c>
      <c r="E71" s="66">
        <f>D71/E21</f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f>E17</f>
        <v>55019.02</v>
      </c>
      <c r="E73" s="26">
        <f>D73/E21</f>
        <v>3.4772214051399884E-3</v>
      </c>
    </row>
    <row r="74" spans="2:5">
      <c r="B74" s="130" t="s">
        <v>64</v>
      </c>
      <c r="C74" s="121" t="s">
        <v>66</v>
      </c>
      <c r="D74" s="122">
        <f>D58+D71+D72-D73</f>
        <v>15822696.800000001</v>
      </c>
      <c r="E74" s="66">
        <f>E58+E71+E72-E73</f>
        <v>1</v>
      </c>
    </row>
    <row r="75" spans="2:5">
      <c r="B75" s="184" t="s">
        <v>4</v>
      </c>
      <c r="C75" s="185" t="s">
        <v>67</v>
      </c>
      <c r="D75" s="78">
        <f>D74</f>
        <v>15822696.800000001</v>
      </c>
      <c r="E75" s="79">
        <f>E74</f>
        <v>1</v>
      </c>
    </row>
    <row r="76" spans="2:5">
      <c r="B76" s="184" t="s">
        <v>6</v>
      </c>
      <c r="C76" s="185" t="s">
        <v>119</v>
      </c>
      <c r="D76" s="78">
        <v>0</v>
      </c>
      <c r="E76" s="79">
        <v>0</v>
      </c>
    </row>
    <row r="77" spans="2:5" ht="13.5" thickBot="1">
      <c r="B77" s="188" t="s">
        <v>8</v>
      </c>
      <c r="C77" s="189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3"/>
  <dimension ref="A1:G81"/>
  <sheetViews>
    <sheetView zoomScale="80" zoomScaleNormal="80" workbookViewId="0">
      <selection activeCell="E41" sqref="E41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87"/>
      <c r="C4" s="87"/>
      <c r="D4" s="87"/>
      <c r="E4" s="87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69</v>
      </c>
      <c r="C6" s="353"/>
      <c r="D6" s="353"/>
      <c r="E6" s="353"/>
    </row>
    <row r="7" spans="2:7" ht="14.25">
      <c r="B7" s="89"/>
      <c r="C7" s="89"/>
      <c r="D7" s="89"/>
      <c r="E7" s="8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88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105434245.45</v>
      </c>
      <c r="E11" s="228">
        <f>SUM(E12:E14)</f>
        <v>96458073.739999995</v>
      </c>
    </row>
    <row r="12" spans="2:7">
      <c r="B12" s="106" t="s">
        <v>4</v>
      </c>
      <c r="C12" s="6" t="s">
        <v>5</v>
      </c>
      <c r="D12" s="241">
        <v>105432298.09</v>
      </c>
      <c r="E12" s="245">
        <f>96553404.07-95330.33</f>
        <v>96458073.739999995</v>
      </c>
    </row>
    <row r="13" spans="2:7">
      <c r="B13" s="106" t="s">
        <v>6</v>
      </c>
      <c r="C13" s="68" t="s">
        <v>7</v>
      </c>
      <c r="D13" s="237">
        <v>1947.36</v>
      </c>
      <c r="E13" s="246"/>
    </row>
    <row r="14" spans="2:7">
      <c r="B14" s="106" t="s">
        <v>8</v>
      </c>
      <c r="C14" s="68" t="s">
        <v>10</v>
      </c>
      <c r="D14" s="237"/>
      <c r="E14" s="246"/>
    </row>
    <row r="15" spans="2:7">
      <c r="B15" s="106" t="s">
        <v>106</v>
      </c>
      <c r="C15" s="68" t="s">
        <v>11</v>
      </c>
      <c r="D15" s="237"/>
      <c r="E15" s="246"/>
    </row>
    <row r="16" spans="2:7">
      <c r="B16" s="107" t="s">
        <v>107</v>
      </c>
      <c r="C16" s="91" t="s">
        <v>12</v>
      </c>
      <c r="D16" s="239"/>
      <c r="E16" s="247"/>
    </row>
    <row r="17" spans="2:6">
      <c r="B17" s="9" t="s">
        <v>13</v>
      </c>
      <c r="C17" s="11" t="s">
        <v>65</v>
      </c>
      <c r="D17" s="240">
        <v>307235.42</v>
      </c>
      <c r="E17" s="248">
        <f>E18</f>
        <v>481600.52</v>
      </c>
    </row>
    <row r="18" spans="2:6">
      <c r="B18" s="106" t="s">
        <v>4</v>
      </c>
      <c r="C18" s="6" t="s">
        <v>11</v>
      </c>
      <c r="D18" s="239">
        <v>307235.42</v>
      </c>
      <c r="E18" s="247">
        <v>481600.52</v>
      </c>
    </row>
    <row r="19" spans="2:6" ht="15" customHeight="1">
      <c r="B19" s="106" t="s">
        <v>6</v>
      </c>
      <c r="C19" s="68" t="s">
        <v>108</v>
      </c>
      <c r="D19" s="237"/>
      <c r="E19" s="246"/>
    </row>
    <row r="20" spans="2:6" ht="13.5" thickBot="1">
      <c r="B20" s="108" t="s">
        <v>8</v>
      </c>
      <c r="C20" s="6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105127010.03</v>
      </c>
      <c r="E21" s="148">
        <f>E11-E17</f>
        <v>95976473.219999999</v>
      </c>
      <c r="F21" s="77"/>
    </row>
    <row r="22" spans="2:6">
      <c r="B22" s="3"/>
      <c r="C22" s="7"/>
      <c r="D22" s="8"/>
      <c r="E22" s="299"/>
    </row>
    <row r="23" spans="2:6" ht="13.5">
      <c r="B23" s="355" t="s">
        <v>104</v>
      </c>
      <c r="C23" s="363"/>
      <c r="D23" s="363"/>
      <c r="E23" s="363"/>
    </row>
    <row r="24" spans="2:6" ht="15.75" customHeight="1" thickBot="1">
      <c r="B24" s="354" t="s">
        <v>105</v>
      </c>
      <c r="C24" s="364"/>
      <c r="D24" s="364"/>
      <c r="E24" s="364"/>
    </row>
    <row r="25" spans="2:6" ht="13.5" thickBot="1">
      <c r="B25" s="88"/>
      <c r="C25" s="5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116897431.09</v>
      </c>
      <c r="E26" s="217">
        <f>D21</f>
        <v>105127010.03</v>
      </c>
    </row>
    <row r="27" spans="2:6">
      <c r="B27" s="9" t="s">
        <v>17</v>
      </c>
      <c r="C27" s="10" t="s">
        <v>111</v>
      </c>
      <c r="D27" s="323">
        <v>-14348448.089999998</v>
      </c>
      <c r="E27" s="274">
        <f>E28-E32</f>
        <v>-8344541.6200000001</v>
      </c>
      <c r="F27" s="71"/>
    </row>
    <row r="28" spans="2:6">
      <c r="B28" s="9" t="s">
        <v>18</v>
      </c>
      <c r="C28" s="10" t="s">
        <v>19</v>
      </c>
      <c r="D28" s="323">
        <v>53865.82</v>
      </c>
      <c r="E28" s="275">
        <v>50342.13</v>
      </c>
      <c r="F28" s="71"/>
    </row>
    <row r="29" spans="2:6">
      <c r="B29" s="104" t="s">
        <v>4</v>
      </c>
      <c r="C29" s="6" t="s">
        <v>20</v>
      </c>
      <c r="D29" s="324">
        <v>53865.82</v>
      </c>
      <c r="E29" s="276">
        <v>47370.42</v>
      </c>
      <c r="F29" s="71"/>
    </row>
    <row r="30" spans="2:6">
      <c r="B30" s="104" t="s">
        <v>6</v>
      </c>
      <c r="C30" s="6" t="s">
        <v>21</v>
      </c>
      <c r="D30" s="324"/>
      <c r="E30" s="276"/>
      <c r="F30" s="71"/>
    </row>
    <row r="31" spans="2:6">
      <c r="B31" s="104" t="s">
        <v>8</v>
      </c>
      <c r="C31" s="6" t="s">
        <v>22</v>
      </c>
      <c r="D31" s="324"/>
      <c r="E31" s="276">
        <v>2971.71</v>
      </c>
      <c r="F31" s="71"/>
    </row>
    <row r="32" spans="2:6">
      <c r="B32" s="92" t="s">
        <v>23</v>
      </c>
      <c r="C32" s="11" t="s">
        <v>24</v>
      </c>
      <c r="D32" s="323">
        <v>14402313.909999998</v>
      </c>
      <c r="E32" s="275">
        <f>SUM(E33:E39)</f>
        <v>8394883.75</v>
      </c>
      <c r="F32" s="71"/>
    </row>
    <row r="33" spans="2:6">
      <c r="B33" s="104" t="s">
        <v>4</v>
      </c>
      <c r="C33" s="6" t="s">
        <v>25</v>
      </c>
      <c r="D33" s="324">
        <v>13817634.76</v>
      </c>
      <c r="E33" s="276">
        <f>7956113.23-19652.45</f>
        <v>7936460.7800000003</v>
      </c>
      <c r="F33" s="71"/>
    </row>
    <row r="34" spans="2:6">
      <c r="B34" s="104" t="s">
        <v>6</v>
      </c>
      <c r="C34" s="6" t="s">
        <v>26</v>
      </c>
      <c r="D34" s="324"/>
      <c r="E34" s="276"/>
      <c r="F34" s="71"/>
    </row>
    <row r="35" spans="2:6">
      <c r="B35" s="104" t="s">
        <v>8</v>
      </c>
      <c r="C35" s="6" t="s">
        <v>27</v>
      </c>
      <c r="D35" s="324">
        <v>195310.7</v>
      </c>
      <c r="E35" s="276">
        <v>174539.29</v>
      </c>
      <c r="F35" s="71"/>
    </row>
    <row r="36" spans="2:6">
      <c r="B36" s="104" t="s">
        <v>9</v>
      </c>
      <c r="C36" s="6" t="s">
        <v>28</v>
      </c>
      <c r="D36" s="324"/>
      <c r="E36" s="276"/>
      <c r="F36" s="71"/>
    </row>
    <row r="37" spans="2:6" ht="25.5">
      <c r="B37" s="104" t="s">
        <v>29</v>
      </c>
      <c r="C37" s="6" t="s">
        <v>30</v>
      </c>
      <c r="D37" s="324"/>
      <c r="E37" s="276"/>
      <c r="F37" s="71"/>
    </row>
    <row r="38" spans="2:6">
      <c r="B38" s="104" t="s">
        <v>31</v>
      </c>
      <c r="C38" s="6" t="s">
        <v>32</v>
      </c>
      <c r="D38" s="324"/>
      <c r="E38" s="276"/>
      <c r="F38" s="71"/>
    </row>
    <row r="39" spans="2:6">
      <c r="B39" s="105" t="s">
        <v>33</v>
      </c>
      <c r="C39" s="12" t="s">
        <v>34</v>
      </c>
      <c r="D39" s="325">
        <v>389368.45</v>
      </c>
      <c r="E39" s="277">
        <v>283883.68</v>
      </c>
      <c r="F39" s="71"/>
    </row>
    <row r="40" spans="2:6" ht="13.5" thickBot="1">
      <c r="B40" s="97" t="s">
        <v>35</v>
      </c>
      <c r="C40" s="98" t="s">
        <v>36</v>
      </c>
      <c r="D40" s="326">
        <v>2578027.0299999998</v>
      </c>
      <c r="E40" s="279">
        <v>-805995.19</v>
      </c>
    </row>
    <row r="41" spans="2:6" ht="13.5" thickBot="1">
      <c r="B41" s="99" t="s">
        <v>37</v>
      </c>
      <c r="C41" s="100" t="s">
        <v>38</v>
      </c>
      <c r="D41" s="327">
        <v>105127010.03</v>
      </c>
      <c r="E41" s="148">
        <f>E26+E27+E40</f>
        <v>95976473.219999999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8" customHeight="1" thickBot="1">
      <c r="B44" s="354" t="s">
        <v>121</v>
      </c>
      <c r="C44" s="358"/>
      <c r="D44" s="358"/>
      <c r="E44" s="358"/>
    </row>
    <row r="45" spans="2:6" ht="13.5" thickBot="1">
      <c r="B45" s="88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11898562.88768</v>
      </c>
      <c r="E47" s="73">
        <v>10472691.497099999</v>
      </c>
    </row>
    <row r="48" spans="2:6">
      <c r="B48" s="123" t="s">
        <v>6</v>
      </c>
      <c r="C48" s="22" t="s">
        <v>41</v>
      </c>
      <c r="D48" s="200">
        <v>10472691.497099999</v>
      </c>
      <c r="E48" s="73">
        <v>9568952.8922000006</v>
      </c>
    </row>
    <row r="49" spans="2:5">
      <c r="B49" s="120" t="s">
        <v>23</v>
      </c>
      <c r="C49" s="124" t="s">
        <v>113</v>
      </c>
      <c r="D49" s="201"/>
      <c r="E49" s="73"/>
    </row>
    <row r="50" spans="2:5">
      <c r="B50" s="102" t="s">
        <v>4</v>
      </c>
      <c r="C50" s="15" t="s">
        <v>40</v>
      </c>
      <c r="D50" s="200">
        <v>9.8245000000000005</v>
      </c>
      <c r="E50" s="73">
        <v>10.0382</v>
      </c>
    </row>
    <row r="51" spans="2:5">
      <c r="B51" s="102" t="s">
        <v>6</v>
      </c>
      <c r="C51" s="15" t="s">
        <v>114</v>
      </c>
      <c r="D51" s="200">
        <v>9.7561</v>
      </c>
      <c r="E51" s="75">
        <v>7.9417</v>
      </c>
    </row>
    <row r="52" spans="2:5" ht="12.75" customHeight="1">
      <c r="B52" s="102" t="s">
        <v>8</v>
      </c>
      <c r="C52" s="15" t="s">
        <v>115</v>
      </c>
      <c r="D52" s="200">
        <v>10.277100000000001</v>
      </c>
      <c r="E52" s="75">
        <v>10.1409</v>
      </c>
    </row>
    <row r="53" spans="2:5" ht="13.5" thickBot="1">
      <c r="B53" s="103" t="s">
        <v>9</v>
      </c>
      <c r="C53" s="17" t="s">
        <v>41</v>
      </c>
      <c r="D53" s="202">
        <v>10.0382</v>
      </c>
      <c r="E53" s="280">
        <v>10.029999999999999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8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96458073.739999995</v>
      </c>
      <c r="E58" s="31">
        <f>D58/E21</f>
        <v>1.0050179018236693</v>
      </c>
    </row>
    <row r="59" spans="2:5" ht="25.5">
      <c r="B59" s="186" t="s">
        <v>4</v>
      </c>
      <c r="C59" s="187" t="s">
        <v>44</v>
      </c>
      <c r="D59" s="80">
        <v>0</v>
      </c>
      <c r="E59" s="81">
        <v>0</v>
      </c>
    </row>
    <row r="60" spans="2:5" ht="24" customHeight="1">
      <c r="B60" s="184" t="s">
        <v>6</v>
      </c>
      <c r="C60" s="185" t="s">
        <v>45</v>
      </c>
      <c r="D60" s="78">
        <v>0</v>
      </c>
      <c r="E60" s="79">
        <v>0</v>
      </c>
    </row>
    <row r="61" spans="2:5">
      <c r="B61" s="184" t="s">
        <v>8</v>
      </c>
      <c r="C61" s="185" t="s">
        <v>46</v>
      </c>
      <c r="D61" s="78">
        <v>0</v>
      </c>
      <c r="E61" s="79">
        <v>0</v>
      </c>
    </row>
    <row r="62" spans="2:5">
      <c r="B62" s="184" t="s">
        <v>9</v>
      </c>
      <c r="C62" s="185" t="s">
        <v>47</v>
      </c>
      <c r="D62" s="78">
        <v>0</v>
      </c>
      <c r="E62" s="79">
        <v>0</v>
      </c>
    </row>
    <row r="63" spans="2:5">
      <c r="B63" s="184" t="s">
        <v>29</v>
      </c>
      <c r="C63" s="185" t="s">
        <v>48</v>
      </c>
      <c r="D63" s="78">
        <v>0</v>
      </c>
      <c r="E63" s="79">
        <v>0</v>
      </c>
    </row>
    <row r="64" spans="2:5">
      <c r="B64" s="186" t="s">
        <v>31</v>
      </c>
      <c r="C64" s="187" t="s">
        <v>49</v>
      </c>
      <c r="D64" s="80">
        <f>E12</f>
        <v>96458073.739999995</v>
      </c>
      <c r="E64" s="81">
        <f>D64/E21</f>
        <v>1.0050179018236693</v>
      </c>
    </row>
    <row r="65" spans="2:5">
      <c r="B65" s="186" t="s">
        <v>33</v>
      </c>
      <c r="C65" s="187" t="s">
        <v>118</v>
      </c>
      <c r="D65" s="80">
        <v>0</v>
      </c>
      <c r="E65" s="81">
        <v>0</v>
      </c>
    </row>
    <row r="66" spans="2:5">
      <c r="B66" s="186" t="s">
        <v>50</v>
      </c>
      <c r="C66" s="187" t="s">
        <v>51</v>
      </c>
      <c r="D66" s="80">
        <v>0</v>
      </c>
      <c r="E66" s="81">
        <v>0</v>
      </c>
    </row>
    <row r="67" spans="2:5">
      <c r="B67" s="184" t="s">
        <v>52</v>
      </c>
      <c r="C67" s="185" t="s">
        <v>53</v>
      </c>
      <c r="D67" s="78">
        <v>0</v>
      </c>
      <c r="E67" s="79">
        <v>0</v>
      </c>
    </row>
    <row r="68" spans="2:5">
      <c r="B68" s="184" t="s">
        <v>54</v>
      </c>
      <c r="C68" s="185" t="s">
        <v>55</v>
      </c>
      <c r="D68" s="78">
        <v>0</v>
      </c>
      <c r="E68" s="79">
        <v>0</v>
      </c>
    </row>
    <row r="69" spans="2:5">
      <c r="B69" s="184" t="s">
        <v>56</v>
      </c>
      <c r="C69" s="185" t="s">
        <v>57</v>
      </c>
      <c r="D69" s="235">
        <v>0</v>
      </c>
      <c r="E69" s="79">
        <v>0</v>
      </c>
    </row>
    <row r="70" spans="2:5">
      <c r="B70" s="221" t="s">
        <v>58</v>
      </c>
      <c r="C70" s="220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f>E13</f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f>E17</f>
        <v>481600.52</v>
      </c>
      <c r="E73" s="26">
        <f>D73/E21</f>
        <v>5.0179018236694486E-3</v>
      </c>
    </row>
    <row r="74" spans="2:5">
      <c r="B74" s="130" t="s">
        <v>64</v>
      </c>
      <c r="C74" s="121" t="s">
        <v>66</v>
      </c>
      <c r="D74" s="122">
        <f>D58+D71-D73</f>
        <v>95976473.219999999</v>
      </c>
      <c r="E74" s="66">
        <f>E58+E72-E73</f>
        <v>0.99999999999999989</v>
      </c>
    </row>
    <row r="75" spans="2:5">
      <c r="B75" s="184" t="s">
        <v>4</v>
      </c>
      <c r="C75" s="185" t="s">
        <v>67</v>
      </c>
      <c r="D75" s="78">
        <f>D74</f>
        <v>95976473.219999999</v>
      </c>
      <c r="E75" s="79">
        <f>E74</f>
        <v>0.99999999999999989</v>
      </c>
    </row>
    <row r="76" spans="2:5">
      <c r="B76" s="184" t="s">
        <v>6</v>
      </c>
      <c r="C76" s="185" t="s">
        <v>119</v>
      </c>
      <c r="D76" s="78">
        <v>0</v>
      </c>
      <c r="E76" s="79">
        <v>0</v>
      </c>
    </row>
    <row r="77" spans="2:5" ht="13.5" thickBot="1">
      <c r="B77" s="188" t="s">
        <v>8</v>
      </c>
      <c r="C77" s="189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3" right="0.75" top="0.56000000000000005" bottom="0.47" header="0.5" footer="0.5"/>
  <pageSetup paperSize="9" scale="7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/>
  <dimension ref="A1:G81"/>
  <sheetViews>
    <sheetView zoomScale="80" zoomScaleNormal="80" workbookViewId="0">
      <selection activeCell="G13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87"/>
      <c r="C4" s="87"/>
      <c r="D4" s="87"/>
      <c r="E4" s="87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70</v>
      </c>
      <c r="C6" s="353"/>
      <c r="D6" s="353"/>
      <c r="E6" s="353"/>
    </row>
    <row r="7" spans="2:7" ht="14.25">
      <c r="B7" s="89"/>
      <c r="C7" s="89"/>
      <c r="D7" s="89"/>
      <c r="E7" s="8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88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97587906.030000001</v>
      </c>
      <c r="E11" s="228">
        <f>SUM(E12:E14)</f>
        <v>89496455.040000007</v>
      </c>
    </row>
    <row r="12" spans="2:7">
      <c r="B12" s="106" t="s">
        <v>4</v>
      </c>
      <c r="C12" s="6" t="s">
        <v>5</v>
      </c>
      <c r="D12" s="241">
        <v>97587906.030000001</v>
      </c>
      <c r="E12" s="245">
        <f>89515140.36-33829</f>
        <v>89481311.359999999</v>
      </c>
    </row>
    <row r="13" spans="2:7">
      <c r="B13" s="106" t="s">
        <v>6</v>
      </c>
      <c r="C13" s="68" t="s">
        <v>7</v>
      </c>
      <c r="D13" s="237"/>
      <c r="E13" s="246"/>
    </row>
    <row r="14" spans="2:7">
      <c r="B14" s="106" t="s">
        <v>8</v>
      </c>
      <c r="C14" s="68" t="s">
        <v>10</v>
      </c>
      <c r="D14" s="237"/>
      <c r="E14" s="246">
        <v>15143.68</v>
      </c>
    </row>
    <row r="15" spans="2:7">
      <c r="B15" s="106" t="s">
        <v>106</v>
      </c>
      <c r="C15" s="68" t="s">
        <v>11</v>
      </c>
      <c r="D15" s="237"/>
      <c r="E15" s="246">
        <v>15143.68</v>
      </c>
    </row>
    <row r="16" spans="2:7">
      <c r="B16" s="107" t="s">
        <v>107</v>
      </c>
      <c r="C16" s="91" t="s">
        <v>12</v>
      </c>
      <c r="D16" s="239"/>
      <c r="E16" s="247"/>
    </row>
    <row r="17" spans="2:6">
      <c r="B17" s="9" t="s">
        <v>13</v>
      </c>
      <c r="C17" s="11" t="s">
        <v>65</v>
      </c>
      <c r="D17" s="240">
        <v>286695.46999999997</v>
      </c>
      <c r="E17" s="248">
        <f>E18</f>
        <v>574287.12</v>
      </c>
    </row>
    <row r="18" spans="2:6">
      <c r="B18" s="106" t="s">
        <v>4</v>
      </c>
      <c r="C18" s="6" t="s">
        <v>11</v>
      </c>
      <c r="D18" s="239">
        <v>286695.46999999997</v>
      </c>
      <c r="E18" s="247">
        <v>574287.12</v>
      </c>
    </row>
    <row r="19" spans="2:6" ht="15" customHeight="1">
      <c r="B19" s="106" t="s">
        <v>6</v>
      </c>
      <c r="C19" s="68" t="s">
        <v>108</v>
      </c>
      <c r="D19" s="237"/>
      <c r="E19" s="246"/>
    </row>
    <row r="20" spans="2:6" ht="13.5" thickBot="1">
      <c r="B20" s="108" t="s">
        <v>8</v>
      </c>
      <c r="C20" s="6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97301210.560000002</v>
      </c>
      <c r="E21" s="148">
        <f>E11-E17</f>
        <v>88922167.920000002</v>
      </c>
      <c r="F21" s="77"/>
    </row>
    <row r="22" spans="2:6">
      <c r="B22" s="3"/>
      <c r="C22" s="7"/>
      <c r="D22" s="8"/>
      <c r="E22" s="299"/>
    </row>
    <row r="23" spans="2:6" ht="13.5">
      <c r="B23" s="355" t="s">
        <v>104</v>
      </c>
      <c r="C23" s="363"/>
      <c r="D23" s="363"/>
      <c r="E23" s="363"/>
    </row>
    <row r="24" spans="2:6" ht="15.75" customHeight="1" thickBot="1">
      <c r="B24" s="354" t="s">
        <v>105</v>
      </c>
      <c r="C24" s="364"/>
      <c r="D24" s="364"/>
      <c r="E24" s="364"/>
    </row>
    <row r="25" spans="2:6" ht="13.5" thickBot="1">
      <c r="B25" s="88"/>
      <c r="C25" s="5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101602877.07000001</v>
      </c>
      <c r="E26" s="217">
        <f>D21</f>
        <v>97301210.560000002</v>
      </c>
    </row>
    <row r="27" spans="2:6">
      <c r="B27" s="9" t="s">
        <v>17</v>
      </c>
      <c r="C27" s="10" t="s">
        <v>111</v>
      </c>
      <c r="D27" s="323">
        <v>-14109532.219999999</v>
      </c>
      <c r="E27" s="274">
        <f>E28-E32</f>
        <v>-7932780.9299999997</v>
      </c>
      <c r="F27" s="71"/>
    </row>
    <row r="28" spans="2:6">
      <c r="B28" s="9" t="s">
        <v>18</v>
      </c>
      <c r="C28" s="10" t="s">
        <v>19</v>
      </c>
      <c r="D28" s="323">
        <v>153344.03999999998</v>
      </c>
      <c r="E28" s="275">
        <v>77742.600000000006</v>
      </c>
      <c r="F28" s="71"/>
    </row>
    <row r="29" spans="2:6">
      <c r="B29" s="104" t="s">
        <v>4</v>
      </c>
      <c r="C29" s="6" t="s">
        <v>20</v>
      </c>
      <c r="D29" s="324">
        <v>56507.09</v>
      </c>
      <c r="E29" s="276">
        <v>52707.49</v>
      </c>
      <c r="F29" s="71"/>
    </row>
    <row r="30" spans="2:6">
      <c r="B30" s="104" t="s">
        <v>6</v>
      </c>
      <c r="C30" s="6" t="s">
        <v>21</v>
      </c>
      <c r="D30" s="324"/>
      <c r="E30" s="276"/>
      <c r="F30" s="71"/>
    </row>
    <row r="31" spans="2:6">
      <c r="B31" s="104" t="s">
        <v>8</v>
      </c>
      <c r="C31" s="6" t="s">
        <v>22</v>
      </c>
      <c r="D31" s="324">
        <v>96836.95</v>
      </c>
      <c r="E31" s="276">
        <v>25035.11</v>
      </c>
      <c r="F31" s="71"/>
    </row>
    <row r="32" spans="2:6">
      <c r="B32" s="92" t="s">
        <v>23</v>
      </c>
      <c r="C32" s="11" t="s">
        <v>24</v>
      </c>
      <c r="D32" s="323">
        <v>14262876.259999998</v>
      </c>
      <c r="E32" s="275">
        <f>SUM(E33:E39)</f>
        <v>8010523.5299999993</v>
      </c>
      <c r="F32" s="71"/>
    </row>
    <row r="33" spans="2:6">
      <c r="B33" s="104" t="s">
        <v>4</v>
      </c>
      <c r="C33" s="6" t="s">
        <v>25</v>
      </c>
      <c r="D33" s="324">
        <v>13774367.789999999</v>
      </c>
      <c r="E33" s="276">
        <f>7730641.63-112505.78</f>
        <v>7618135.8499999996</v>
      </c>
      <c r="F33" s="71"/>
    </row>
    <row r="34" spans="2:6">
      <c r="B34" s="104" t="s">
        <v>6</v>
      </c>
      <c r="C34" s="6" t="s">
        <v>26</v>
      </c>
      <c r="D34" s="324"/>
      <c r="E34" s="276"/>
      <c r="F34" s="71"/>
    </row>
    <row r="35" spans="2:6">
      <c r="B35" s="104" t="s">
        <v>8</v>
      </c>
      <c r="C35" s="6" t="s">
        <v>27</v>
      </c>
      <c r="D35" s="324">
        <v>158083.37</v>
      </c>
      <c r="E35" s="276">
        <v>139127.88</v>
      </c>
      <c r="F35" s="71"/>
    </row>
    <row r="36" spans="2:6">
      <c r="B36" s="104" t="s">
        <v>9</v>
      </c>
      <c r="C36" s="6" t="s">
        <v>28</v>
      </c>
      <c r="D36" s="324"/>
      <c r="E36" s="276"/>
      <c r="F36" s="71"/>
    </row>
    <row r="37" spans="2:6" ht="25.5">
      <c r="B37" s="104" t="s">
        <v>29</v>
      </c>
      <c r="C37" s="6" t="s">
        <v>30</v>
      </c>
      <c r="D37" s="324"/>
      <c r="E37" s="276"/>
      <c r="F37" s="71"/>
    </row>
    <row r="38" spans="2:6">
      <c r="B38" s="104" t="s">
        <v>31</v>
      </c>
      <c r="C38" s="6" t="s">
        <v>32</v>
      </c>
      <c r="D38" s="324"/>
      <c r="E38" s="276"/>
      <c r="F38" s="71"/>
    </row>
    <row r="39" spans="2:6">
      <c r="B39" s="105" t="s">
        <v>33</v>
      </c>
      <c r="C39" s="12" t="s">
        <v>34</v>
      </c>
      <c r="D39" s="325">
        <v>330425.09999999998</v>
      </c>
      <c r="E39" s="277">
        <v>253259.8</v>
      </c>
      <c r="F39" s="71"/>
    </row>
    <row r="40" spans="2:6" ht="13.5" thickBot="1">
      <c r="B40" s="97" t="s">
        <v>35</v>
      </c>
      <c r="C40" s="98" t="s">
        <v>36</v>
      </c>
      <c r="D40" s="326">
        <v>9807865.7100000009</v>
      </c>
      <c r="E40" s="279">
        <v>-446261.71</v>
      </c>
    </row>
    <row r="41" spans="2:6" ht="13.5" thickBot="1">
      <c r="B41" s="99" t="s">
        <v>37</v>
      </c>
      <c r="C41" s="100" t="s">
        <v>38</v>
      </c>
      <c r="D41" s="327">
        <v>97301210.560000002</v>
      </c>
      <c r="E41" s="148">
        <f>E26+E27+E40</f>
        <v>88922167.920000002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8" customHeight="1" thickBot="1">
      <c r="B44" s="354" t="s">
        <v>121</v>
      </c>
      <c r="C44" s="358"/>
      <c r="D44" s="358"/>
      <c r="E44" s="358"/>
    </row>
    <row r="45" spans="2:6" ht="13.5" thickBot="1">
      <c r="B45" s="88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8079430.405948</v>
      </c>
      <c r="E47" s="73">
        <v>7036308.9261999996</v>
      </c>
    </row>
    <row r="48" spans="2:6">
      <c r="B48" s="123" t="s">
        <v>6</v>
      </c>
      <c r="C48" s="22" t="s">
        <v>41</v>
      </c>
      <c r="D48" s="200">
        <v>7036308.9261999996</v>
      </c>
      <c r="E48" s="73">
        <v>6394336.3698000005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02" t="s">
        <v>4</v>
      </c>
      <c r="C50" s="15" t="s">
        <v>40</v>
      </c>
      <c r="D50" s="200">
        <v>12.5755</v>
      </c>
      <c r="E50" s="73">
        <v>13.8284</v>
      </c>
    </row>
    <row r="51" spans="2:5">
      <c r="B51" s="102" t="s">
        <v>6</v>
      </c>
      <c r="C51" s="15" t="s">
        <v>114</v>
      </c>
      <c r="D51" s="200">
        <v>12.4817</v>
      </c>
      <c r="E51" s="75">
        <v>9.6153999999999993</v>
      </c>
    </row>
    <row r="52" spans="2:5" ht="12.75" customHeight="1">
      <c r="B52" s="102" t="s">
        <v>8</v>
      </c>
      <c r="C52" s="15" t="s">
        <v>115</v>
      </c>
      <c r="D52" s="200">
        <v>13.945600000000001</v>
      </c>
      <c r="E52" s="75">
        <v>14.222899999999999</v>
      </c>
    </row>
    <row r="53" spans="2:5" ht="13.5" thickBot="1">
      <c r="B53" s="103" t="s">
        <v>9</v>
      </c>
      <c r="C53" s="17" t="s">
        <v>41</v>
      </c>
      <c r="D53" s="202">
        <v>13.8284</v>
      </c>
      <c r="E53" s="280">
        <v>13.9064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7.2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89481311.359999999</v>
      </c>
      <c r="E58" s="31">
        <f>D58/E21</f>
        <v>1.0062880095377684</v>
      </c>
    </row>
    <row r="59" spans="2:5" ht="25.5">
      <c r="B59" s="186" t="s">
        <v>4</v>
      </c>
      <c r="C59" s="187" t="s">
        <v>44</v>
      </c>
      <c r="D59" s="80">
        <v>0</v>
      </c>
      <c r="E59" s="81">
        <v>0</v>
      </c>
    </row>
    <row r="60" spans="2:5" ht="24" customHeight="1">
      <c r="B60" s="184" t="s">
        <v>6</v>
      </c>
      <c r="C60" s="185" t="s">
        <v>45</v>
      </c>
      <c r="D60" s="78">
        <v>0</v>
      </c>
      <c r="E60" s="79">
        <v>0</v>
      </c>
    </row>
    <row r="61" spans="2:5">
      <c r="B61" s="184" t="s">
        <v>8</v>
      </c>
      <c r="C61" s="185" t="s">
        <v>46</v>
      </c>
      <c r="D61" s="78">
        <v>0</v>
      </c>
      <c r="E61" s="79">
        <v>0</v>
      </c>
    </row>
    <row r="62" spans="2:5">
      <c r="B62" s="184" t="s">
        <v>9</v>
      </c>
      <c r="C62" s="185" t="s">
        <v>47</v>
      </c>
      <c r="D62" s="78">
        <v>0</v>
      </c>
      <c r="E62" s="79">
        <v>0</v>
      </c>
    </row>
    <row r="63" spans="2:5">
      <c r="B63" s="184" t="s">
        <v>29</v>
      </c>
      <c r="C63" s="185" t="s">
        <v>48</v>
      </c>
      <c r="D63" s="78">
        <v>0</v>
      </c>
      <c r="E63" s="79">
        <v>0</v>
      </c>
    </row>
    <row r="64" spans="2:5">
      <c r="B64" s="186" t="s">
        <v>31</v>
      </c>
      <c r="C64" s="187" t="s">
        <v>49</v>
      </c>
      <c r="D64" s="80">
        <f>E12</f>
        <v>89481311.359999999</v>
      </c>
      <c r="E64" s="81">
        <f>D64/E21</f>
        <v>1.0062880095377684</v>
      </c>
    </row>
    <row r="65" spans="2:5">
      <c r="B65" s="186" t="s">
        <v>33</v>
      </c>
      <c r="C65" s="187" t="s">
        <v>118</v>
      </c>
      <c r="D65" s="80">
        <v>0</v>
      </c>
      <c r="E65" s="81">
        <v>0</v>
      </c>
    </row>
    <row r="66" spans="2:5">
      <c r="B66" s="186" t="s">
        <v>50</v>
      </c>
      <c r="C66" s="187" t="s">
        <v>51</v>
      </c>
      <c r="D66" s="80">
        <v>0</v>
      </c>
      <c r="E66" s="81">
        <v>0</v>
      </c>
    </row>
    <row r="67" spans="2:5">
      <c r="B67" s="184" t="s">
        <v>52</v>
      </c>
      <c r="C67" s="185" t="s">
        <v>53</v>
      </c>
      <c r="D67" s="78">
        <v>0</v>
      </c>
      <c r="E67" s="79">
        <v>0</v>
      </c>
    </row>
    <row r="68" spans="2:5">
      <c r="B68" s="184" t="s">
        <v>54</v>
      </c>
      <c r="C68" s="185" t="s">
        <v>55</v>
      </c>
      <c r="D68" s="78">
        <v>0</v>
      </c>
      <c r="E68" s="79">
        <v>0</v>
      </c>
    </row>
    <row r="69" spans="2:5">
      <c r="B69" s="184" t="s">
        <v>56</v>
      </c>
      <c r="C69" s="185" t="s">
        <v>57</v>
      </c>
      <c r="D69" s="235">
        <v>0</v>
      </c>
      <c r="E69" s="79">
        <v>0</v>
      </c>
    </row>
    <row r="70" spans="2:5">
      <c r="B70" s="221" t="s">
        <v>58</v>
      </c>
      <c r="C70" s="220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15143.68</v>
      </c>
      <c r="E72" s="119">
        <f>D72/E21</f>
        <v>1.7030264054767772E-4</v>
      </c>
    </row>
    <row r="73" spans="2:5">
      <c r="B73" s="132" t="s">
        <v>62</v>
      </c>
      <c r="C73" s="24" t="s">
        <v>65</v>
      </c>
      <c r="D73" s="25">
        <f>E17</f>
        <v>574287.12</v>
      </c>
      <c r="E73" s="26">
        <f>D73/E21</f>
        <v>6.4583121783160407E-3</v>
      </c>
    </row>
    <row r="74" spans="2:5">
      <c r="B74" s="130" t="s">
        <v>64</v>
      </c>
      <c r="C74" s="121" t="s">
        <v>66</v>
      </c>
      <c r="D74" s="122">
        <f>D58+D72-D73</f>
        <v>88922167.920000002</v>
      </c>
      <c r="E74" s="66">
        <f>E58+E72-E73</f>
        <v>1.0000000000000002</v>
      </c>
    </row>
    <row r="75" spans="2:5">
      <c r="B75" s="184" t="s">
        <v>4</v>
      </c>
      <c r="C75" s="185" t="s">
        <v>67</v>
      </c>
      <c r="D75" s="78">
        <f>D74</f>
        <v>88922167.920000002</v>
      </c>
      <c r="E75" s="79">
        <f>E74</f>
        <v>1.0000000000000002</v>
      </c>
    </row>
    <row r="76" spans="2:5">
      <c r="B76" s="184" t="s">
        <v>6</v>
      </c>
      <c r="C76" s="185" t="s">
        <v>119</v>
      </c>
      <c r="D76" s="78">
        <v>0</v>
      </c>
      <c r="E76" s="79">
        <v>0</v>
      </c>
    </row>
    <row r="77" spans="2:5" ht="13.5" thickBot="1">
      <c r="B77" s="188" t="s">
        <v>8</v>
      </c>
      <c r="C77" s="189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5" right="0.75" top="0.52" bottom="0.51" header="0.5" footer="0.5"/>
  <pageSetup paperSize="9" scale="7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/>
  <dimension ref="A1:G81"/>
  <sheetViews>
    <sheetView zoomScale="80" zoomScaleNormal="80" workbookViewId="0">
      <selection activeCell="E41" sqref="E41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87"/>
      <c r="C4" s="87"/>
      <c r="D4" s="87"/>
      <c r="E4" s="87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71</v>
      </c>
      <c r="C6" s="353"/>
      <c r="D6" s="353"/>
      <c r="E6" s="353"/>
    </row>
    <row r="7" spans="2:7" ht="14.25">
      <c r="B7" s="89"/>
      <c r="C7" s="89"/>
      <c r="D7" s="89"/>
      <c r="E7" s="8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88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93" t="s">
        <v>109</v>
      </c>
      <c r="D11" s="227">
        <v>11915719.76</v>
      </c>
      <c r="E11" s="228">
        <f>SUM(E12:E14)</f>
        <v>11437658.059999999</v>
      </c>
    </row>
    <row r="12" spans="2:7">
      <c r="B12" s="106" t="s">
        <v>4</v>
      </c>
      <c r="C12" s="194" t="s">
        <v>5</v>
      </c>
      <c r="D12" s="241">
        <v>11915719.76</v>
      </c>
      <c r="E12" s="245">
        <v>11436054.02</v>
      </c>
    </row>
    <row r="13" spans="2:7">
      <c r="B13" s="106" t="s">
        <v>6</v>
      </c>
      <c r="C13" s="194" t="s">
        <v>7</v>
      </c>
      <c r="D13" s="237"/>
      <c r="E13" s="246">
        <v>1604.04</v>
      </c>
    </row>
    <row r="14" spans="2:7">
      <c r="B14" s="106" t="s">
        <v>8</v>
      </c>
      <c r="C14" s="194" t="s">
        <v>10</v>
      </c>
      <c r="D14" s="237"/>
      <c r="E14" s="246"/>
    </row>
    <row r="15" spans="2:7">
      <c r="B15" s="106" t="s">
        <v>106</v>
      </c>
      <c r="C15" s="194" t="s">
        <v>11</v>
      </c>
      <c r="D15" s="237"/>
      <c r="E15" s="246"/>
    </row>
    <row r="16" spans="2:7">
      <c r="B16" s="107" t="s">
        <v>107</v>
      </c>
      <c r="C16" s="195" t="s">
        <v>12</v>
      </c>
      <c r="D16" s="239"/>
      <c r="E16" s="247"/>
    </row>
    <row r="17" spans="2:6">
      <c r="B17" s="9" t="s">
        <v>13</v>
      </c>
      <c r="C17" s="196" t="s">
        <v>65</v>
      </c>
      <c r="D17" s="240">
        <v>39347.39</v>
      </c>
      <c r="E17" s="248">
        <f>E18</f>
        <v>18468.330000000002</v>
      </c>
    </row>
    <row r="18" spans="2:6">
      <c r="B18" s="106" t="s">
        <v>4</v>
      </c>
      <c r="C18" s="194" t="s">
        <v>11</v>
      </c>
      <c r="D18" s="239">
        <v>39347.39</v>
      </c>
      <c r="E18" s="247">
        <v>18468.330000000002</v>
      </c>
    </row>
    <row r="19" spans="2:6" ht="15" customHeight="1">
      <c r="B19" s="106" t="s">
        <v>6</v>
      </c>
      <c r="C19" s="194" t="s">
        <v>108</v>
      </c>
      <c r="D19" s="237"/>
      <c r="E19" s="246"/>
    </row>
    <row r="20" spans="2:6" ht="13.5" thickBot="1">
      <c r="B20" s="108" t="s">
        <v>8</v>
      </c>
      <c r="C20" s="6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11876372.369999999</v>
      </c>
      <c r="E21" s="148">
        <f>E11-E17</f>
        <v>11419189.729999999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3"/>
      <c r="D23" s="363"/>
      <c r="E23" s="363"/>
    </row>
    <row r="24" spans="2:6" ht="15.75" customHeight="1" thickBot="1">
      <c r="B24" s="354" t="s">
        <v>105</v>
      </c>
      <c r="C24" s="364"/>
      <c r="D24" s="364"/>
      <c r="E24" s="364"/>
    </row>
    <row r="25" spans="2:6" ht="13.5" thickBot="1">
      <c r="B25" s="88"/>
      <c r="C25" s="5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11548322.520000001</v>
      </c>
      <c r="E26" s="217">
        <f>D21</f>
        <v>11876372.369999999</v>
      </c>
    </row>
    <row r="27" spans="2:6">
      <c r="B27" s="9" t="s">
        <v>17</v>
      </c>
      <c r="C27" s="10" t="s">
        <v>111</v>
      </c>
      <c r="D27" s="323">
        <v>-1517903.5</v>
      </c>
      <c r="E27" s="274">
        <f>E28-E32</f>
        <v>-977787.86999999976</v>
      </c>
      <c r="F27" s="71"/>
    </row>
    <row r="28" spans="2:6">
      <c r="B28" s="9" t="s">
        <v>18</v>
      </c>
      <c r="C28" s="10" t="s">
        <v>19</v>
      </c>
      <c r="D28" s="323">
        <v>218731.17</v>
      </c>
      <c r="E28" s="275">
        <v>368489.64</v>
      </c>
      <c r="F28" s="71"/>
    </row>
    <row r="29" spans="2:6">
      <c r="B29" s="104" t="s">
        <v>4</v>
      </c>
      <c r="C29" s="6" t="s">
        <v>20</v>
      </c>
      <c r="D29" s="324">
        <v>11704.05</v>
      </c>
      <c r="E29" s="276">
        <v>11662.2</v>
      </c>
      <c r="F29" s="71"/>
    </row>
    <row r="30" spans="2:6">
      <c r="B30" s="104" t="s">
        <v>6</v>
      </c>
      <c r="C30" s="6" t="s">
        <v>21</v>
      </c>
      <c r="D30" s="324"/>
      <c r="E30" s="276"/>
      <c r="F30" s="71"/>
    </row>
    <row r="31" spans="2:6">
      <c r="B31" s="104" t="s">
        <v>8</v>
      </c>
      <c r="C31" s="6" t="s">
        <v>22</v>
      </c>
      <c r="D31" s="324">
        <v>207027.12</v>
      </c>
      <c r="E31" s="276">
        <v>356827.44</v>
      </c>
      <c r="F31" s="71"/>
    </row>
    <row r="32" spans="2:6">
      <c r="B32" s="92" t="s">
        <v>23</v>
      </c>
      <c r="C32" s="11" t="s">
        <v>24</v>
      </c>
      <c r="D32" s="323">
        <v>1736634.67</v>
      </c>
      <c r="E32" s="275">
        <f>SUM(E33:E39)</f>
        <v>1346277.5099999998</v>
      </c>
      <c r="F32" s="71"/>
    </row>
    <row r="33" spans="2:6">
      <c r="B33" s="104" t="s">
        <v>4</v>
      </c>
      <c r="C33" s="6" t="s">
        <v>25</v>
      </c>
      <c r="D33" s="324">
        <v>1696766.04</v>
      </c>
      <c r="E33" s="276">
        <f>1215091-700.61</f>
        <v>1214390.3899999999</v>
      </c>
      <c r="F33" s="71"/>
    </row>
    <row r="34" spans="2:6">
      <c r="B34" s="104" t="s">
        <v>6</v>
      </c>
      <c r="C34" s="6" t="s">
        <v>26</v>
      </c>
      <c r="D34" s="324"/>
      <c r="E34" s="276"/>
      <c r="F34" s="71"/>
    </row>
    <row r="35" spans="2:6">
      <c r="B35" s="104" t="s">
        <v>8</v>
      </c>
      <c r="C35" s="6" t="s">
        <v>27</v>
      </c>
      <c r="D35" s="324">
        <v>17991.13</v>
      </c>
      <c r="E35" s="276">
        <v>17994</v>
      </c>
      <c r="F35" s="71"/>
    </row>
    <row r="36" spans="2:6">
      <c r="B36" s="104" t="s">
        <v>9</v>
      </c>
      <c r="C36" s="6" t="s">
        <v>28</v>
      </c>
      <c r="D36" s="324"/>
      <c r="E36" s="276"/>
      <c r="F36" s="71"/>
    </row>
    <row r="37" spans="2:6" ht="25.5">
      <c r="B37" s="104" t="s">
        <v>29</v>
      </c>
      <c r="C37" s="6" t="s">
        <v>30</v>
      </c>
      <c r="D37" s="324"/>
      <c r="E37" s="276"/>
      <c r="F37" s="71"/>
    </row>
    <row r="38" spans="2:6">
      <c r="B38" s="104" t="s">
        <v>31</v>
      </c>
      <c r="C38" s="6" t="s">
        <v>32</v>
      </c>
      <c r="D38" s="324"/>
      <c r="E38" s="276"/>
      <c r="F38" s="71"/>
    </row>
    <row r="39" spans="2:6">
      <c r="B39" s="105" t="s">
        <v>33</v>
      </c>
      <c r="C39" s="12" t="s">
        <v>34</v>
      </c>
      <c r="D39" s="325">
        <v>21877.5</v>
      </c>
      <c r="E39" s="277">
        <v>113893.12</v>
      </c>
      <c r="F39" s="71"/>
    </row>
    <row r="40" spans="2:6" ht="13.5" thickBot="1">
      <c r="B40" s="97" t="s">
        <v>35</v>
      </c>
      <c r="C40" s="98" t="s">
        <v>36</v>
      </c>
      <c r="D40" s="326">
        <v>1845953.35</v>
      </c>
      <c r="E40" s="279">
        <v>520605.23</v>
      </c>
    </row>
    <row r="41" spans="2:6" ht="13.5" thickBot="1">
      <c r="B41" s="99" t="s">
        <v>37</v>
      </c>
      <c r="C41" s="100" t="s">
        <v>38</v>
      </c>
      <c r="D41" s="327">
        <v>11876372.370000001</v>
      </c>
      <c r="E41" s="148">
        <f>E26+E27+E40</f>
        <v>11419189.73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8" customHeight="1" thickBot="1">
      <c r="B44" s="354" t="s">
        <v>121</v>
      </c>
      <c r="C44" s="358"/>
      <c r="D44" s="358"/>
      <c r="E44" s="358"/>
    </row>
    <row r="45" spans="2:6" ht="13.5" thickBot="1">
      <c r="B45" s="88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817991.52280000004</v>
      </c>
      <c r="E47" s="73">
        <v>721664.47169999999</v>
      </c>
    </row>
    <row r="48" spans="2:6">
      <c r="B48" s="123" t="s">
        <v>6</v>
      </c>
      <c r="C48" s="22" t="s">
        <v>41</v>
      </c>
      <c r="D48" s="200">
        <v>721664.47169999999</v>
      </c>
      <c r="E48" s="73">
        <v>659862.69909999997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02" t="s">
        <v>4</v>
      </c>
      <c r="C50" s="15" t="s">
        <v>40</v>
      </c>
      <c r="D50" s="200">
        <v>14.117900000000001</v>
      </c>
      <c r="E50" s="73">
        <v>16.456900000000001</v>
      </c>
    </row>
    <row r="51" spans="2:5">
      <c r="B51" s="102" t="s">
        <v>6</v>
      </c>
      <c r="C51" s="15" t="s">
        <v>114</v>
      </c>
      <c r="D51" s="200">
        <v>14.116400000000001</v>
      </c>
      <c r="E51" s="75">
        <v>13.7034</v>
      </c>
    </row>
    <row r="52" spans="2:5" ht="12.75" customHeight="1">
      <c r="B52" s="102" t="s">
        <v>8</v>
      </c>
      <c r="C52" s="15" t="s">
        <v>115</v>
      </c>
      <c r="D52" s="200">
        <v>16.677600000000002</v>
      </c>
      <c r="E52" s="75">
        <v>17.4588</v>
      </c>
    </row>
    <row r="53" spans="2:5" ht="13.5" thickBot="1">
      <c r="B53" s="103" t="s">
        <v>9</v>
      </c>
      <c r="C53" s="17" t="s">
        <v>41</v>
      </c>
      <c r="D53" s="202">
        <v>16.456900000000001</v>
      </c>
      <c r="E53" s="280">
        <v>17.305399999999999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7.2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11436054.02</v>
      </c>
      <c r="E58" s="31">
        <f>D58/E21</f>
        <v>1.0014768377090448</v>
      </c>
    </row>
    <row r="59" spans="2:5" ht="25.5">
      <c r="B59" s="186" t="s">
        <v>4</v>
      </c>
      <c r="C59" s="187" t="s">
        <v>44</v>
      </c>
      <c r="D59" s="80">
        <v>0</v>
      </c>
      <c r="E59" s="81">
        <v>0</v>
      </c>
    </row>
    <row r="60" spans="2:5" ht="24" customHeight="1">
      <c r="B60" s="184" t="s">
        <v>6</v>
      </c>
      <c r="C60" s="185" t="s">
        <v>45</v>
      </c>
      <c r="D60" s="78">
        <v>0</v>
      </c>
      <c r="E60" s="79">
        <v>0</v>
      </c>
    </row>
    <row r="61" spans="2:5">
      <c r="B61" s="184" t="s">
        <v>8</v>
      </c>
      <c r="C61" s="185" t="s">
        <v>46</v>
      </c>
      <c r="D61" s="78">
        <v>0</v>
      </c>
      <c r="E61" s="79">
        <v>0</v>
      </c>
    </row>
    <row r="62" spans="2:5">
      <c r="B62" s="184" t="s">
        <v>9</v>
      </c>
      <c r="C62" s="185" t="s">
        <v>47</v>
      </c>
      <c r="D62" s="78">
        <v>0</v>
      </c>
      <c r="E62" s="79">
        <v>0</v>
      </c>
    </row>
    <row r="63" spans="2:5">
      <c r="B63" s="184" t="s">
        <v>29</v>
      </c>
      <c r="C63" s="185" t="s">
        <v>48</v>
      </c>
      <c r="D63" s="78">
        <v>0</v>
      </c>
      <c r="E63" s="79">
        <v>0</v>
      </c>
    </row>
    <row r="64" spans="2:5">
      <c r="B64" s="186" t="s">
        <v>31</v>
      </c>
      <c r="C64" s="187" t="s">
        <v>49</v>
      </c>
      <c r="D64" s="80">
        <f>E12</f>
        <v>11436054.02</v>
      </c>
      <c r="E64" s="81">
        <f>D64/E21</f>
        <v>1.0014768377090448</v>
      </c>
    </row>
    <row r="65" spans="2:5">
      <c r="B65" s="186" t="s">
        <v>33</v>
      </c>
      <c r="C65" s="187" t="s">
        <v>118</v>
      </c>
      <c r="D65" s="80">
        <v>0</v>
      </c>
      <c r="E65" s="81">
        <v>0</v>
      </c>
    </row>
    <row r="66" spans="2:5">
      <c r="B66" s="186" t="s">
        <v>50</v>
      </c>
      <c r="C66" s="187" t="s">
        <v>51</v>
      </c>
      <c r="D66" s="80">
        <v>0</v>
      </c>
      <c r="E66" s="81">
        <v>0</v>
      </c>
    </row>
    <row r="67" spans="2:5">
      <c r="B67" s="184" t="s">
        <v>52</v>
      </c>
      <c r="C67" s="185" t="s">
        <v>53</v>
      </c>
      <c r="D67" s="78">
        <v>0</v>
      </c>
      <c r="E67" s="79">
        <v>0</v>
      </c>
    </row>
    <row r="68" spans="2:5">
      <c r="B68" s="184" t="s">
        <v>54</v>
      </c>
      <c r="C68" s="185" t="s">
        <v>55</v>
      </c>
      <c r="D68" s="78">
        <v>0</v>
      </c>
      <c r="E68" s="79">
        <v>0</v>
      </c>
    </row>
    <row r="69" spans="2:5">
      <c r="B69" s="184" t="s">
        <v>56</v>
      </c>
      <c r="C69" s="185" t="s">
        <v>57</v>
      </c>
      <c r="D69" s="235">
        <v>0</v>
      </c>
      <c r="E69" s="79">
        <v>0</v>
      </c>
    </row>
    <row r="70" spans="2:5">
      <c r="B70" s="221" t="s">
        <v>58</v>
      </c>
      <c r="C70" s="220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f>E13</f>
        <v>1604.04</v>
      </c>
      <c r="E71" s="66">
        <f>D71/E21</f>
        <v>1.4046881065352088E-4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f>E17</f>
        <v>18468.330000000002</v>
      </c>
      <c r="E73" s="26">
        <f>D73/E21</f>
        <v>1.6173065196982241E-3</v>
      </c>
    </row>
    <row r="74" spans="2:5">
      <c r="B74" s="130" t="s">
        <v>64</v>
      </c>
      <c r="C74" s="121" t="s">
        <v>66</v>
      </c>
      <c r="D74" s="122">
        <f>D58+D72-D73</f>
        <v>11417585.689999999</v>
      </c>
      <c r="E74" s="66">
        <f>E58+E71+E72-E73</f>
        <v>1</v>
      </c>
    </row>
    <row r="75" spans="2:5">
      <c r="B75" s="184" t="s">
        <v>4</v>
      </c>
      <c r="C75" s="185" t="s">
        <v>67</v>
      </c>
      <c r="D75" s="78">
        <f>D74</f>
        <v>11417585.689999999</v>
      </c>
      <c r="E75" s="79">
        <f>E74</f>
        <v>1</v>
      </c>
    </row>
    <row r="76" spans="2:5">
      <c r="B76" s="184" t="s">
        <v>6</v>
      </c>
      <c r="C76" s="185" t="s">
        <v>119</v>
      </c>
      <c r="D76" s="78">
        <v>0</v>
      </c>
      <c r="E76" s="79">
        <v>0</v>
      </c>
    </row>
    <row r="77" spans="2:5" ht="13.5" thickBot="1">
      <c r="B77" s="188" t="s">
        <v>8</v>
      </c>
      <c r="C77" s="189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6999999999999995" right="0.75" top="0.56999999999999995" bottom="0.43" header="0.5" footer="0.5"/>
  <pageSetup paperSize="9" scale="70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6"/>
  <dimension ref="A1:G81"/>
  <sheetViews>
    <sheetView zoomScale="80" zoomScaleNormal="80" workbookViewId="0">
      <selection activeCell="E41" sqref="E41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87"/>
      <c r="C4" s="87"/>
      <c r="D4" s="87"/>
      <c r="E4" s="87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72</v>
      </c>
      <c r="C6" s="353"/>
      <c r="D6" s="353"/>
      <c r="E6" s="353"/>
    </row>
    <row r="7" spans="2:7" ht="14.25">
      <c r="B7" s="89"/>
      <c r="C7" s="89"/>
      <c r="D7" s="89"/>
      <c r="E7" s="8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88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11601744.469999999</v>
      </c>
      <c r="E11" s="228">
        <f>SUM(E12:E14)</f>
        <v>11628554.66</v>
      </c>
    </row>
    <row r="12" spans="2:7">
      <c r="B12" s="106" t="s">
        <v>4</v>
      </c>
      <c r="C12" s="6" t="s">
        <v>5</v>
      </c>
      <c r="D12" s="241">
        <v>11601744.469999999</v>
      </c>
      <c r="E12" s="245">
        <v>11628554.66</v>
      </c>
    </row>
    <row r="13" spans="2:7">
      <c r="B13" s="106" t="s">
        <v>6</v>
      </c>
      <c r="C13" s="68" t="s">
        <v>7</v>
      </c>
      <c r="D13" s="237"/>
      <c r="E13" s="246"/>
    </row>
    <row r="14" spans="2:7">
      <c r="B14" s="106" t="s">
        <v>8</v>
      </c>
      <c r="C14" s="68" t="s">
        <v>10</v>
      </c>
      <c r="D14" s="237"/>
      <c r="E14" s="246"/>
    </row>
    <row r="15" spans="2:7">
      <c r="B15" s="106" t="s">
        <v>106</v>
      </c>
      <c r="C15" s="68" t="s">
        <v>11</v>
      </c>
      <c r="D15" s="237"/>
      <c r="E15" s="246"/>
    </row>
    <row r="16" spans="2:7">
      <c r="B16" s="107" t="s">
        <v>107</v>
      </c>
      <c r="C16" s="91" t="s">
        <v>12</v>
      </c>
      <c r="D16" s="239"/>
      <c r="E16" s="247"/>
    </row>
    <row r="17" spans="2:6">
      <c r="B17" s="9" t="s">
        <v>13</v>
      </c>
      <c r="C17" s="11" t="s">
        <v>65</v>
      </c>
      <c r="D17" s="240">
        <v>36415.160000000003</v>
      </c>
      <c r="E17" s="248">
        <f>E18</f>
        <v>96763.82</v>
      </c>
    </row>
    <row r="18" spans="2:6">
      <c r="B18" s="106" t="s">
        <v>4</v>
      </c>
      <c r="C18" s="6" t="s">
        <v>11</v>
      </c>
      <c r="D18" s="239">
        <v>36415.160000000003</v>
      </c>
      <c r="E18" s="247">
        <v>96763.82</v>
      </c>
    </row>
    <row r="19" spans="2:6" ht="15" customHeight="1">
      <c r="B19" s="106" t="s">
        <v>6</v>
      </c>
      <c r="C19" s="68" t="s">
        <v>108</v>
      </c>
      <c r="D19" s="237"/>
      <c r="E19" s="246"/>
    </row>
    <row r="20" spans="2:6" ht="13.5" thickBot="1">
      <c r="B20" s="108" t="s">
        <v>8</v>
      </c>
      <c r="C20" s="6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11565329.309999999</v>
      </c>
      <c r="E21" s="148">
        <f>E11-E17</f>
        <v>11531790.84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3"/>
      <c r="D23" s="363"/>
      <c r="E23" s="363"/>
    </row>
    <row r="24" spans="2:6" ht="15.75" customHeight="1" thickBot="1">
      <c r="B24" s="354" t="s">
        <v>105</v>
      </c>
      <c r="C24" s="364"/>
      <c r="D24" s="364"/>
      <c r="E24" s="364"/>
    </row>
    <row r="25" spans="2:6" ht="13.5" thickBot="1">
      <c r="B25" s="88"/>
      <c r="C25" s="5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12160604.040000001</v>
      </c>
      <c r="E26" s="217">
        <f>D21</f>
        <v>11565329.309999999</v>
      </c>
    </row>
    <row r="27" spans="2:6">
      <c r="B27" s="9" t="s">
        <v>17</v>
      </c>
      <c r="C27" s="10" t="s">
        <v>111</v>
      </c>
      <c r="D27" s="323">
        <v>-1759580.11</v>
      </c>
      <c r="E27" s="274">
        <v>-1307192.19</v>
      </c>
      <c r="F27" s="71"/>
    </row>
    <row r="28" spans="2:6">
      <c r="B28" s="9" t="s">
        <v>18</v>
      </c>
      <c r="C28" s="10" t="s">
        <v>19</v>
      </c>
      <c r="D28" s="323">
        <v>0</v>
      </c>
      <c r="E28" s="275">
        <v>39879.760000000002</v>
      </c>
      <c r="F28" s="71"/>
    </row>
    <row r="29" spans="2:6">
      <c r="B29" s="104" t="s">
        <v>4</v>
      </c>
      <c r="C29" s="6" t="s">
        <v>20</v>
      </c>
      <c r="D29" s="324"/>
      <c r="E29" s="276"/>
      <c r="F29" s="71"/>
    </row>
    <row r="30" spans="2:6">
      <c r="B30" s="104" t="s">
        <v>6</v>
      </c>
      <c r="C30" s="6" t="s">
        <v>21</v>
      </c>
      <c r="D30" s="324"/>
      <c r="E30" s="276"/>
      <c r="F30" s="71"/>
    </row>
    <row r="31" spans="2:6">
      <c r="B31" s="104" t="s">
        <v>8</v>
      </c>
      <c r="C31" s="6" t="s">
        <v>22</v>
      </c>
      <c r="D31" s="324"/>
      <c r="E31" s="276">
        <v>39879.760000000002</v>
      </c>
      <c r="F31" s="71"/>
    </row>
    <row r="32" spans="2:6">
      <c r="B32" s="92" t="s">
        <v>23</v>
      </c>
      <c r="C32" s="11" t="s">
        <v>24</v>
      </c>
      <c r="D32" s="323">
        <v>1759580.11</v>
      </c>
      <c r="E32" s="275">
        <v>1347071.95</v>
      </c>
      <c r="F32" s="71"/>
    </row>
    <row r="33" spans="2:6">
      <c r="B33" s="104" t="s">
        <v>4</v>
      </c>
      <c r="C33" s="6" t="s">
        <v>25</v>
      </c>
      <c r="D33" s="324">
        <v>1632994.73</v>
      </c>
      <c r="E33" s="276">
        <v>1295404.58</v>
      </c>
      <c r="F33" s="71"/>
    </row>
    <row r="34" spans="2:6">
      <c r="B34" s="104" t="s">
        <v>6</v>
      </c>
      <c r="C34" s="6" t="s">
        <v>26</v>
      </c>
      <c r="D34" s="324"/>
      <c r="E34" s="276"/>
      <c r="F34" s="71"/>
    </row>
    <row r="35" spans="2:6">
      <c r="B35" s="104" t="s">
        <v>8</v>
      </c>
      <c r="C35" s="6" t="s">
        <v>27</v>
      </c>
      <c r="D35" s="324">
        <v>19194.71</v>
      </c>
      <c r="E35" s="276">
        <v>18724.689999999999</v>
      </c>
      <c r="F35" s="71"/>
    </row>
    <row r="36" spans="2:6">
      <c r="B36" s="104" t="s">
        <v>9</v>
      </c>
      <c r="C36" s="6" t="s">
        <v>28</v>
      </c>
      <c r="D36" s="324"/>
      <c r="E36" s="276"/>
      <c r="F36" s="71"/>
    </row>
    <row r="37" spans="2:6" ht="25.5">
      <c r="B37" s="104" t="s">
        <v>29</v>
      </c>
      <c r="C37" s="6" t="s">
        <v>30</v>
      </c>
      <c r="D37" s="324"/>
      <c r="E37" s="276"/>
      <c r="F37" s="71"/>
    </row>
    <row r="38" spans="2:6">
      <c r="B38" s="104" t="s">
        <v>31</v>
      </c>
      <c r="C38" s="6" t="s">
        <v>32</v>
      </c>
      <c r="D38" s="324"/>
      <c r="E38" s="276"/>
      <c r="F38" s="71"/>
    </row>
    <row r="39" spans="2:6">
      <c r="B39" s="105" t="s">
        <v>33</v>
      </c>
      <c r="C39" s="12" t="s">
        <v>34</v>
      </c>
      <c r="D39" s="325">
        <v>107390.67</v>
      </c>
      <c r="E39" s="277">
        <v>32942.68</v>
      </c>
      <c r="F39" s="71"/>
    </row>
    <row r="40" spans="2:6" ht="13.5" thickBot="1">
      <c r="B40" s="97" t="s">
        <v>35</v>
      </c>
      <c r="C40" s="98" t="s">
        <v>36</v>
      </c>
      <c r="D40" s="326">
        <v>1164305.3799999999</v>
      </c>
      <c r="E40" s="279">
        <v>1273653.72</v>
      </c>
    </row>
    <row r="41" spans="2:6" ht="13.5" thickBot="1">
      <c r="B41" s="99" t="s">
        <v>37</v>
      </c>
      <c r="C41" s="100" t="s">
        <v>38</v>
      </c>
      <c r="D41" s="327">
        <v>11565329.310000002</v>
      </c>
      <c r="E41" s="148">
        <f>E26+E27+E40</f>
        <v>11531790.84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8" customHeight="1" thickBot="1">
      <c r="B44" s="354" t="s">
        <v>121</v>
      </c>
      <c r="C44" s="358"/>
      <c r="D44" s="358"/>
      <c r="E44" s="358"/>
    </row>
    <row r="45" spans="2:6" ht="13.5" thickBot="1">
      <c r="B45" s="88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1116231.7472999999</v>
      </c>
      <c r="E47" s="73">
        <v>962894.64320000005</v>
      </c>
    </row>
    <row r="48" spans="2:6">
      <c r="B48" s="123" t="s">
        <v>6</v>
      </c>
      <c r="C48" s="22" t="s">
        <v>41</v>
      </c>
      <c r="D48" s="200">
        <v>962894.64320000005</v>
      </c>
      <c r="E48" s="73">
        <v>849395.17279999994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02" t="s">
        <v>4</v>
      </c>
      <c r="C50" s="15" t="s">
        <v>40</v>
      </c>
      <c r="D50" s="200">
        <v>10.894299999999999</v>
      </c>
      <c r="E50" s="73">
        <v>12.010999999999999</v>
      </c>
    </row>
    <row r="51" spans="2:5">
      <c r="B51" s="102" t="s">
        <v>6</v>
      </c>
      <c r="C51" s="15" t="s">
        <v>114</v>
      </c>
      <c r="D51" s="200">
        <v>10.8071</v>
      </c>
      <c r="E51" s="75">
        <v>9.7369000000000003</v>
      </c>
    </row>
    <row r="52" spans="2:5" ht="12.75" customHeight="1">
      <c r="B52" s="102" t="s">
        <v>8</v>
      </c>
      <c r="C52" s="15" t="s">
        <v>115</v>
      </c>
      <c r="D52" s="200">
        <v>12.010999999999999</v>
      </c>
      <c r="E52" s="75">
        <v>13.576499999999999</v>
      </c>
    </row>
    <row r="53" spans="2:5" ht="13.5" thickBot="1">
      <c r="B53" s="103" t="s">
        <v>9</v>
      </c>
      <c r="C53" s="17" t="s">
        <v>41</v>
      </c>
      <c r="D53" s="202">
        <v>12.010999999999999</v>
      </c>
      <c r="E53" s="280">
        <v>13.576499999999999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8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11628554.66</v>
      </c>
      <c r="E58" s="31">
        <f>D58/E21</f>
        <v>1.0083910488268968</v>
      </c>
    </row>
    <row r="59" spans="2:5" ht="25.5">
      <c r="B59" s="186" t="s">
        <v>4</v>
      </c>
      <c r="C59" s="187" t="s">
        <v>44</v>
      </c>
      <c r="D59" s="80">
        <v>0</v>
      </c>
      <c r="E59" s="81">
        <v>0</v>
      </c>
    </row>
    <row r="60" spans="2:5" ht="24" customHeight="1">
      <c r="B60" s="184" t="s">
        <v>6</v>
      </c>
      <c r="C60" s="185" t="s">
        <v>45</v>
      </c>
      <c r="D60" s="78">
        <v>0</v>
      </c>
      <c r="E60" s="79">
        <v>0</v>
      </c>
    </row>
    <row r="61" spans="2:5">
      <c r="B61" s="184" t="s">
        <v>8</v>
      </c>
      <c r="C61" s="185" t="s">
        <v>46</v>
      </c>
      <c r="D61" s="78">
        <v>0</v>
      </c>
      <c r="E61" s="79">
        <v>0</v>
      </c>
    </row>
    <row r="62" spans="2:5">
      <c r="B62" s="184" t="s">
        <v>9</v>
      </c>
      <c r="C62" s="185" t="s">
        <v>47</v>
      </c>
      <c r="D62" s="78">
        <v>0</v>
      </c>
      <c r="E62" s="79">
        <v>0</v>
      </c>
    </row>
    <row r="63" spans="2:5">
      <c r="B63" s="184" t="s">
        <v>29</v>
      </c>
      <c r="C63" s="185" t="s">
        <v>48</v>
      </c>
      <c r="D63" s="78">
        <v>0</v>
      </c>
      <c r="E63" s="79">
        <v>0</v>
      </c>
    </row>
    <row r="64" spans="2:5">
      <c r="B64" s="186" t="s">
        <v>31</v>
      </c>
      <c r="C64" s="187" t="s">
        <v>49</v>
      </c>
      <c r="D64" s="80">
        <f>E12</f>
        <v>11628554.66</v>
      </c>
      <c r="E64" s="81">
        <f>D64/E21</f>
        <v>1.0083910488268968</v>
      </c>
    </row>
    <row r="65" spans="2:5">
      <c r="B65" s="186" t="s">
        <v>33</v>
      </c>
      <c r="C65" s="187" t="s">
        <v>118</v>
      </c>
      <c r="D65" s="80">
        <v>0</v>
      </c>
      <c r="E65" s="81">
        <v>0</v>
      </c>
    </row>
    <row r="66" spans="2:5">
      <c r="B66" s="186" t="s">
        <v>50</v>
      </c>
      <c r="C66" s="187" t="s">
        <v>51</v>
      </c>
      <c r="D66" s="80">
        <v>0</v>
      </c>
      <c r="E66" s="81">
        <v>0</v>
      </c>
    </row>
    <row r="67" spans="2:5">
      <c r="B67" s="184" t="s">
        <v>52</v>
      </c>
      <c r="C67" s="185" t="s">
        <v>53</v>
      </c>
      <c r="D67" s="78">
        <v>0</v>
      </c>
      <c r="E67" s="79">
        <v>0</v>
      </c>
    </row>
    <row r="68" spans="2:5">
      <c r="B68" s="184" t="s">
        <v>54</v>
      </c>
      <c r="C68" s="185" t="s">
        <v>55</v>
      </c>
      <c r="D68" s="78">
        <v>0</v>
      </c>
      <c r="E68" s="79">
        <v>0</v>
      </c>
    </row>
    <row r="69" spans="2:5">
      <c r="B69" s="184" t="s">
        <v>56</v>
      </c>
      <c r="C69" s="185" t="s">
        <v>57</v>
      </c>
      <c r="D69" s="235">
        <v>0</v>
      </c>
      <c r="E69" s="79">
        <v>0</v>
      </c>
    </row>
    <row r="70" spans="2:5">
      <c r="B70" s="221" t="s">
        <v>58</v>
      </c>
      <c r="C70" s="220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f>D72/E21</f>
        <v>0</v>
      </c>
    </row>
    <row r="73" spans="2:5">
      <c r="B73" s="132" t="s">
        <v>62</v>
      </c>
      <c r="C73" s="24" t="s">
        <v>65</v>
      </c>
      <c r="D73" s="25">
        <f>E17</f>
        <v>96763.82</v>
      </c>
      <c r="E73" s="26">
        <f>D73/E21</f>
        <v>8.3910488268966917E-3</v>
      </c>
    </row>
    <row r="74" spans="2:5">
      <c r="B74" s="130" t="s">
        <v>64</v>
      </c>
      <c r="C74" s="121" t="s">
        <v>66</v>
      </c>
      <c r="D74" s="122">
        <f>D58-D73+D72</f>
        <v>11531790.84</v>
      </c>
      <c r="E74" s="66">
        <f>E58+E72-E73</f>
        <v>1</v>
      </c>
    </row>
    <row r="75" spans="2:5">
      <c r="B75" s="184" t="s">
        <v>4</v>
      </c>
      <c r="C75" s="185" t="s">
        <v>67</v>
      </c>
      <c r="D75" s="78">
        <f>D74</f>
        <v>11531790.84</v>
      </c>
      <c r="E75" s="79">
        <f>E74</f>
        <v>1</v>
      </c>
    </row>
    <row r="76" spans="2:5">
      <c r="B76" s="184" t="s">
        <v>6</v>
      </c>
      <c r="C76" s="185" t="s">
        <v>119</v>
      </c>
      <c r="D76" s="78">
        <v>0</v>
      </c>
      <c r="E76" s="79">
        <v>0</v>
      </c>
    </row>
    <row r="77" spans="2:5" ht="13.5" thickBot="1">
      <c r="B77" s="188" t="s">
        <v>8</v>
      </c>
      <c r="C77" s="189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" right="0.75" top="0.62" bottom="0.47" header="0.5" footer="0.5"/>
  <pageSetup paperSize="9" scale="7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7"/>
  <dimension ref="A1:G81"/>
  <sheetViews>
    <sheetView zoomScale="80" zoomScaleNormal="80" workbookViewId="0">
      <selection activeCell="G13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87"/>
      <c r="C4" s="87"/>
      <c r="D4" s="87"/>
      <c r="E4" s="87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73</v>
      </c>
      <c r="C6" s="353"/>
      <c r="D6" s="353"/>
      <c r="E6" s="353"/>
    </row>
    <row r="7" spans="2:7" ht="14.25">
      <c r="B7" s="89"/>
      <c r="C7" s="89"/>
      <c r="D7" s="89"/>
      <c r="E7" s="8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88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1951982.93</v>
      </c>
      <c r="E11" s="228">
        <f>SUM(E12:E14)</f>
        <v>1830177.17</v>
      </c>
    </row>
    <row r="12" spans="2:7">
      <c r="B12" s="106" t="s">
        <v>4</v>
      </c>
      <c r="C12" s="6" t="s">
        <v>5</v>
      </c>
      <c r="D12" s="241">
        <v>1951982.93</v>
      </c>
      <c r="E12" s="245">
        <f>1828239.13+1938.04</f>
        <v>1830177.17</v>
      </c>
    </row>
    <row r="13" spans="2:7">
      <c r="B13" s="106" t="s">
        <v>6</v>
      </c>
      <c r="C13" s="68" t="s">
        <v>7</v>
      </c>
      <c r="D13" s="237"/>
      <c r="E13" s="246"/>
    </row>
    <row r="14" spans="2:7">
      <c r="B14" s="106" t="s">
        <v>8</v>
      </c>
      <c r="C14" s="68" t="s">
        <v>10</v>
      </c>
      <c r="D14" s="237"/>
      <c r="E14" s="246"/>
    </row>
    <row r="15" spans="2:7">
      <c r="B15" s="106" t="s">
        <v>106</v>
      </c>
      <c r="C15" s="68" t="s">
        <v>11</v>
      </c>
      <c r="D15" s="237"/>
      <c r="E15" s="246"/>
    </row>
    <row r="16" spans="2:7">
      <c r="B16" s="107" t="s">
        <v>107</v>
      </c>
      <c r="C16" s="91" t="s">
        <v>12</v>
      </c>
      <c r="D16" s="239"/>
      <c r="E16" s="247"/>
    </row>
    <row r="17" spans="2:6">
      <c r="B17" s="9" t="s">
        <v>13</v>
      </c>
      <c r="C17" s="11" t="s">
        <v>65</v>
      </c>
      <c r="D17" s="240">
        <v>3286.13</v>
      </c>
      <c r="E17" s="248">
        <f>E18</f>
        <v>3004.29</v>
      </c>
    </row>
    <row r="18" spans="2:6">
      <c r="B18" s="106" t="s">
        <v>4</v>
      </c>
      <c r="C18" s="6" t="s">
        <v>11</v>
      </c>
      <c r="D18" s="239">
        <v>3286.13</v>
      </c>
      <c r="E18" s="247">
        <v>3004.29</v>
      </c>
    </row>
    <row r="19" spans="2:6" ht="15" customHeight="1">
      <c r="B19" s="106" t="s">
        <v>6</v>
      </c>
      <c r="C19" s="68" t="s">
        <v>108</v>
      </c>
      <c r="D19" s="237"/>
      <c r="E19" s="246"/>
    </row>
    <row r="20" spans="2:6" ht="13.5" thickBot="1">
      <c r="B20" s="108" t="s">
        <v>8</v>
      </c>
      <c r="C20" s="6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1948696.8</v>
      </c>
      <c r="E21" s="148">
        <f>E11-E17</f>
        <v>1827172.88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3"/>
      <c r="D23" s="363"/>
      <c r="E23" s="363"/>
    </row>
    <row r="24" spans="2:6" ht="15.75" customHeight="1" thickBot="1">
      <c r="B24" s="354" t="s">
        <v>105</v>
      </c>
      <c r="C24" s="364"/>
      <c r="D24" s="364"/>
      <c r="E24" s="364"/>
    </row>
    <row r="25" spans="2:6" ht="13.5" thickBot="1">
      <c r="B25" s="88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2161400.2899999996</v>
      </c>
      <c r="E26" s="217">
        <f>D21</f>
        <v>1948696.8</v>
      </c>
    </row>
    <row r="27" spans="2:6">
      <c r="B27" s="9" t="s">
        <v>17</v>
      </c>
      <c r="C27" s="10" t="s">
        <v>111</v>
      </c>
      <c r="D27" s="323">
        <v>-414324.63</v>
      </c>
      <c r="E27" s="274">
        <f>E28-E32</f>
        <v>-134529.88</v>
      </c>
      <c r="F27" s="71"/>
    </row>
    <row r="28" spans="2:6">
      <c r="B28" s="9" t="s">
        <v>18</v>
      </c>
      <c r="C28" s="10" t="s">
        <v>19</v>
      </c>
      <c r="D28" s="323"/>
      <c r="E28" s="275"/>
      <c r="F28" s="71"/>
    </row>
    <row r="29" spans="2:6">
      <c r="B29" s="104" t="s">
        <v>4</v>
      </c>
      <c r="C29" s="174" t="s">
        <v>20</v>
      </c>
      <c r="D29" s="324"/>
      <c r="E29" s="276"/>
      <c r="F29" s="71"/>
    </row>
    <row r="30" spans="2:6">
      <c r="B30" s="104" t="s">
        <v>6</v>
      </c>
      <c r="C30" s="174" t="s">
        <v>21</v>
      </c>
      <c r="D30" s="324"/>
      <c r="E30" s="276"/>
      <c r="F30" s="71"/>
    </row>
    <row r="31" spans="2:6">
      <c r="B31" s="104" t="s">
        <v>8</v>
      </c>
      <c r="C31" s="174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414324.63</v>
      </c>
      <c r="E32" s="275">
        <f>SUM(E33:E39)</f>
        <v>134529.88</v>
      </c>
      <c r="F32" s="71"/>
    </row>
    <row r="33" spans="2:6">
      <c r="B33" s="104" t="s">
        <v>4</v>
      </c>
      <c r="C33" s="174" t="s">
        <v>25</v>
      </c>
      <c r="D33" s="324">
        <v>387158.78</v>
      </c>
      <c r="E33" s="276">
        <f>109304.12-2076.78</f>
        <v>107227.34</v>
      </c>
      <c r="F33" s="71"/>
    </row>
    <row r="34" spans="2:6">
      <c r="B34" s="104" t="s">
        <v>6</v>
      </c>
      <c r="C34" s="174" t="s">
        <v>26</v>
      </c>
      <c r="D34" s="324"/>
      <c r="E34" s="276"/>
      <c r="F34" s="71"/>
    </row>
    <row r="35" spans="2:6">
      <c r="B35" s="104" t="s">
        <v>8</v>
      </c>
      <c r="C35" s="174" t="s">
        <v>27</v>
      </c>
      <c r="D35" s="324">
        <v>26755.16</v>
      </c>
      <c r="E35" s="276">
        <v>27134.44</v>
      </c>
      <c r="F35" s="71"/>
    </row>
    <row r="36" spans="2:6">
      <c r="B36" s="104" t="s">
        <v>9</v>
      </c>
      <c r="C36" s="174" t="s">
        <v>28</v>
      </c>
      <c r="D36" s="324"/>
      <c r="E36" s="276"/>
      <c r="F36" s="71"/>
    </row>
    <row r="37" spans="2:6" ht="25.5">
      <c r="B37" s="104" t="s">
        <v>29</v>
      </c>
      <c r="C37" s="174" t="s">
        <v>30</v>
      </c>
      <c r="D37" s="324"/>
      <c r="E37" s="276"/>
      <c r="F37" s="71"/>
    </row>
    <row r="38" spans="2:6">
      <c r="B38" s="104" t="s">
        <v>31</v>
      </c>
      <c r="C38" s="174" t="s">
        <v>32</v>
      </c>
      <c r="D38" s="324"/>
      <c r="E38" s="276"/>
      <c r="F38" s="71"/>
    </row>
    <row r="39" spans="2:6">
      <c r="B39" s="105" t="s">
        <v>33</v>
      </c>
      <c r="C39" s="183" t="s">
        <v>34</v>
      </c>
      <c r="D39" s="325">
        <v>410.69</v>
      </c>
      <c r="E39" s="277">
        <v>168.1</v>
      </c>
      <c r="F39" s="71"/>
    </row>
    <row r="40" spans="2:6" ht="13.5" thickBot="1">
      <c r="B40" s="97" t="s">
        <v>35</v>
      </c>
      <c r="C40" s="98" t="s">
        <v>36</v>
      </c>
      <c r="D40" s="326">
        <v>201621.14</v>
      </c>
      <c r="E40" s="279">
        <v>13005.96</v>
      </c>
    </row>
    <row r="41" spans="2:6" ht="13.5" thickBot="1">
      <c r="B41" s="99" t="s">
        <v>37</v>
      </c>
      <c r="C41" s="100" t="s">
        <v>38</v>
      </c>
      <c r="D41" s="327">
        <v>1948696.7999999998</v>
      </c>
      <c r="E41" s="148">
        <f>E26+E27+E40</f>
        <v>1827172.88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8" customHeight="1" thickBot="1">
      <c r="B44" s="354" t="s">
        <v>121</v>
      </c>
      <c r="C44" s="358"/>
      <c r="D44" s="358"/>
      <c r="E44" s="358"/>
    </row>
    <row r="45" spans="2:6" ht="13.5" thickBot="1">
      <c r="B45" s="88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85" t="s">
        <v>40</v>
      </c>
      <c r="D47" s="200">
        <v>344905.10879999999</v>
      </c>
      <c r="E47" s="73">
        <v>282730.88414400001</v>
      </c>
    </row>
    <row r="48" spans="2:6">
      <c r="B48" s="123" t="s">
        <v>6</v>
      </c>
      <c r="C48" s="187" t="s">
        <v>41</v>
      </c>
      <c r="D48" s="200">
        <v>282730.88414400001</v>
      </c>
      <c r="E48" s="73">
        <v>261484.98209899999</v>
      </c>
    </row>
    <row r="49" spans="2:5">
      <c r="B49" s="120" t="s">
        <v>23</v>
      </c>
      <c r="C49" s="124" t="s">
        <v>113</v>
      </c>
      <c r="D49" s="201"/>
      <c r="E49" s="73"/>
    </row>
    <row r="50" spans="2:5">
      <c r="B50" s="102" t="s">
        <v>4</v>
      </c>
      <c r="C50" s="185" t="s">
        <v>40</v>
      </c>
      <c r="D50" s="200">
        <v>6.2666519999999997</v>
      </c>
      <c r="E50" s="73">
        <v>6.8924089999999998</v>
      </c>
    </row>
    <row r="51" spans="2:5">
      <c r="B51" s="102" t="s">
        <v>6</v>
      </c>
      <c r="C51" s="185" t="s">
        <v>114</v>
      </c>
      <c r="D51" s="200">
        <v>6.2491539999999999</v>
      </c>
      <c r="E51" s="73">
        <v>5.0300070000000003</v>
      </c>
    </row>
    <row r="52" spans="2:5" ht="12.75" customHeight="1">
      <c r="B52" s="102" t="s">
        <v>8</v>
      </c>
      <c r="C52" s="185" t="s">
        <v>115</v>
      </c>
      <c r="D52" s="200">
        <v>6.9216569999999997</v>
      </c>
      <c r="E52" s="73">
        <v>6.9880420000000001</v>
      </c>
    </row>
    <row r="53" spans="2:5" ht="13.5" thickBot="1">
      <c r="B53" s="103" t="s">
        <v>9</v>
      </c>
      <c r="C53" s="189" t="s">
        <v>41</v>
      </c>
      <c r="D53" s="202">
        <v>6.8924089999999998</v>
      </c>
      <c r="E53" s="280">
        <v>6.9876779999999998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4.25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D64+D69</f>
        <v>1830177.17</v>
      </c>
      <c r="E58" s="31">
        <f>D58/E21</f>
        <v>1.0016442286512046</v>
      </c>
    </row>
    <row r="59" spans="2:5" ht="25.5">
      <c r="B59" s="186" t="s">
        <v>4</v>
      </c>
      <c r="C59" s="187" t="s">
        <v>44</v>
      </c>
      <c r="D59" s="80">
        <v>0</v>
      </c>
      <c r="E59" s="81">
        <v>0</v>
      </c>
    </row>
    <row r="60" spans="2:5" ht="24" customHeight="1">
      <c r="B60" s="184" t="s">
        <v>6</v>
      </c>
      <c r="C60" s="185" t="s">
        <v>45</v>
      </c>
      <c r="D60" s="78">
        <v>0</v>
      </c>
      <c r="E60" s="79">
        <v>0</v>
      </c>
    </row>
    <row r="61" spans="2:5">
      <c r="B61" s="184" t="s">
        <v>8</v>
      </c>
      <c r="C61" s="185" t="s">
        <v>46</v>
      </c>
      <c r="D61" s="78">
        <v>0</v>
      </c>
      <c r="E61" s="79">
        <v>0</v>
      </c>
    </row>
    <row r="62" spans="2:5">
      <c r="B62" s="184" t="s">
        <v>9</v>
      </c>
      <c r="C62" s="185" t="s">
        <v>47</v>
      </c>
      <c r="D62" s="78">
        <v>0</v>
      </c>
      <c r="E62" s="79">
        <v>0</v>
      </c>
    </row>
    <row r="63" spans="2:5">
      <c r="B63" s="184" t="s">
        <v>29</v>
      </c>
      <c r="C63" s="185" t="s">
        <v>48</v>
      </c>
      <c r="D63" s="78">
        <v>0</v>
      </c>
      <c r="E63" s="79">
        <v>0</v>
      </c>
    </row>
    <row r="64" spans="2:5">
      <c r="B64" s="186" t="s">
        <v>31</v>
      </c>
      <c r="C64" s="187" t="s">
        <v>49</v>
      </c>
      <c r="D64" s="80">
        <v>1828239.13</v>
      </c>
      <c r="E64" s="81">
        <f>D64/E21</f>
        <v>1.0005835517873929</v>
      </c>
    </row>
    <row r="65" spans="2:5">
      <c r="B65" s="186" t="s">
        <v>33</v>
      </c>
      <c r="C65" s="187" t="s">
        <v>118</v>
      </c>
      <c r="D65" s="80">
        <v>0</v>
      </c>
      <c r="E65" s="81">
        <v>0</v>
      </c>
    </row>
    <row r="66" spans="2:5">
      <c r="B66" s="186" t="s">
        <v>50</v>
      </c>
      <c r="C66" s="187" t="s">
        <v>51</v>
      </c>
      <c r="D66" s="80">
        <v>0</v>
      </c>
      <c r="E66" s="81">
        <v>0</v>
      </c>
    </row>
    <row r="67" spans="2:5">
      <c r="B67" s="184" t="s">
        <v>52</v>
      </c>
      <c r="C67" s="185" t="s">
        <v>53</v>
      </c>
      <c r="D67" s="78">
        <v>0</v>
      </c>
      <c r="E67" s="79">
        <v>0</v>
      </c>
    </row>
    <row r="68" spans="2:5">
      <c r="B68" s="184" t="s">
        <v>54</v>
      </c>
      <c r="C68" s="185" t="s">
        <v>55</v>
      </c>
      <c r="D68" s="78">
        <v>0</v>
      </c>
      <c r="E68" s="79">
        <v>0</v>
      </c>
    </row>
    <row r="69" spans="2:5" ht="15">
      <c r="B69" s="184" t="s">
        <v>56</v>
      </c>
      <c r="C69" s="185" t="s">
        <v>57</v>
      </c>
      <c r="D69" s="301">
        <v>1938.04</v>
      </c>
      <c r="E69" s="79">
        <f>D69/E21</f>
        <v>1.0606768638115951E-3</v>
      </c>
    </row>
    <row r="70" spans="2:5">
      <c r="B70" s="221" t="s">
        <v>58</v>
      </c>
      <c r="C70" s="220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f>D72/E21</f>
        <v>0</v>
      </c>
    </row>
    <row r="73" spans="2:5">
      <c r="B73" s="132" t="s">
        <v>62</v>
      </c>
      <c r="C73" s="24" t="s">
        <v>65</v>
      </c>
      <c r="D73" s="25">
        <f>E17</f>
        <v>3004.29</v>
      </c>
      <c r="E73" s="26">
        <f>D73/E21</f>
        <v>1.6442286512045867E-3</v>
      </c>
    </row>
    <row r="74" spans="2:5">
      <c r="B74" s="130" t="s">
        <v>64</v>
      </c>
      <c r="C74" s="121" t="s">
        <v>66</v>
      </c>
      <c r="D74" s="122">
        <f>D58+D72-D73</f>
        <v>1827172.88</v>
      </c>
      <c r="E74" s="66">
        <f>E58+E72-E73</f>
        <v>1</v>
      </c>
    </row>
    <row r="75" spans="2:5">
      <c r="B75" s="184" t="s">
        <v>4</v>
      </c>
      <c r="C75" s="185" t="s">
        <v>67</v>
      </c>
      <c r="D75" s="78">
        <f>D74</f>
        <v>1827172.88</v>
      </c>
      <c r="E75" s="79">
        <f>E74</f>
        <v>1</v>
      </c>
    </row>
    <row r="76" spans="2:5">
      <c r="B76" s="184" t="s">
        <v>6</v>
      </c>
      <c r="C76" s="185" t="s">
        <v>119</v>
      </c>
      <c r="D76" s="78">
        <v>0</v>
      </c>
      <c r="E76" s="79">
        <v>0</v>
      </c>
    </row>
    <row r="77" spans="2:5" ht="13.5" thickBot="1">
      <c r="B77" s="188" t="s">
        <v>8</v>
      </c>
      <c r="C77" s="189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48" right="0.75" top="0.56999999999999995" bottom="0.4" header="0.5" footer="0.5"/>
  <pageSetup paperSize="9" scale="7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8"/>
  <dimension ref="A1:G81"/>
  <sheetViews>
    <sheetView topLeftCell="A13" zoomScale="80" zoomScaleNormal="80" workbookViewId="0">
      <selection activeCell="E41" sqref="E41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87"/>
      <c r="C4" s="87"/>
      <c r="D4" s="87"/>
      <c r="E4" s="87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76</v>
      </c>
      <c r="C6" s="353"/>
      <c r="D6" s="353"/>
      <c r="E6" s="353"/>
    </row>
    <row r="7" spans="2:7" ht="14.25">
      <c r="B7" s="89"/>
      <c r="C7" s="89"/>
      <c r="D7" s="89"/>
      <c r="E7" s="8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88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3027505.17</v>
      </c>
      <c r="E11" s="228">
        <f>SUM(E12:E14)</f>
        <v>2816220.92</v>
      </c>
    </row>
    <row r="12" spans="2:7">
      <c r="B12" s="106" t="s">
        <v>4</v>
      </c>
      <c r="C12" s="6" t="s">
        <v>5</v>
      </c>
      <c r="D12" s="241">
        <v>3027505.17</v>
      </c>
      <c r="E12" s="245">
        <f>2811262.8+4958.12</f>
        <v>2816220.92</v>
      </c>
    </row>
    <row r="13" spans="2:7">
      <c r="B13" s="106" t="s">
        <v>6</v>
      </c>
      <c r="C13" s="68" t="s">
        <v>7</v>
      </c>
      <c r="D13" s="237"/>
      <c r="E13" s="246"/>
    </row>
    <row r="14" spans="2:7">
      <c r="B14" s="106" t="s">
        <v>8</v>
      </c>
      <c r="C14" s="68" t="s">
        <v>10</v>
      </c>
      <c r="D14" s="237"/>
      <c r="E14" s="246"/>
    </row>
    <row r="15" spans="2:7">
      <c r="B15" s="106" t="s">
        <v>106</v>
      </c>
      <c r="C15" s="68" t="s">
        <v>11</v>
      </c>
      <c r="D15" s="237"/>
      <c r="E15" s="246"/>
    </row>
    <row r="16" spans="2:7">
      <c r="B16" s="107" t="s">
        <v>107</v>
      </c>
      <c r="C16" s="91" t="s">
        <v>12</v>
      </c>
      <c r="D16" s="239"/>
      <c r="E16" s="247"/>
    </row>
    <row r="17" spans="2:6">
      <c r="B17" s="9" t="s">
        <v>13</v>
      </c>
      <c r="C17" s="11" t="s">
        <v>65</v>
      </c>
      <c r="D17" s="240">
        <v>5174.76</v>
      </c>
      <c r="E17" s="248">
        <f>E18</f>
        <v>4562.12</v>
      </c>
    </row>
    <row r="18" spans="2:6">
      <c r="B18" s="106" t="s">
        <v>4</v>
      </c>
      <c r="C18" s="6" t="s">
        <v>11</v>
      </c>
      <c r="D18" s="239">
        <v>5174.76</v>
      </c>
      <c r="E18" s="247">
        <v>4562.12</v>
      </c>
    </row>
    <row r="19" spans="2:6" ht="15" customHeight="1">
      <c r="B19" s="106" t="s">
        <v>6</v>
      </c>
      <c r="C19" s="68" t="s">
        <v>108</v>
      </c>
      <c r="D19" s="237"/>
      <c r="E19" s="246"/>
    </row>
    <row r="20" spans="2:6" ht="13.5" thickBot="1">
      <c r="B20" s="108" t="s">
        <v>8</v>
      </c>
      <c r="C20" s="6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3022330.41</v>
      </c>
      <c r="E21" s="148">
        <f>E11-E17</f>
        <v>2811658.8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3"/>
      <c r="D23" s="363"/>
      <c r="E23" s="363"/>
    </row>
    <row r="24" spans="2:6" ht="15.75" customHeight="1" thickBot="1">
      <c r="B24" s="354" t="s">
        <v>105</v>
      </c>
      <c r="C24" s="364"/>
      <c r="D24" s="364"/>
      <c r="E24" s="364"/>
    </row>
    <row r="25" spans="2:6" ht="13.5" thickBot="1">
      <c r="B25" s="88"/>
      <c r="C25" s="5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3527086.4599999995</v>
      </c>
      <c r="E26" s="217">
        <f>D21</f>
        <v>3022330.41</v>
      </c>
    </row>
    <row r="27" spans="2:6">
      <c r="B27" s="9" t="s">
        <v>17</v>
      </c>
      <c r="C27" s="10" t="s">
        <v>111</v>
      </c>
      <c r="D27" s="323">
        <v>-539303.59999999905</v>
      </c>
      <c r="E27" s="274">
        <f>E28-E32</f>
        <v>-286232.66000000003</v>
      </c>
      <c r="F27" s="71"/>
    </row>
    <row r="28" spans="2:6">
      <c r="B28" s="9" t="s">
        <v>18</v>
      </c>
      <c r="C28" s="10" t="s">
        <v>19</v>
      </c>
      <c r="D28" s="323">
        <v>0</v>
      </c>
      <c r="E28" s="275">
        <v>0</v>
      </c>
      <c r="F28" s="71"/>
    </row>
    <row r="29" spans="2:6">
      <c r="B29" s="104" t="s">
        <v>4</v>
      </c>
      <c r="C29" s="6" t="s">
        <v>20</v>
      </c>
      <c r="D29" s="324"/>
      <c r="E29" s="276"/>
      <c r="F29" s="71"/>
    </row>
    <row r="30" spans="2:6">
      <c r="B30" s="104" t="s">
        <v>6</v>
      </c>
      <c r="C30" s="6" t="s">
        <v>21</v>
      </c>
      <c r="D30" s="324"/>
      <c r="E30" s="276"/>
      <c r="F30" s="71"/>
    </row>
    <row r="31" spans="2:6">
      <c r="B31" s="104" t="s">
        <v>8</v>
      </c>
      <c r="C31" s="6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539303.59999999905</v>
      </c>
      <c r="E32" s="275">
        <f>SUM(E33:E39)</f>
        <v>286232.66000000003</v>
      </c>
      <c r="F32" s="71"/>
    </row>
    <row r="33" spans="2:6">
      <c r="B33" s="104" t="s">
        <v>4</v>
      </c>
      <c r="C33" s="6" t="s">
        <v>25</v>
      </c>
      <c r="D33" s="324">
        <v>485053.03</v>
      </c>
      <c r="E33" s="276">
        <f>260100-3580.13</f>
        <v>256519.87</v>
      </c>
      <c r="F33" s="71"/>
    </row>
    <row r="34" spans="2:6">
      <c r="B34" s="104" t="s">
        <v>6</v>
      </c>
      <c r="C34" s="6" t="s">
        <v>26</v>
      </c>
      <c r="D34" s="324"/>
      <c r="E34" s="276"/>
      <c r="F34" s="71"/>
    </row>
    <row r="35" spans="2:6">
      <c r="B35" s="104" t="s">
        <v>8</v>
      </c>
      <c r="C35" s="6" t="s">
        <v>27</v>
      </c>
      <c r="D35" s="324">
        <v>28395.96</v>
      </c>
      <c r="E35" s="276">
        <v>29557.89</v>
      </c>
      <c r="F35" s="71"/>
    </row>
    <row r="36" spans="2:6">
      <c r="B36" s="104" t="s">
        <v>9</v>
      </c>
      <c r="C36" s="6" t="s">
        <v>28</v>
      </c>
      <c r="D36" s="324"/>
      <c r="E36" s="276"/>
      <c r="F36" s="71"/>
    </row>
    <row r="37" spans="2:6" ht="25.5">
      <c r="B37" s="104" t="s">
        <v>29</v>
      </c>
      <c r="C37" s="6" t="s">
        <v>30</v>
      </c>
      <c r="D37" s="324"/>
      <c r="E37" s="276"/>
      <c r="F37" s="71"/>
    </row>
    <row r="38" spans="2:6">
      <c r="B38" s="104" t="s">
        <v>31</v>
      </c>
      <c r="C38" s="6" t="s">
        <v>32</v>
      </c>
      <c r="D38" s="324"/>
      <c r="E38" s="276"/>
      <c r="F38" s="71"/>
    </row>
    <row r="39" spans="2:6">
      <c r="B39" s="105" t="s">
        <v>33</v>
      </c>
      <c r="C39" s="12" t="s">
        <v>34</v>
      </c>
      <c r="D39" s="325">
        <v>25854.609999998956</v>
      </c>
      <c r="E39" s="277">
        <v>154.9</v>
      </c>
      <c r="F39" s="71"/>
    </row>
    <row r="40" spans="2:6" ht="13.5" thickBot="1">
      <c r="B40" s="97" t="s">
        <v>35</v>
      </c>
      <c r="C40" s="98" t="s">
        <v>36</v>
      </c>
      <c r="D40" s="326">
        <v>34547.550000000003</v>
      </c>
      <c r="E40" s="279">
        <v>75561.05</v>
      </c>
    </row>
    <row r="41" spans="2:6" ht="13.5" thickBot="1">
      <c r="B41" s="99" t="s">
        <v>37</v>
      </c>
      <c r="C41" s="100" t="s">
        <v>38</v>
      </c>
      <c r="D41" s="327">
        <v>3022330.41</v>
      </c>
      <c r="E41" s="148">
        <f>E26+E27+E40</f>
        <v>2811658.8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8" customHeight="1" thickBot="1">
      <c r="B44" s="354" t="s">
        <v>121</v>
      </c>
      <c r="C44" s="358"/>
      <c r="D44" s="358"/>
      <c r="E44" s="358"/>
    </row>
    <row r="45" spans="2:6" ht="13.5" thickBot="1">
      <c r="B45" s="88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337432.93696999998</v>
      </c>
      <c r="E47" s="73">
        <v>286019.73003599996</v>
      </c>
    </row>
    <row r="48" spans="2:6">
      <c r="B48" s="123" t="s">
        <v>6</v>
      </c>
      <c r="C48" s="22" t="s">
        <v>41</v>
      </c>
      <c r="D48" s="200">
        <v>286019.73003599996</v>
      </c>
      <c r="E48" s="73">
        <v>258386.366056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02" t="s">
        <v>4</v>
      </c>
      <c r="C50" s="15" t="s">
        <v>40</v>
      </c>
      <c r="D50" s="200">
        <v>10.452704000000001</v>
      </c>
      <c r="E50" s="73">
        <v>10.56686</v>
      </c>
    </row>
    <row r="51" spans="2:5">
      <c r="B51" s="102" t="s">
        <v>6</v>
      </c>
      <c r="C51" s="15" t="s">
        <v>114</v>
      </c>
      <c r="D51" s="200">
        <v>10.279909999999999</v>
      </c>
      <c r="E51" s="75">
        <v>9.9116029999999995</v>
      </c>
    </row>
    <row r="52" spans="2:5" ht="12" customHeight="1">
      <c r="B52" s="102" t="s">
        <v>8</v>
      </c>
      <c r="C52" s="15" t="s">
        <v>115</v>
      </c>
      <c r="D52" s="200">
        <v>10.64601</v>
      </c>
      <c r="E52" s="75">
        <v>10.88217</v>
      </c>
    </row>
    <row r="53" spans="2:5" ht="13.5" thickBot="1">
      <c r="B53" s="103" t="s">
        <v>9</v>
      </c>
      <c r="C53" s="17" t="s">
        <v>41</v>
      </c>
      <c r="D53" s="202">
        <v>10.56686</v>
      </c>
      <c r="E53" s="280">
        <v>10.881607000000001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7.2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D64+D69</f>
        <v>2816220.92</v>
      </c>
      <c r="E58" s="31">
        <f>D58/E21</f>
        <v>1.0016225724117023</v>
      </c>
    </row>
    <row r="59" spans="2:5" ht="25.5">
      <c r="B59" s="186" t="s">
        <v>4</v>
      </c>
      <c r="C59" s="187" t="s">
        <v>44</v>
      </c>
      <c r="D59" s="80">
        <v>0</v>
      </c>
      <c r="E59" s="81">
        <v>0</v>
      </c>
    </row>
    <row r="60" spans="2:5" ht="24" customHeight="1">
      <c r="B60" s="184" t="s">
        <v>6</v>
      </c>
      <c r="C60" s="185" t="s">
        <v>45</v>
      </c>
      <c r="D60" s="78">
        <v>0</v>
      </c>
      <c r="E60" s="79">
        <v>0</v>
      </c>
    </row>
    <row r="61" spans="2:5">
      <c r="B61" s="184" t="s">
        <v>8</v>
      </c>
      <c r="C61" s="185" t="s">
        <v>46</v>
      </c>
      <c r="D61" s="78">
        <v>0</v>
      </c>
      <c r="E61" s="79">
        <v>0</v>
      </c>
    </row>
    <row r="62" spans="2:5">
      <c r="B62" s="184" t="s">
        <v>9</v>
      </c>
      <c r="C62" s="185" t="s">
        <v>47</v>
      </c>
      <c r="D62" s="78">
        <v>0</v>
      </c>
      <c r="E62" s="79">
        <v>0</v>
      </c>
    </row>
    <row r="63" spans="2:5">
      <c r="B63" s="184" t="s">
        <v>29</v>
      </c>
      <c r="C63" s="185" t="s">
        <v>48</v>
      </c>
      <c r="D63" s="78">
        <v>0</v>
      </c>
      <c r="E63" s="79">
        <v>0</v>
      </c>
    </row>
    <row r="64" spans="2:5">
      <c r="B64" s="186" t="s">
        <v>31</v>
      </c>
      <c r="C64" s="187" t="s">
        <v>49</v>
      </c>
      <c r="D64" s="80">
        <v>2811262.8</v>
      </c>
      <c r="E64" s="81">
        <f>D64/E21</f>
        <v>0.99985915787505941</v>
      </c>
    </row>
    <row r="65" spans="2:5">
      <c r="B65" s="186" t="s">
        <v>33</v>
      </c>
      <c r="C65" s="187" t="s">
        <v>118</v>
      </c>
      <c r="D65" s="80">
        <v>0</v>
      </c>
      <c r="E65" s="81">
        <v>0</v>
      </c>
    </row>
    <row r="66" spans="2:5">
      <c r="B66" s="186" t="s">
        <v>50</v>
      </c>
      <c r="C66" s="187" t="s">
        <v>51</v>
      </c>
      <c r="D66" s="80">
        <v>0</v>
      </c>
      <c r="E66" s="81">
        <v>0</v>
      </c>
    </row>
    <row r="67" spans="2:5">
      <c r="B67" s="184" t="s">
        <v>52</v>
      </c>
      <c r="C67" s="185" t="s">
        <v>53</v>
      </c>
      <c r="D67" s="78">
        <v>0</v>
      </c>
      <c r="E67" s="79">
        <v>0</v>
      </c>
    </row>
    <row r="68" spans="2:5">
      <c r="B68" s="184" t="s">
        <v>54</v>
      </c>
      <c r="C68" s="185" t="s">
        <v>55</v>
      </c>
      <c r="D68" s="78">
        <v>0</v>
      </c>
      <c r="E68" s="79">
        <v>0</v>
      </c>
    </row>
    <row r="69" spans="2:5" ht="15">
      <c r="B69" s="184" t="s">
        <v>56</v>
      </c>
      <c r="C69" s="185" t="s">
        <v>57</v>
      </c>
      <c r="D69" s="301">
        <v>4958.12</v>
      </c>
      <c r="E69" s="79">
        <f>D69/E21</f>
        <v>1.7634145366429241E-3</v>
      </c>
    </row>
    <row r="70" spans="2:5">
      <c r="B70" s="221" t="s">
        <v>58</v>
      </c>
      <c r="C70" s="220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f>D72/E21</f>
        <v>0</v>
      </c>
    </row>
    <row r="73" spans="2:5">
      <c r="B73" s="132" t="s">
        <v>62</v>
      </c>
      <c r="C73" s="24" t="s">
        <v>65</v>
      </c>
      <c r="D73" s="25">
        <f>E17</f>
        <v>4562.12</v>
      </c>
      <c r="E73" s="26">
        <f>D73/E21</f>
        <v>1.6225724117023019E-3</v>
      </c>
    </row>
    <row r="74" spans="2:5">
      <c r="B74" s="130" t="s">
        <v>64</v>
      </c>
      <c r="C74" s="121" t="s">
        <v>66</v>
      </c>
      <c r="D74" s="122">
        <f>D58+D72-D73</f>
        <v>2811658.8</v>
      </c>
      <c r="E74" s="66">
        <f>E58+E72-E73</f>
        <v>1</v>
      </c>
    </row>
    <row r="75" spans="2:5">
      <c r="B75" s="184" t="s">
        <v>4</v>
      </c>
      <c r="C75" s="185" t="s">
        <v>67</v>
      </c>
      <c r="D75" s="78">
        <f>D74</f>
        <v>2811658.8</v>
      </c>
      <c r="E75" s="79">
        <f>E74</f>
        <v>1</v>
      </c>
    </row>
    <row r="76" spans="2:5">
      <c r="B76" s="184" t="s">
        <v>6</v>
      </c>
      <c r="C76" s="185" t="s">
        <v>119</v>
      </c>
      <c r="D76" s="78">
        <v>0</v>
      </c>
      <c r="E76" s="79">
        <v>0</v>
      </c>
    </row>
    <row r="77" spans="2:5" ht="13.5" thickBot="1">
      <c r="B77" s="188" t="s">
        <v>8</v>
      </c>
      <c r="C77" s="189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9055118110236227" right="0.74803149606299213" top="0.59055118110236227" bottom="0.55118110236220474" header="0.51181102362204722" footer="0.51181102362204722"/>
  <pageSetup paperSize="9" scale="70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9"/>
  <dimension ref="A1:F81"/>
  <sheetViews>
    <sheetView zoomScale="80" zoomScaleNormal="80" workbookViewId="0">
      <selection activeCell="E41" sqref="E41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1" t="s">
        <v>0</v>
      </c>
      <c r="C2" s="351"/>
      <c r="D2" s="351"/>
      <c r="E2" s="351"/>
    </row>
    <row r="3" spans="2:5" ht="15.75">
      <c r="B3" s="351" t="s">
        <v>271</v>
      </c>
      <c r="C3" s="351"/>
      <c r="D3" s="351"/>
      <c r="E3" s="351"/>
    </row>
    <row r="4" spans="2:5" ht="15">
      <c r="B4" s="87"/>
      <c r="C4" s="87"/>
      <c r="D4" s="87"/>
      <c r="E4" s="87"/>
    </row>
    <row r="5" spans="2:5" ht="21" customHeight="1">
      <c r="B5" s="352" t="s">
        <v>1</v>
      </c>
      <c r="C5" s="352"/>
      <c r="D5" s="352"/>
      <c r="E5" s="352"/>
    </row>
    <row r="6" spans="2:5" ht="14.25">
      <c r="B6" s="353" t="s">
        <v>75</v>
      </c>
      <c r="C6" s="353"/>
      <c r="D6" s="353"/>
      <c r="E6" s="353"/>
    </row>
    <row r="7" spans="2:5" ht="14.25">
      <c r="B7" s="89"/>
      <c r="C7" s="89"/>
      <c r="D7" s="89"/>
      <c r="E7" s="89"/>
    </row>
    <row r="8" spans="2:5" ht="13.5">
      <c r="B8" s="355" t="s">
        <v>18</v>
      </c>
      <c r="C8" s="357"/>
      <c r="D8" s="357"/>
      <c r="E8" s="357"/>
    </row>
    <row r="9" spans="2:5" ht="16.5" thickBot="1">
      <c r="B9" s="354" t="s">
        <v>103</v>
      </c>
      <c r="C9" s="354"/>
      <c r="D9" s="354"/>
      <c r="E9" s="354"/>
    </row>
    <row r="10" spans="2:5" ht="13.5" thickBot="1">
      <c r="B10" s="226"/>
      <c r="C10" s="208" t="s">
        <v>2</v>
      </c>
      <c r="D10" s="70" t="s">
        <v>245</v>
      </c>
      <c r="E10" s="255" t="s">
        <v>265</v>
      </c>
    </row>
    <row r="11" spans="2:5">
      <c r="B11" s="90" t="s">
        <v>3</v>
      </c>
      <c r="C11" s="128" t="s">
        <v>109</v>
      </c>
      <c r="D11" s="227">
        <v>4269988.3100000005</v>
      </c>
      <c r="E11" s="228">
        <f>SUM(E12:E14)</f>
        <v>3924708.78</v>
      </c>
    </row>
    <row r="12" spans="2:5">
      <c r="B12" s="173" t="s">
        <v>4</v>
      </c>
      <c r="C12" s="174" t="s">
        <v>5</v>
      </c>
      <c r="D12" s="241">
        <v>4269988.3100000005</v>
      </c>
      <c r="E12" s="245">
        <f>3918318.87+6389.9</f>
        <v>3924708.77</v>
      </c>
    </row>
    <row r="13" spans="2:5">
      <c r="B13" s="173" t="s">
        <v>6</v>
      </c>
      <c r="C13" s="175" t="s">
        <v>7</v>
      </c>
      <c r="D13" s="237"/>
      <c r="E13" s="246">
        <v>0.01</v>
      </c>
    </row>
    <row r="14" spans="2:5">
      <c r="B14" s="173" t="s">
        <v>8</v>
      </c>
      <c r="C14" s="175" t="s">
        <v>10</v>
      </c>
      <c r="D14" s="237"/>
      <c r="E14" s="246"/>
    </row>
    <row r="15" spans="2:5">
      <c r="B15" s="173" t="s">
        <v>106</v>
      </c>
      <c r="C15" s="175" t="s">
        <v>11</v>
      </c>
      <c r="D15" s="237"/>
      <c r="E15" s="246"/>
    </row>
    <row r="16" spans="2:5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>
        <v>7178.01</v>
      </c>
      <c r="E17" s="248">
        <f>E18</f>
        <v>6359.25</v>
      </c>
    </row>
    <row r="18" spans="2:6">
      <c r="B18" s="173" t="s">
        <v>4</v>
      </c>
      <c r="C18" s="174" t="s">
        <v>11</v>
      </c>
      <c r="D18" s="239">
        <v>7178.01</v>
      </c>
      <c r="E18" s="247">
        <v>6359.25</v>
      </c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4262810.3000000007</v>
      </c>
      <c r="E21" s="148">
        <f>E11-E17</f>
        <v>3918349.53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26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4703040.8100000005</v>
      </c>
      <c r="E26" s="217">
        <f>D21</f>
        <v>4262810.3000000007</v>
      </c>
    </row>
    <row r="27" spans="2:6">
      <c r="B27" s="9" t="s">
        <v>17</v>
      </c>
      <c r="C27" s="10" t="s">
        <v>111</v>
      </c>
      <c r="D27" s="323">
        <v>-497888.35000000003</v>
      </c>
      <c r="E27" s="274">
        <f>E28-E32</f>
        <v>-362090.75999999995</v>
      </c>
      <c r="F27" s="71"/>
    </row>
    <row r="28" spans="2:6">
      <c r="B28" s="9" t="s">
        <v>18</v>
      </c>
      <c r="C28" s="10" t="s">
        <v>19</v>
      </c>
      <c r="D28" s="323">
        <v>194.17</v>
      </c>
      <c r="E28" s="275"/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>
        <v>194.17</v>
      </c>
      <c r="E31" s="276"/>
      <c r="F31" s="71"/>
    </row>
    <row r="32" spans="2:6">
      <c r="B32" s="92" t="s">
        <v>23</v>
      </c>
      <c r="C32" s="11" t="s">
        <v>24</v>
      </c>
      <c r="D32" s="323">
        <v>498082.52</v>
      </c>
      <c r="E32" s="275">
        <f>SUM(E33:E39)</f>
        <v>362090.75999999995</v>
      </c>
      <c r="F32" s="71"/>
    </row>
    <row r="33" spans="2:6">
      <c r="B33" s="181" t="s">
        <v>4</v>
      </c>
      <c r="C33" s="174" t="s">
        <v>25</v>
      </c>
      <c r="D33" s="324">
        <v>454811.48000000004</v>
      </c>
      <c r="E33" s="276">
        <f>316954.19-3265.27</f>
        <v>313688.92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43271.040000000001</v>
      </c>
      <c r="E35" s="276">
        <v>48214.93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/>
      <c r="E37" s="276"/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>
        <v>186.91</v>
      </c>
      <c r="F39" s="71"/>
    </row>
    <row r="40" spans="2:6" ht="13.5" thickBot="1">
      <c r="B40" s="97" t="s">
        <v>35</v>
      </c>
      <c r="C40" s="98" t="s">
        <v>36</v>
      </c>
      <c r="D40" s="326">
        <v>57657.84</v>
      </c>
      <c r="E40" s="279">
        <v>17629.990000000002</v>
      </c>
    </row>
    <row r="41" spans="2:6" ht="13.5" thickBot="1">
      <c r="B41" s="99" t="s">
        <v>37</v>
      </c>
      <c r="C41" s="100" t="s">
        <v>38</v>
      </c>
      <c r="D41" s="327">
        <v>4262810.3000000007</v>
      </c>
      <c r="E41" s="148">
        <f>E26+E27+E40</f>
        <v>3918349.5300000012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26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486028.44018899999</v>
      </c>
      <c r="E47" s="73">
        <v>434875.47665999999</v>
      </c>
    </row>
    <row r="48" spans="2:6">
      <c r="B48" s="186" t="s">
        <v>6</v>
      </c>
      <c r="C48" s="187" t="s">
        <v>41</v>
      </c>
      <c r="D48" s="200">
        <v>434875.47665999999</v>
      </c>
      <c r="E48" s="73">
        <v>396772.43435400003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84" t="s">
        <v>4</v>
      </c>
      <c r="C50" s="185" t="s">
        <v>40</v>
      </c>
      <c r="D50" s="200">
        <v>9.6764720000000004</v>
      </c>
      <c r="E50" s="73">
        <v>9.8023699999999998</v>
      </c>
    </row>
    <row r="51" spans="2:5">
      <c r="B51" s="184" t="s">
        <v>6</v>
      </c>
      <c r="C51" s="185" t="s">
        <v>114</v>
      </c>
      <c r="D51" s="200">
        <v>9.5541780000000003</v>
      </c>
      <c r="E51" s="73">
        <v>9.0750499999999992</v>
      </c>
    </row>
    <row r="52" spans="2:5" ht="12.75" customHeight="1">
      <c r="B52" s="184" t="s">
        <v>8</v>
      </c>
      <c r="C52" s="185" t="s">
        <v>115</v>
      </c>
      <c r="D52" s="200">
        <v>9.8492879999999996</v>
      </c>
      <c r="E52" s="75">
        <v>9.8760739999999991</v>
      </c>
    </row>
    <row r="53" spans="2:5" ht="13.5" thickBot="1">
      <c r="B53" s="188" t="s">
        <v>9</v>
      </c>
      <c r="C53" s="189" t="s">
        <v>41</v>
      </c>
      <c r="D53" s="202">
        <v>9.8023699999999998</v>
      </c>
      <c r="E53" s="280">
        <v>9.8755590000000009</v>
      </c>
    </row>
    <row r="54" spans="2:5">
      <c r="B54" s="190"/>
      <c r="C54" s="191"/>
      <c r="D54" s="111"/>
      <c r="E54" s="111"/>
    </row>
    <row r="55" spans="2:5" ht="13.5">
      <c r="B55" s="356" t="s">
        <v>62</v>
      </c>
      <c r="C55" s="365"/>
      <c r="D55" s="365"/>
      <c r="E55" s="365"/>
    </row>
    <row r="56" spans="2:5" ht="16.5" customHeight="1" thickBot="1">
      <c r="B56" s="354" t="s">
        <v>116</v>
      </c>
      <c r="C56" s="366"/>
      <c r="D56" s="366"/>
      <c r="E56" s="366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D64+D69</f>
        <v>3924708.77</v>
      </c>
      <c r="E58" s="31">
        <f>D58/E21</f>
        <v>1.0016229384212185</v>
      </c>
    </row>
    <row r="59" spans="2:5" ht="25.5">
      <c r="B59" s="186" t="s">
        <v>4</v>
      </c>
      <c r="C59" s="187" t="s">
        <v>44</v>
      </c>
      <c r="D59" s="80">
        <v>0</v>
      </c>
      <c r="E59" s="81">
        <v>0</v>
      </c>
    </row>
    <row r="60" spans="2:5" ht="24" customHeight="1">
      <c r="B60" s="184" t="s">
        <v>6</v>
      </c>
      <c r="C60" s="185" t="s">
        <v>45</v>
      </c>
      <c r="D60" s="78">
        <v>0</v>
      </c>
      <c r="E60" s="79">
        <v>0</v>
      </c>
    </row>
    <row r="61" spans="2:5">
      <c r="B61" s="184" t="s">
        <v>8</v>
      </c>
      <c r="C61" s="185" t="s">
        <v>46</v>
      </c>
      <c r="D61" s="78">
        <v>0</v>
      </c>
      <c r="E61" s="79">
        <v>0</v>
      </c>
    </row>
    <row r="62" spans="2:5">
      <c r="B62" s="184" t="s">
        <v>9</v>
      </c>
      <c r="C62" s="185" t="s">
        <v>47</v>
      </c>
      <c r="D62" s="78">
        <v>0</v>
      </c>
      <c r="E62" s="79">
        <v>0</v>
      </c>
    </row>
    <row r="63" spans="2:5">
      <c r="B63" s="184" t="s">
        <v>29</v>
      </c>
      <c r="C63" s="185" t="s">
        <v>48</v>
      </c>
      <c r="D63" s="78">
        <v>0</v>
      </c>
      <c r="E63" s="79">
        <v>0</v>
      </c>
    </row>
    <row r="64" spans="2:5">
      <c r="B64" s="186" t="s">
        <v>31</v>
      </c>
      <c r="C64" s="187" t="s">
        <v>49</v>
      </c>
      <c r="D64" s="80">
        <v>3918318.87</v>
      </c>
      <c r="E64" s="81">
        <f>D64/E21</f>
        <v>0.99999217527692086</v>
      </c>
    </row>
    <row r="65" spans="2:5">
      <c r="B65" s="186" t="s">
        <v>33</v>
      </c>
      <c r="C65" s="187" t="s">
        <v>118</v>
      </c>
      <c r="D65" s="80">
        <v>0</v>
      </c>
      <c r="E65" s="81">
        <v>0</v>
      </c>
    </row>
    <row r="66" spans="2:5">
      <c r="B66" s="186" t="s">
        <v>50</v>
      </c>
      <c r="C66" s="187" t="s">
        <v>51</v>
      </c>
      <c r="D66" s="80">
        <v>0</v>
      </c>
      <c r="E66" s="81">
        <v>0</v>
      </c>
    </row>
    <row r="67" spans="2:5">
      <c r="B67" s="184" t="s">
        <v>52</v>
      </c>
      <c r="C67" s="185" t="s">
        <v>53</v>
      </c>
      <c r="D67" s="78">
        <v>0</v>
      </c>
      <c r="E67" s="79">
        <v>0</v>
      </c>
    </row>
    <row r="68" spans="2:5">
      <c r="B68" s="184" t="s">
        <v>54</v>
      </c>
      <c r="C68" s="185" t="s">
        <v>55</v>
      </c>
      <c r="D68" s="78">
        <v>0</v>
      </c>
      <c r="E68" s="79">
        <v>0</v>
      </c>
    </row>
    <row r="69" spans="2:5" ht="15">
      <c r="B69" s="184" t="s">
        <v>56</v>
      </c>
      <c r="C69" s="185" t="s">
        <v>57</v>
      </c>
      <c r="D69" s="301">
        <v>6389.9</v>
      </c>
      <c r="E69" s="79">
        <f>D69/E21</f>
        <v>1.6307631442976451E-3</v>
      </c>
    </row>
    <row r="70" spans="2:5">
      <c r="B70" s="221" t="s">
        <v>58</v>
      </c>
      <c r="C70" s="220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f>E13</f>
        <v>0.01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f>D72/E21</f>
        <v>0</v>
      </c>
    </row>
    <row r="73" spans="2:5">
      <c r="B73" s="132" t="s">
        <v>62</v>
      </c>
      <c r="C73" s="24" t="s">
        <v>65</v>
      </c>
      <c r="D73" s="25">
        <f>E17</f>
        <v>6359.25</v>
      </c>
      <c r="E73" s="26">
        <f>D73/E21</f>
        <v>1.6229409733133227E-3</v>
      </c>
    </row>
    <row r="74" spans="2:5">
      <c r="B74" s="130" t="s">
        <v>64</v>
      </c>
      <c r="C74" s="121" t="s">
        <v>66</v>
      </c>
      <c r="D74" s="122">
        <f>D58+D71+D72-D73</f>
        <v>3918349.53</v>
      </c>
      <c r="E74" s="66">
        <f>E58+E72-E73</f>
        <v>0.99999999744790524</v>
      </c>
    </row>
    <row r="75" spans="2:5">
      <c r="B75" s="184" t="s">
        <v>4</v>
      </c>
      <c r="C75" s="185" t="s">
        <v>67</v>
      </c>
      <c r="D75" s="78">
        <f>D74</f>
        <v>3918349.53</v>
      </c>
      <c r="E75" s="79">
        <f>E74</f>
        <v>0.99999999744790524</v>
      </c>
    </row>
    <row r="76" spans="2:5">
      <c r="B76" s="184" t="s">
        <v>6</v>
      </c>
      <c r="C76" s="185" t="s">
        <v>119</v>
      </c>
      <c r="D76" s="78">
        <v>0</v>
      </c>
      <c r="E76" s="79">
        <v>0</v>
      </c>
    </row>
    <row r="77" spans="2:5" ht="13.5" thickBot="1">
      <c r="B77" s="188" t="s">
        <v>8</v>
      </c>
      <c r="C77" s="189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118110236220474" right="0.74803149606299213" top="0.51181102362204722" bottom="0.47244094488188981" header="0.51181102362204722" footer="0.51181102362204722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G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4.5703125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85"/>
      <c r="C4" s="85"/>
      <c r="D4" s="85"/>
      <c r="E4" s="85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86</v>
      </c>
      <c r="C6" s="353"/>
      <c r="D6" s="353"/>
      <c r="E6" s="353"/>
    </row>
    <row r="7" spans="2:7" ht="14.25">
      <c r="B7" s="89"/>
      <c r="C7" s="89"/>
      <c r="D7" s="89"/>
      <c r="E7" s="8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86"/>
      <c r="C10" s="76" t="s">
        <v>2</v>
      </c>
      <c r="D10" s="263" t="s">
        <v>245</v>
      </c>
      <c r="E10" s="262" t="s">
        <v>265</v>
      </c>
    </row>
    <row r="11" spans="2:7">
      <c r="B11" s="90" t="s">
        <v>3</v>
      </c>
      <c r="C11" s="193" t="s">
        <v>109</v>
      </c>
      <c r="D11" s="227">
        <f>SUM(D12:D14)</f>
        <v>211742829.34</v>
      </c>
      <c r="E11" s="228">
        <f>SUM(E12:E14)</f>
        <v>254358483.99000001</v>
      </c>
    </row>
    <row r="12" spans="2:7">
      <c r="B12" s="106" t="s">
        <v>4</v>
      </c>
      <c r="C12" s="68" t="s">
        <v>5</v>
      </c>
      <c r="D12" s="241">
        <f>216242251.62+71869.72-5236017.74</f>
        <v>211078103.59999999</v>
      </c>
      <c r="E12" s="245">
        <f>259911640.81+110996.8-5708893.1</f>
        <v>254313744.51000002</v>
      </c>
    </row>
    <row r="13" spans="2:7">
      <c r="B13" s="106" t="s">
        <v>6</v>
      </c>
      <c r="C13" s="68" t="s">
        <v>7</v>
      </c>
      <c r="D13" s="237"/>
      <c r="E13" s="246"/>
    </row>
    <row r="14" spans="2:7">
      <c r="B14" s="106" t="s">
        <v>8</v>
      </c>
      <c r="C14" s="68" t="s">
        <v>10</v>
      </c>
      <c r="D14" s="237">
        <f>D15</f>
        <v>664725.74</v>
      </c>
      <c r="E14" s="246">
        <f>E15</f>
        <v>44739.48</v>
      </c>
    </row>
    <row r="15" spans="2:7">
      <c r="B15" s="106" t="s">
        <v>106</v>
      </c>
      <c r="C15" s="68" t="s">
        <v>11</v>
      </c>
      <c r="D15" s="237">
        <v>664725.74</v>
      </c>
      <c r="E15" s="246">
        <v>44739.48</v>
      </c>
    </row>
    <row r="16" spans="2:7">
      <c r="B16" s="107" t="s">
        <v>107</v>
      </c>
      <c r="C16" s="91" t="s">
        <v>12</v>
      </c>
      <c r="D16" s="239"/>
      <c r="E16" s="247"/>
    </row>
    <row r="17" spans="2:6">
      <c r="B17" s="9" t="s">
        <v>13</v>
      </c>
      <c r="C17" s="209" t="s">
        <v>65</v>
      </c>
      <c r="D17" s="240">
        <f>D18</f>
        <v>968777.93</v>
      </c>
      <c r="E17" s="248">
        <f>E18</f>
        <v>291039.71999999997</v>
      </c>
    </row>
    <row r="18" spans="2:6">
      <c r="B18" s="106" t="s">
        <v>4</v>
      </c>
      <c r="C18" s="68" t="s">
        <v>11</v>
      </c>
      <c r="D18" s="239">
        <v>968777.93</v>
      </c>
      <c r="E18" s="247">
        <v>291039.71999999997</v>
      </c>
    </row>
    <row r="19" spans="2:6" ht="15" customHeight="1">
      <c r="B19" s="106" t="s">
        <v>6</v>
      </c>
      <c r="C19" s="68" t="s">
        <v>108</v>
      </c>
      <c r="D19" s="237"/>
      <c r="E19" s="246"/>
    </row>
    <row r="20" spans="2:6" ht="13.5" customHeight="1" thickBot="1">
      <c r="B20" s="108" t="s">
        <v>8</v>
      </c>
      <c r="C20" s="6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f>D11-D17</f>
        <v>210774051.41</v>
      </c>
      <c r="E21" s="148">
        <f>E11-E17</f>
        <v>254067444.27000001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3"/>
      <c r="D23" s="363"/>
      <c r="E23" s="363"/>
    </row>
    <row r="24" spans="2:6" ht="16.5" customHeight="1" thickBot="1">
      <c r="B24" s="354" t="s">
        <v>105</v>
      </c>
      <c r="C24" s="364"/>
      <c r="D24" s="364"/>
      <c r="E24" s="364"/>
    </row>
    <row r="25" spans="2:6" ht="13.5" thickBot="1">
      <c r="B25" s="86"/>
      <c r="C25" s="5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216559372.22000003</v>
      </c>
      <c r="E26" s="217">
        <f>D21</f>
        <v>210774051.41</v>
      </c>
    </row>
    <row r="27" spans="2:6">
      <c r="B27" s="9" t="s">
        <v>17</v>
      </c>
      <c r="C27" s="10" t="s">
        <v>111</v>
      </c>
      <c r="D27" s="323">
        <v>-7376991.0200000554</v>
      </c>
      <c r="E27" s="274">
        <f>E28-E32</f>
        <v>-7747532.5799999982</v>
      </c>
      <c r="F27" s="71"/>
    </row>
    <row r="28" spans="2:6">
      <c r="B28" s="9" t="s">
        <v>18</v>
      </c>
      <c r="C28" s="10" t="s">
        <v>19</v>
      </c>
      <c r="D28" s="323">
        <v>26474459.93</v>
      </c>
      <c r="E28" s="275">
        <v>25492374.510000002</v>
      </c>
      <c r="F28" s="71"/>
    </row>
    <row r="29" spans="2:6">
      <c r="B29" s="104" t="s">
        <v>4</v>
      </c>
      <c r="C29" s="6" t="s">
        <v>20</v>
      </c>
      <c r="D29" s="324">
        <v>25792616.879999999</v>
      </c>
      <c r="E29" s="276">
        <v>23954645.18</v>
      </c>
      <c r="F29" s="71"/>
    </row>
    <row r="30" spans="2:6">
      <c r="B30" s="104" t="s">
        <v>6</v>
      </c>
      <c r="C30" s="6" t="s">
        <v>21</v>
      </c>
      <c r="D30" s="324"/>
      <c r="E30" s="276"/>
      <c r="F30" s="71"/>
    </row>
    <row r="31" spans="2:6">
      <c r="B31" s="104" t="s">
        <v>8</v>
      </c>
      <c r="C31" s="6" t="s">
        <v>22</v>
      </c>
      <c r="D31" s="324">
        <v>681843.05</v>
      </c>
      <c r="E31" s="276">
        <v>1537729.3299999998</v>
      </c>
      <c r="F31" s="71"/>
    </row>
    <row r="32" spans="2:6">
      <c r="B32" s="92" t="s">
        <v>23</v>
      </c>
      <c r="C32" s="11" t="s">
        <v>24</v>
      </c>
      <c r="D32" s="323">
        <v>33851450.950000055</v>
      </c>
      <c r="E32" s="275">
        <f>SUM(E33:E39)</f>
        <v>33239907.09</v>
      </c>
      <c r="F32" s="71"/>
    </row>
    <row r="33" spans="2:6">
      <c r="B33" s="104" t="s">
        <v>4</v>
      </c>
      <c r="C33" s="6" t="s">
        <v>25</v>
      </c>
      <c r="D33" s="324">
        <v>23894593.07</v>
      </c>
      <c r="E33" s="276">
        <f>20048410.3+472875.36</f>
        <v>20521285.66</v>
      </c>
      <c r="F33" s="71"/>
    </row>
    <row r="34" spans="2:6">
      <c r="B34" s="104" t="s">
        <v>6</v>
      </c>
      <c r="C34" s="6" t="s">
        <v>26</v>
      </c>
      <c r="D34" s="324"/>
      <c r="E34" s="276"/>
      <c r="F34" s="71"/>
    </row>
    <row r="35" spans="2:6">
      <c r="B35" s="104" t="s">
        <v>8</v>
      </c>
      <c r="C35" s="6" t="s">
        <v>27</v>
      </c>
      <c r="D35" s="324">
        <v>5774926.9899999993</v>
      </c>
      <c r="E35" s="276">
        <v>5537641.8600000003</v>
      </c>
      <c r="F35" s="71"/>
    </row>
    <row r="36" spans="2:6">
      <c r="B36" s="104" t="s">
        <v>9</v>
      </c>
      <c r="C36" s="6" t="s">
        <v>28</v>
      </c>
      <c r="D36" s="324"/>
      <c r="E36" s="276"/>
      <c r="F36" s="71"/>
    </row>
    <row r="37" spans="2:6" ht="25.5">
      <c r="B37" s="104" t="s">
        <v>29</v>
      </c>
      <c r="C37" s="6" t="s">
        <v>30</v>
      </c>
      <c r="D37" s="324"/>
      <c r="E37" s="276"/>
      <c r="F37" s="71"/>
    </row>
    <row r="38" spans="2:6">
      <c r="B38" s="104" t="s">
        <v>31</v>
      </c>
      <c r="C38" s="6" t="s">
        <v>32</v>
      </c>
      <c r="D38" s="324"/>
      <c r="E38" s="276"/>
      <c r="F38" s="71"/>
    </row>
    <row r="39" spans="2:6">
      <c r="B39" s="105" t="s">
        <v>33</v>
      </c>
      <c r="C39" s="12" t="s">
        <v>34</v>
      </c>
      <c r="D39" s="325">
        <v>4181930.8900000597</v>
      </c>
      <c r="E39" s="277">
        <v>7180979.5700000003</v>
      </c>
      <c r="F39" s="71"/>
    </row>
    <row r="40" spans="2:6" ht="13.5" thickBot="1">
      <c r="B40" s="97" t="s">
        <v>35</v>
      </c>
      <c r="C40" s="98" t="s">
        <v>36</v>
      </c>
      <c r="D40" s="326">
        <v>1591670.21</v>
      </c>
      <c r="E40" s="279">
        <v>51040925.439999998</v>
      </c>
    </row>
    <row r="41" spans="2:6" ht="13.5" thickBot="1">
      <c r="B41" s="99" t="s">
        <v>37</v>
      </c>
      <c r="C41" s="100" t="s">
        <v>38</v>
      </c>
      <c r="D41" s="327">
        <v>210774051.41</v>
      </c>
      <c r="E41" s="148">
        <f>E26+E27+E40</f>
        <v>254067444.26999998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5.75" customHeight="1" thickBot="1">
      <c r="B44" s="354" t="s">
        <v>121</v>
      </c>
      <c r="C44" s="358"/>
      <c r="D44" s="358"/>
      <c r="E44" s="358"/>
    </row>
    <row r="45" spans="2:6" ht="13.5" thickBot="1">
      <c r="B45" s="86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11883548.877800001</v>
      </c>
      <c r="E47" s="73">
        <v>11489564.341</v>
      </c>
    </row>
    <row r="48" spans="2:6">
      <c r="B48" s="123" t="s">
        <v>6</v>
      </c>
      <c r="C48" s="22" t="s">
        <v>41</v>
      </c>
      <c r="D48" s="200">
        <v>11489564.341</v>
      </c>
      <c r="E48" s="332">
        <v>11153316.624499999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02" t="s">
        <v>4</v>
      </c>
      <c r="C50" s="15" t="s">
        <v>40</v>
      </c>
      <c r="D50" s="200">
        <v>18.223459544591801</v>
      </c>
      <c r="E50" s="233">
        <v>18.344799999999999</v>
      </c>
    </row>
    <row r="51" spans="2:5">
      <c r="B51" s="102" t="s">
        <v>6</v>
      </c>
      <c r="C51" s="15" t="s">
        <v>114</v>
      </c>
      <c r="D51" s="200">
        <v>17.4621</v>
      </c>
      <c r="E51" s="294">
        <v>12.6134</v>
      </c>
    </row>
    <row r="52" spans="2:5">
      <c r="B52" s="102" t="s">
        <v>8</v>
      </c>
      <c r="C52" s="15" t="s">
        <v>115</v>
      </c>
      <c r="D52" s="200">
        <v>19.8736</v>
      </c>
      <c r="E52" s="294">
        <v>22.9209</v>
      </c>
    </row>
    <row r="53" spans="2:5" ht="12.75" customHeight="1" thickBot="1">
      <c r="B53" s="103" t="s">
        <v>9</v>
      </c>
      <c r="C53" s="17" t="s">
        <v>41</v>
      </c>
      <c r="D53" s="202">
        <v>18.344799999999999</v>
      </c>
      <c r="E53" s="280">
        <v>22.779500000000002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6.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D64+D69</f>
        <v>254313744.51000002</v>
      </c>
      <c r="E58" s="31">
        <f>D58/E21</f>
        <v>1.0009694285732187</v>
      </c>
    </row>
    <row r="59" spans="2:5" ht="25.5">
      <c r="B59" s="21" t="s">
        <v>4</v>
      </c>
      <c r="C59" s="22" t="s">
        <v>44</v>
      </c>
      <c r="D59" s="80">
        <v>0</v>
      </c>
      <c r="E59" s="81">
        <v>0</v>
      </c>
    </row>
    <row r="60" spans="2:5" ht="25.5">
      <c r="B60" s="14" t="s">
        <v>6</v>
      </c>
      <c r="C60" s="15" t="s">
        <v>45</v>
      </c>
      <c r="D60" s="78">
        <v>0</v>
      </c>
      <c r="E60" s="79">
        <v>0</v>
      </c>
    </row>
    <row r="61" spans="2:5" ht="13.5" customHeight="1">
      <c r="B61" s="14" t="s">
        <v>8</v>
      </c>
      <c r="C61" s="15" t="s">
        <v>46</v>
      </c>
      <c r="D61" s="78">
        <v>0</v>
      </c>
      <c r="E61" s="79">
        <v>0</v>
      </c>
    </row>
    <row r="62" spans="2:5">
      <c r="B62" s="14" t="s">
        <v>9</v>
      </c>
      <c r="C62" s="15" t="s">
        <v>47</v>
      </c>
      <c r="D62" s="78">
        <v>0</v>
      </c>
      <c r="E62" s="79">
        <v>0</v>
      </c>
    </row>
    <row r="63" spans="2:5">
      <c r="B63" s="14" t="s">
        <v>29</v>
      </c>
      <c r="C63" s="15" t="s">
        <v>48</v>
      </c>
      <c r="D63" s="78">
        <v>0</v>
      </c>
      <c r="E63" s="79">
        <v>0</v>
      </c>
    </row>
    <row r="64" spans="2:5">
      <c r="B64" s="21" t="s">
        <v>31</v>
      </c>
      <c r="C64" s="22" t="s">
        <v>49</v>
      </c>
      <c r="D64" s="80">
        <v>254202747.71000001</v>
      </c>
      <c r="E64" s="81">
        <f>D64/E21</f>
        <v>1.0005325493015791</v>
      </c>
    </row>
    <row r="65" spans="2:5">
      <c r="B65" s="21" t="s">
        <v>33</v>
      </c>
      <c r="C65" s="22" t="s">
        <v>118</v>
      </c>
      <c r="D65" s="80">
        <v>0</v>
      </c>
      <c r="E65" s="81">
        <v>0</v>
      </c>
    </row>
    <row r="66" spans="2:5">
      <c r="B66" s="21" t="s">
        <v>50</v>
      </c>
      <c r="C66" s="22" t="s">
        <v>51</v>
      </c>
      <c r="D66" s="80">
        <v>0</v>
      </c>
      <c r="E66" s="81">
        <v>0</v>
      </c>
    </row>
    <row r="67" spans="2:5">
      <c r="B67" s="14" t="s">
        <v>52</v>
      </c>
      <c r="C67" s="15" t="s">
        <v>53</v>
      </c>
      <c r="D67" s="78">
        <v>0</v>
      </c>
      <c r="E67" s="79">
        <v>0</v>
      </c>
    </row>
    <row r="68" spans="2:5">
      <c r="B68" s="14" t="s">
        <v>54</v>
      </c>
      <c r="C68" s="15" t="s">
        <v>55</v>
      </c>
      <c r="D68" s="78">
        <v>0</v>
      </c>
      <c r="E68" s="79">
        <v>0</v>
      </c>
    </row>
    <row r="69" spans="2:5">
      <c r="B69" s="14" t="s">
        <v>56</v>
      </c>
      <c r="C69" s="15" t="s">
        <v>57</v>
      </c>
      <c r="D69" s="302">
        <v>110996.8</v>
      </c>
      <c r="E69" s="79">
        <f>D69/E21</f>
        <v>4.3687927163955172E-4</v>
      </c>
    </row>
    <row r="70" spans="2:5">
      <c r="B70" s="112" t="s">
        <v>58</v>
      </c>
      <c r="C70" s="113" t="s">
        <v>59</v>
      </c>
      <c r="D70" s="114">
        <v>0</v>
      </c>
      <c r="E70" s="115">
        <v>0</v>
      </c>
    </row>
    <row r="71" spans="2:5">
      <c r="B71" s="120" t="s">
        <v>23</v>
      </c>
      <c r="C71" s="121" t="s">
        <v>61</v>
      </c>
      <c r="D71" s="122">
        <f>E13</f>
        <v>0</v>
      </c>
      <c r="E71" s="66">
        <v>0</v>
      </c>
    </row>
    <row r="72" spans="2:5">
      <c r="B72" s="116" t="s">
        <v>60</v>
      </c>
      <c r="C72" s="117" t="s">
        <v>63</v>
      </c>
      <c r="D72" s="118">
        <f>E14</f>
        <v>44739.48</v>
      </c>
      <c r="E72" s="119">
        <f>D72/E21</f>
        <v>1.7609292732702467E-4</v>
      </c>
    </row>
    <row r="73" spans="2:5">
      <c r="B73" s="23" t="s">
        <v>62</v>
      </c>
      <c r="C73" s="24" t="s">
        <v>65</v>
      </c>
      <c r="D73" s="25">
        <f>E17</f>
        <v>291039.71999999997</v>
      </c>
      <c r="E73" s="26">
        <f>D73/E21</f>
        <v>1.1455215005457731E-3</v>
      </c>
    </row>
    <row r="74" spans="2:5">
      <c r="B74" s="120" t="s">
        <v>64</v>
      </c>
      <c r="C74" s="121" t="s">
        <v>66</v>
      </c>
      <c r="D74" s="122">
        <f>D58+D71+D72-D73</f>
        <v>254067444.27000001</v>
      </c>
      <c r="E74" s="66">
        <f>E58+E72-E73</f>
        <v>1</v>
      </c>
    </row>
    <row r="75" spans="2:5">
      <c r="B75" s="14" t="s">
        <v>4</v>
      </c>
      <c r="C75" s="15" t="s">
        <v>67</v>
      </c>
      <c r="D75" s="78">
        <f>D74</f>
        <v>254067444.27000001</v>
      </c>
      <c r="E75" s="79">
        <f>E74</f>
        <v>1</v>
      </c>
    </row>
    <row r="76" spans="2:5">
      <c r="B76" s="14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6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" right="0.75" top="0.56999999999999995" bottom="0.51" header="0.5" footer="0.5"/>
  <pageSetup paperSize="9" scale="70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0"/>
  <dimension ref="A1:F81"/>
  <sheetViews>
    <sheetView zoomScale="80" zoomScaleNormal="80" workbookViewId="0">
      <selection activeCell="G13" sqref="G1:L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1" t="s">
        <v>0</v>
      </c>
      <c r="C2" s="351"/>
      <c r="D2" s="351"/>
      <c r="E2" s="351"/>
    </row>
    <row r="3" spans="2:5" ht="15.75">
      <c r="B3" s="351" t="s">
        <v>271</v>
      </c>
      <c r="C3" s="351"/>
      <c r="D3" s="351"/>
      <c r="E3" s="351"/>
    </row>
    <row r="4" spans="2:5" ht="15">
      <c r="B4" s="87"/>
      <c r="C4" s="87"/>
      <c r="D4" s="87"/>
      <c r="E4" s="87"/>
    </row>
    <row r="5" spans="2:5" ht="21" customHeight="1">
      <c r="B5" s="352" t="s">
        <v>1</v>
      </c>
      <c r="C5" s="352"/>
      <c r="D5" s="352"/>
      <c r="E5" s="352"/>
    </row>
    <row r="6" spans="2:5" ht="14.25">
      <c r="B6" s="353" t="s">
        <v>100</v>
      </c>
      <c r="C6" s="353"/>
      <c r="D6" s="353"/>
      <c r="E6" s="353"/>
    </row>
    <row r="7" spans="2:5" ht="14.25">
      <c r="B7" s="89"/>
      <c r="C7" s="89"/>
      <c r="D7" s="89"/>
      <c r="E7" s="89"/>
    </row>
    <row r="8" spans="2:5" ht="13.5">
      <c r="B8" s="355" t="s">
        <v>18</v>
      </c>
      <c r="C8" s="357"/>
      <c r="D8" s="357"/>
      <c r="E8" s="357"/>
    </row>
    <row r="9" spans="2:5" ht="16.5" thickBot="1">
      <c r="B9" s="354" t="s">
        <v>103</v>
      </c>
      <c r="C9" s="354"/>
      <c r="D9" s="354"/>
      <c r="E9" s="354"/>
    </row>
    <row r="10" spans="2:5" ht="13.5" thickBot="1">
      <c r="B10" s="226"/>
      <c r="C10" s="208" t="s">
        <v>2</v>
      </c>
      <c r="D10" s="70" t="s">
        <v>245</v>
      </c>
      <c r="E10" s="255" t="s">
        <v>265</v>
      </c>
    </row>
    <row r="11" spans="2:5">
      <c r="B11" s="90" t="s">
        <v>3</v>
      </c>
      <c r="C11" s="128" t="s">
        <v>109</v>
      </c>
      <c r="D11" s="227">
        <v>8033776.5</v>
      </c>
      <c r="E11" s="228">
        <f>SUM(E12:E14)</f>
        <v>7215001.2200000007</v>
      </c>
    </row>
    <row r="12" spans="2:5">
      <c r="B12" s="173" t="s">
        <v>4</v>
      </c>
      <c r="C12" s="174" t="s">
        <v>5</v>
      </c>
      <c r="D12" s="241">
        <v>8033776.5</v>
      </c>
      <c r="E12" s="245">
        <f>7198106.24+16894.98</f>
        <v>7215001.2200000007</v>
      </c>
    </row>
    <row r="13" spans="2:5">
      <c r="B13" s="173" t="s">
        <v>6</v>
      </c>
      <c r="C13" s="175" t="s">
        <v>7</v>
      </c>
      <c r="D13" s="237"/>
      <c r="E13" s="246"/>
    </row>
    <row r="14" spans="2:5">
      <c r="B14" s="173" t="s">
        <v>8</v>
      </c>
      <c r="C14" s="175" t="s">
        <v>10</v>
      </c>
      <c r="D14" s="237"/>
      <c r="E14" s="246"/>
    </row>
    <row r="15" spans="2:5">
      <c r="B15" s="173" t="s">
        <v>106</v>
      </c>
      <c r="C15" s="175" t="s">
        <v>11</v>
      </c>
      <c r="D15" s="237"/>
      <c r="E15" s="246"/>
    </row>
    <row r="16" spans="2:5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>
        <v>13154.77</v>
      </c>
      <c r="E17" s="248">
        <f>E18</f>
        <v>11698.87</v>
      </c>
    </row>
    <row r="18" spans="2:6">
      <c r="B18" s="173" t="s">
        <v>4</v>
      </c>
      <c r="C18" s="174" t="s">
        <v>11</v>
      </c>
      <c r="D18" s="239">
        <v>13154.77</v>
      </c>
      <c r="E18" s="247">
        <v>11698.87</v>
      </c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8020621.7300000004</v>
      </c>
      <c r="E21" s="148">
        <f>E11-E17</f>
        <v>7203302.3500000006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26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8667018.5099999998</v>
      </c>
      <c r="E26" s="217">
        <f>D21</f>
        <v>8020621.7300000004</v>
      </c>
    </row>
    <row r="27" spans="2:6">
      <c r="B27" s="9" t="s">
        <v>17</v>
      </c>
      <c r="C27" s="10" t="s">
        <v>111</v>
      </c>
      <c r="D27" s="323">
        <v>-817915.42</v>
      </c>
      <c r="E27" s="274">
        <v>-994292.22</v>
      </c>
      <c r="F27" s="71"/>
    </row>
    <row r="28" spans="2:6">
      <c r="B28" s="9" t="s">
        <v>18</v>
      </c>
      <c r="C28" s="10" t="s">
        <v>19</v>
      </c>
      <c r="D28" s="323">
        <v>26850.97</v>
      </c>
      <c r="E28" s="275">
        <v>0</v>
      </c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>
        <v>26850.970000001005</v>
      </c>
      <c r="E31" s="276"/>
      <c r="F31" s="71"/>
    </row>
    <row r="32" spans="2:6">
      <c r="B32" s="92" t="s">
        <v>23</v>
      </c>
      <c r="C32" s="11" t="s">
        <v>24</v>
      </c>
      <c r="D32" s="323">
        <v>844766.39</v>
      </c>
      <c r="E32" s="275">
        <v>994292.22</v>
      </c>
      <c r="F32" s="71"/>
    </row>
    <row r="33" spans="2:6">
      <c r="B33" s="181" t="s">
        <v>4</v>
      </c>
      <c r="C33" s="174" t="s">
        <v>25</v>
      </c>
      <c r="D33" s="324">
        <v>827155.81</v>
      </c>
      <c r="E33" s="276">
        <v>978362.57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17610.580000000002</v>
      </c>
      <c r="E35" s="276">
        <v>15847.9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/>
      <c r="E37" s="276"/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>
        <v>81.75</v>
      </c>
      <c r="F39" s="71"/>
    </row>
    <row r="40" spans="2:6" ht="13.5" thickBot="1">
      <c r="B40" s="97" t="s">
        <v>35</v>
      </c>
      <c r="C40" s="98" t="s">
        <v>36</v>
      </c>
      <c r="D40" s="326">
        <v>171518.64</v>
      </c>
      <c r="E40" s="279">
        <v>176972.84</v>
      </c>
    </row>
    <row r="41" spans="2:6" ht="13.5" thickBot="1">
      <c r="B41" s="99" t="s">
        <v>37</v>
      </c>
      <c r="C41" s="100" t="s">
        <v>38</v>
      </c>
      <c r="D41" s="327">
        <v>8020621.7299999995</v>
      </c>
      <c r="E41" s="148">
        <f>E26+E27+E40</f>
        <v>7203302.3500000006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8" customHeight="1" thickBot="1">
      <c r="B44" s="354" t="s">
        <v>121</v>
      </c>
      <c r="C44" s="358"/>
      <c r="D44" s="358"/>
      <c r="E44" s="358"/>
    </row>
    <row r="45" spans="2:6" ht="13.5" thickBot="1">
      <c r="B45" s="88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817332.49030599999</v>
      </c>
      <c r="E47" s="73">
        <v>740979.36313800002</v>
      </c>
    </row>
    <row r="48" spans="2:6">
      <c r="B48" s="123" t="s">
        <v>6</v>
      </c>
      <c r="C48" s="22" t="s">
        <v>41</v>
      </c>
      <c r="D48" s="200">
        <v>740979.36313800002</v>
      </c>
      <c r="E48" s="73">
        <v>649980.76820399996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02" t="s">
        <v>4</v>
      </c>
      <c r="C50" s="15" t="s">
        <v>40</v>
      </c>
      <c r="D50" s="200">
        <v>10.60403</v>
      </c>
      <c r="E50" s="73">
        <v>10.8243519999999</v>
      </c>
    </row>
    <row r="51" spans="2:5">
      <c r="B51" s="102" t="s">
        <v>6</v>
      </c>
      <c r="C51" s="15" t="s">
        <v>114</v>
      </c>
      <c r="D51" s="200">
        <v>10.60197</v>
      </c>
      <c r="E51" s="75">
        <v>10.429176</v>
      </c>
    </row>
    <row r="52" spans="2:5" ht="12.75" customHeight="1">
      <c r="B52" s="102" t="s">
        <v>8</v>
      </c>
      <c r="C52" s="15" t="s">
        <v>115</v>
      </c>
      <c r="D52" s="200">
        <v>10.90077</v>
      </c>
      <c r="E52" s="75">
        <v>11.08291</v>
      </c>
    </row>
    <row r="53" spans="2:5" ht="13.5" thickBot="1">
      <c r="B53" s="103" t="s">
        <v>9</v>
      </c>
      <c r="C53" s="17" t="s">
        <v>41</v>
      </c>
      <c r="D53" s="202">
        <v>10.8243519999999</v>
      </c>
      <c r="E53" s="343">
        <v>11.0823319999999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5.7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D64+D69</f>
        <v>7215001.2200000007</v>
      </c>
      <c r="E58" s="31">
        <f>D58/E21</f>
        <v>1.0016240981471505</v>
      </c>
    </row>
    <row r="59" spans="2:5" ht="25.5">
      <c r="B59" s="186" t="s">
        <v>4</v>
      </c>
      <c r="C59" s="187" t="s">
        <v>44</v>
      </c>
      <c r="D59" s="80">
        <v>0</v>
      </c>
      <c r="E59" s="81">
        <v>0</v>
      </c>
    </row>
    <row r="60" spans="2:5" ht="24" customHeight="1">
      <c r="B60" s="184" t="s">
        <v>6</v>
      </c>
      <c r="C60" s="185" t="s">
        <v>45</v>
      </c>
      <c r="D60" s="78">
        <v>0</v>
      </c>
      <c r="E60" s="79">
        <v>0</v>
      </c>
    </row>
    <row r="61" spans="2:5">
      <c r="B61" s="184" t="s">
        <v>8</v>
      </c>
      <c r="C61" s="185" t="s">
        <v>46</v>
      </c>
      <c r="D61" s="78">
        <v>0</v>
      </c>
      <c r="E61" s="79">
        <v>0</v>
      </c>
    </row>
    <row r="62" spans="2:5">
      <c r="B62" s="184" t="s">
        <v>9</v>
      </c>
      <c r="C62" s="185" t="s">
        <v>47</v>
      </c>
      <c r="D62" s="78">
        <v>0</v>
      </c>
      <c r="E62" s="79">
        <v>0</v>
      </c>
    </row>
    <row r="63" spans="2:5">
      <c r="B63" s="184" t="s">
        <v>29</v>
      </c>
      <c r="C63" s="185" t="s">
        <v>48</v>
      </c>
      <c r="D63" s="78">
        <v>0</v>
      </c>
      <c r="E63" s="79">
        <v>0</v>
      </c>
    </row>
    <row r="64" spans="2:5">
      <c r="B64" s="186" t="s">
        <v>31</v>
      </c>
      <c r="C64" s="187" t="s">
        <v>49</v>
      </c>
      <c r="D64" s="245">
        <v>7198106.2400000002</v>
      </c>
      <c r="E64" s="81">
        <f>D64/E21</f>
        <v>0.99927864891024598</v>
      </c>
    </row>
    <row r="65" spans="2:5">
      <c r="B65" s="186" t="s">
        <v>33</v>
      </c>
      <c r="C65" s="187" t="s">
        <v>118</v>
      </c>
      <c r="D65" s="80">
        <v>0</v>
      </c>
      <c r="E65" s="81">
        <v>0</v>
      </c>
    </row>
    <row r="66" spans="2:5">
      <c r="B66" s="186" t="s">
        <v>50</v>
      </c>
      <c r="C66" s="187" t="s">
        <v>51</v>
      </c>
      <c r="D66" s="80">
        <v>0</v>
      </c>
      <c r="E66" s="81">
        <v>0</v>
      </c>
    </row>
    <row r="67" spans="2:5">
      <c r="B67" s="184" t="s">
        <v>52</v>
      </c>
      <c r="C67" s="185" t="s">
        <v>53</v>
      </c>
      <c r="D67" s="78">
        <v>0</v>
      </c>
      <c r="E67" s="79">
        <v>0</v>
      </c>
    </row>
    <row r="68" spans="2:5">
      <c r="B68" s="184" t="s">
        <v>54</v>
      </c>
      <c r="C68" s="185" t="s">
        <v>55</v>
      </c>
      <c r="D68" s="78">
        <v>0</v>
      </c>
      <c r="E68" s="79">
        <v>0</v>
      </c>
    </row>
    <row r="69" spans="2:5" ht="15">
      <c r="B69" s="184" t="s">
        <v>56</v>
      </c>
      <c r="C69" s="185" t="s">
        <v>57</v>
      </c>
      <c r="D69" s="301">
        <v>16894.98</v>
      </c>
      <c r="E69" s="79">
        <f>D69/E21</f>
        <v>2.345449236904515E-3</v>
      </c>
    </row>
    <row r="70" spans="2:5">
      <c r="B70" s="221" t="s">
        <v>58</v>
      </c>
      <c r="C70" s="220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f>D72/E21</f>
        <v>0</v>
      </c>
    </row>
    <row r="73" spans="2:5">
      <c r="B73" s="132" t="s">
        <v>62</v>
      </c>
      <c r="C73" s="24" t="s">
        <v>65</v>
      </c>
      <c r="D73" s="25">
        <f>E17</f>
        <v>11698.87</v>
      </c>
      <c r="E73" s="26">
        <f>D73/E21</f>
        <v>1.6240981471505218E-3</v>
      </c>
    </row>
    <row r="74" spans="2:5">
      <c r="B74" s="130" t="s">
        <v>64</v>
      </c>
      <c r="C74" s="121" t="s">
        <v>66</v>
      </c>
      <c r="D74" s="122">
        <f>D58+D72-D73</f>
        <v>7203302.3500000006</v>
      </c>
      <c r="E74" s="66">
        <f>E58+E72-E73</f>
        <v>1</v>
      </c>
    </row>
    <row r="75" spans="2:5">
      <c r="B75" s="184" t="s">
        <v>4</v>
      </c>
      <c r="C75" s="185" t="s">
        <v>67</v>
      </c>
      <c r="D75" s="78">
        <f>D74</f>
        <v>7203302.3500000006</v>
      </c>
      <c r="E75" s="79">
        <f>E74</f>
        <v>1</v>
      </c>
    </row>
    <row r="76" spans="2:5">
      <c r="B76" s="184" t="s">
        <v>6</v>
      </c>
      <c r="C76" s="185" t="s">
        <v>119</v>
      </c>
      <c r="D76" s="78">
        <v>0</v>
      </c>
      <c r="E76" s="79">
        <v>0</v>
      </c>
    </row>
    <row r="77" spans="2:5" ht="13.5" thickBot="1">
      <c r="B77" s="188" t="s">
        <v>8</v>
      </c>
      <c r="C77" s="189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118110236220474" right="0.74803149606299213" top="0.51181102362204722" bottom="0.62992125984251968" header="0.51181102362204722" footer="0.51181102362204722"/>
  <pageSetup paperSize="9" scale="70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1"/>
  <dimension ref="A1:F81"/>
  <sheetViews>
    <sheetView zoomScale="80" zoomScaleNormal="80" workbookViewId="0">
      <selection activeCell="G10" sqref="G1:L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1" t="s">
        <v>0</v>
      </c>
      <c r="C2" s="351"/>
      <c r="D2" s="351"/>
      <c r="E2" s="351"/>
    </row>
    <row r="3" spans="2:5" ht="15.75">
      <c r="B3" s="351" t="s">
        <v>271</v>
      </c>
      <c r="C3" s="351"/>
      <c r="D3" s="351"/>
      <c r="E3" s="351"/>
    </row>
    <row r="4" spans="2:5" ht="15">
      <c r="B4" s="87"/>
      <c r="C4" s="87"/>
      <c r="D4" s="87"/>
      <c r="E4" s="87"/>
    </row>
    <row r="5" spans="2:5" ht="21" customHeight="1">
      <c r="B5" s="352" t="s">
        <v>1</v>
      </c>
      <c r="C5" s="352"/>
      <c r="D5" s="352"/>
      <c r="E5" s="352"/>
    </row>
    <row r="6" spans="2:5" ht="14.25">
      <c r="B6" s="353" t="s">
        <v>74</v>
      </c>
      <c r="C6" s="353"/>
      <c r="D6" s="353"/>
      <c r="E6" s="353"/>
    </row>
    <row r="7" spans="2:5" ht="14.25">
      <c r="B7" s="89"/>
      <c r="C7" s="89"/>
      <c r="D7" s="89"/>
      <c r="E7" s="89"/>
    </row>
    <row r="8" spans="2:5" ht="13.5">
      <c r="B8" s="355" t="s">
        <v>18</v>
      </c>
      <c r="C8" s="357"/>
      <c r="D8" s="357"/>
      <c r="E8" s="357"/>
    </row>
    <row r="9" spans="2:5" ht="16.5" thickBot="1">
      <c r="B9" s="354" t="s">
        <v>103</v>
      </c>
      <c r="C9" s="354"/>
      <c r="D9" s="354"/>
      <c r="E9" s="354"/>
    </row>
    <row r="10" spans="2:5" ht="13.5" thickBot="1">
      <c r="B10" s="88"/>
      <c r="C10" s="76" t="s">
        <v>2</v>
      </c>
      <c r="D10" s="70" t="s">
        <v>245</v>
      </c>
      <c r="E10" s="255" t="s">
        <v>265</v>
      </c>
    </row>
    <row r="11" spans="2:5">
      <c r="B11" s="90" t="s">
        <v>3</v>
      </c>
      <c r="C11" s="128" t="s">
        <v>109</v>
      </c>
      <c r="D11" s="227">
        <v>8356944.0899999999</v>
      </c>
      <c r="E11" s="228">
        <f>SUM(E12:E14)</f>
        <v>7165250.3200000003</v>
      </c>
    </row>
    <row r="12" spans="2:5">
      <c r="B12" s="106" t="s">
        <v>4</v>
      </c>
      <c r="C12" s="6" t="s">
        <v>5</v>
      </c>
      <c r="D12" s="241">
        <v>8356944.0899999999</v>
      </c>
      <c r="E12" s="245">
        <f>7152715.62+12534.69</f>
        <v>7165250.3100000005</v>
      </c>
    </row>
    <row r="13" spans="2:5">
      <c r="B13" s="106" t="s">
        <v>6</v>
      </c>
      <c r="C13" s="68" t="s">
        <v>7</v>
      </c>
      <c r="D13" s="237"/>
      <c r="E13" s="246">
        <v>0.01</v>
      </c>
    </row>
    <row r="14" spans="2:5">
      <c r="B14" s="106" t="s">
        <v>8</v>
      </c>
      <c r="C14" s="68" t="s">
        <v>10</v>
      </c>
      <c r="D14" s="237"/>
      <c r="E14" s="246"/>
    </row>
    <row r="15" spans="2:5">
      <c r="B15" s="106" t="s">
        <v>106</v>
      </c>
      <c r="C15" s="68" t="s">
        <v>11</v>
      </c>
      <c r="D15" s="237"/>
      <c r="E15" s="246"/>
    </row>
    <row r="16" spans="2:5">
      <c r="B16" s="107" t="s">
        <v>107</v>
      </c>
      <c r="C16" s="91" t="s">
        <v>12</v>
      </c>
      <c r="D16" s="239"/>
      <c r="E16" s="247"/>
    </row>
    <row r="17" spans="2:6">
      <c r="B17" s="9" t="s">
        <v>13</v>
      </c>
      <c r="C17" s="11" t="s">
        <v>65</v>
      </c>
      <c r="D17" s="240">
        <v>14337.37</v>
      </c>
      <c r="E17" s="248">
        <f>E18</f>
        <v>12017.96</v>
      </c>
    </row>
    <row r="18" spans="2:6">
      <c r="B18" s="106" t="s">
        <v>4</v>
      </c>
      <c r="C18" s="6" t="s">
        <v>11</v>
      </c>
      <c r="D18" s="239">
        <v>14337.37</v>
      </c>
      <c r="E18" s="247">
        <v>12017.96</v>
      </c>
    </row>
    <row r="19" spans="2:6" ht="15" customHeight="1">
      <c r="B19" s="106" t="s">
        <v>6</v>
      </c>
      <c r="C19" s="68" t="s">
        <v>108</v>
      </c>
      <c r="D19" s="237"/>
      <c r="E19" s="246"/>
    </row>
    <row r="20" spans="2:6" ht="13.5" thickBot="1">
      <c r="B20" s="108" t="s">
        <v>8</v>
      </c>
      <c r="C20" s="6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8342606.7199999997</v>
      </c>
      <c r="E21" s="148">
        <f>E11-E17</f>
        <v>7153232.3600000003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3"/>
      <c r="D23" s="363"/>
      <c r="E23" s="363"/>
    </row>
    <row r="24" spans="2:6" ht="15.75" customHeight="1" thickBot="1">
      <c r="B24" s="354" t="s">
        <v>105</v>
      </c>
      <c r="C24" s="364"/>
      <c r="D24" s="364"/>
      <c r="E24" s="364"/>
    </row>
    <row r="25" spans="2:6" ht="13.5" thickBot="1">
      <c r="B25" s="88"/>
      <c r="C25" s="5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9149585.1899999995</v>
      </c>
      <c r="E26" s="217">
        <f>D21</f>
        <v>8342606.7199999997</v>
      </c>
    </row>
    <row r="27" spans="2:6">
      <c r="B27" s="9" t="s">
        <v>17</v>
      </c>
      <c r="C27" s="10" t="s">
        <v>111</v>
      </c>
      <c r="D27" s="323">
        <v>-706717.49</v>
      </c>
      <c r="E27" s="274">
        <f>E28-E32</f>
        <v>-745964.60999999987</v>
      </c>
      <c r="F27" s="71"/>
    </row>
    <row r="28" spans="2:6">
      <c r="B28" s="9" t="s">
        <v>18</v>
      </c>
      <c r="C28" s="10" t="s">
        <v>19</v>
      </c>
      <c r="D28" s="323">
        <v>840.51</v>
      </c>
      <c r="E28" s="275">
        <v>0</v>
      </c>
      <c r="F28" s="71"/>
    </row>
    <row r="29" spans="2:6">
      <c r="B29" s="104" t="s">
        <v>4</v>
      </c>
      <c r="C29" s="6" t="s">
        <v>20</v>
      </c>
      <c r="D29" s="324"/>
      <c r="E29" s="276"/>
      <c r="F29" s="71"/>
    </row>
    <row r="30" spans="2:6">
      <c r="B30" s="104" t="s">
        <v>6</v>
      </c>
      <c r="C30" s="6" t="s">
        <v>21</v>
      </c>
      <c r="D30" s="324"/>
      <c r="E30" s="276"/>
      <c r="F30" s="71"/>
    </row>
    <row r="31" spans="2:6">
      <c r="B31" s="104" t="s">
        <v>8</v>
      </c>
      <c r="C31" s="6" t="s">
        <v>22</v>
      </c>
      <c r="D31" s="324">
        <v>840.51</v>
      </c>
      <c r="E31" s="276"/>
      <c r="F31" s="71"/>
    </row>
    <row r="32" spans="2:6">
      <c r="B32" s="92" t="s">
        <v>23</v>
      </c>
      <c r="C32" s="11" t="s">
        <v>24</v>
      </c>
      <c r="D32" s="323">
        <v>707558</v>
      </c>
      <c r="E32" s="275">
        <f>SUM(E33:E39)</f>
        <v>745964.60999999987</v>
      </c>
      <c r="F32" s="71"/>
    </row>
    <row r="33" spans="2:6">
      <c r="B33" s="104" t="s">
        <v>4</v>
      </c>
      <c r="C33" s="6" t="s">
        <v>25</v>
      </c>
      <c r="D33" s="324">
        <v>612571.61</v>
      </c>
      <c r="E33" s="276">
        <f>643499.39-6391.54</f>
        <v>637107.85</v>
      </c>
      <c r="F33" s="71"/>
    </row>
    <row r="34" spans="2:6">
      <c r="B34" s="104" t="s">
        <v>6</v>
      </c>
      <c r="C34" s="6" t="s">
        <v>26</v>
      </c>
      <c r="D34" s="324"/>
      <c r="E34" s="276"/>
      <c r="F34" s="71"/>
    </row>
    <row r="35" spans="2:6">
      <c r="B35" s="104" t="s">
        <v>8</v>
      </c>
      <c r="C35" s="6" t="s">
        <v>27</v>
      </c>
      <c r="D35" s="324">
        <v>94986.39</v>
      </c>
      <c r="E35" s="276">
        <v>108251.57</v>
      </c>
      <c r="F35" s="71"/>
    </row>
    <row r="36" spans="2:6">
      <c r="B36" s="104" t="s">
        <v>9</v>
      </c>
      <c r="C36" s="6" t="s">
        <v>28</v>
      </c>
      <c r="D36" s="324"/>
      <c r="E36" s="276"/>
      <c r="F36" s="71"/>
    </row>
    <row r="37" spans="2:6" ht="25.5">
      <c r="B37" s="104" t="s">
        <v>29</v>
      </c>
      <c r="C37" s="6" t="s">
        <v>30</v>
      </c>
      <c r="D37" s="324"/>
      <c r="E37" s="276"/>
      <c r="F37" s="71"/>
    </row>
    <row r="38" spans="2:6">
      <c r="B38" s="104" t="s">
        <v>31</v>
      </c>
      <c r="C38" s="6" t="s">
        <v>32</v>
      </c>
      <c r="D38" s="324"/>
      <c r="E38" s="276"/>
      <c r="F38" s="71"/>
    </row>
    <row r="39" spans="2:6">
      <c r="B39" s="105" t="s">
        <v>33</v>
      </c>
      <c r="C39" s="12" t="s">
        <v>34</v>
      </c>
      <c r="D39" s="325"/>
      <c r="E39" s="277">
        <v>605.19000000000005</v>
      </c>
      <c r="F39" s="71"/>
    </row>
    <row r="40" spans="2:6" ht="13.5" thickBot="1">
      <c r="B40" s="97" t="s">
        <v>35</v>
      </c>
      <c r="C40" s="98" t="s">
        <v>36</v>
      </c>
      <c r="D40" s="326">
        <v>-100260.98</v>
      </c>
      <c r="E40" s="279">
        <v>-443409.75</v>
      </c>
    </row>
    <row r="41" spans="2:6" ht="13.5" thickBot="1">
      <c r="B41" s="99" t="s">
        <v>37</v>
      </c>
      <c r="C41" s="100" t="s">
        <v>38</v>
      </c>
      <c r="D41" s="327">
        <v>8342606.7199999988</v>
      </c>
      <c r="E41" s="148">
        <f>E26+E27+E40</f>
        <v>7153232.3599999994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8" customHeight="1" thickBot="1">
      <c r="B44" s="354" t="s">
        <v>121</v>
      </c>
      <c r="C44" s="358"/>
      <c r="D44" s="358"/>
      <c r="E44" s="358"/>
    </row>
    <row r="45" spans="2:6" ht="13.5" thickBot="1">
      <c r="B45" s="88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982505.90725199995</v>
      </c>
      <c r="E47" s="73">
        <v>906379.75520200003</v>
      </c>
    </row>
    <row r="48" spans="2:6">
      <c r="B48" s="123" t="s">
        <v>6</v>
      </c>
      <c r="C48" s="22" t="s">
        <v>41</v>
      </c>
      <c r="D48" s="200">
        <v>906379.75520200003</v>
      </c>
      <c r="E48" s="73">
        <v>819700.54994599998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02" t="s">
        <v>4</v>
      </c>
      <c r="C50" s="15" t="s">
        <v>40</v>
      </c>
      <c r="D50" s="200">
        <v>9.3124990000000007</v>
      </c>
      <c r="E50" s="244">
        <v>9.2043169999999996</v>
      </c>
    </row>
    <row r="51" spans="2:5">
      <c r="B51" s="102" t="s">
        <v>6</v>
      </c>
      <c r="C51" s="15" t="s">
        <v>114</v>
      </c>
      <c r="D51" s="200">
        <v>9.1157609999999991</v>
      </c>
      <c r="E51" s="296">
        <v>8.3255490000000005</v>
      </c>
    </row>
    <row r="52" spans="2:5" ht="12.75" customHeight="1">
      <c r="B52" s="102" t="s">
        <v>8</v>
      </c>
      <c r="C52" s="15" t="s">
        <v>115</v>
      </c>
      <c r="D52" s="200">
        <v>9.4380380000000006</v>
      </c>
      <c r="E52" s="75">
        <v>9.2568850000000005</v>
      </c>
    </row>
    <row r="53" spans="2:5" ht="13.5" thickBot="1">
      <c r="B53" s="103" t="s">
        <v>9</v>
      </c>
      <c r="C53" s="17" t="s">
        <v>41</v>
      </c>
      <c r="D53" s="202">
        <v>9.2043169999999996</v>
      </c>
      <c r="E53" s="280">
        <v>8.7266410000000008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4.25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D64+D69</f>
        <v>7165250.3100000005</v>
      </c>
      <c r="E58" s="31">
        <f>D58/E21</f>
        <v>1.0016800726434112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4" customHeight="1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245">
        <v>7152715.6200000001</v>
      </c>
      <c r="E64" s="81">
        <f>D64/E21</f>
        <v>0.99992776132886585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 ht="15">
      <c r="B69" s="102" t="s">
        <v>56</v>
      </c>
      <c r="C69" s="15" t="s">
        <v>57</v>
      </c>
      <c r="D69" s="301">
        <v>12534.69</v>
      </c>
      <c r="E69" s="79">
        <f>D69/E21</f>
        <v>1.7523113145453588E-3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f>E13</f>
        <v>0.01</v>
      </c>
      <c r="E71" s="66">
        <f>D71/E21</f>
        <v>1.3979694069381522E-9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f>D72/E21</f>
        <v>0</v>
      </c>
    </row>
    <row r="73" spans="2:5">
      <c r="B73" s="132" t="s">
        <v>62</v>
      </c>
      <c r="C73" s="24" t="s">
        <v>65</v>
      </c>
      <c r="D73" s="25">
        <f>E17</f>
        <v>12017.96</v>
      </c>
      <c r="E73" s="26">
        <f>D73/E21</f>
        <v>1.6800740413806436E-3</v>
      </c>
    </row>
    <row r="74" spans="2:5">
      <c r="B74" s="130" t="s">
        <v>64</v>
      </c>
      <c r="C74" s="121" t="s">
        <v>66</v>
      </c>
      <c r="D74" s="122">
        <f>D58+D72-D73+D71</f>
        <v>7153232.3600000003</v>
      </c>
      <c r="E74" s="66">
        <f>E58+E71+E72-E73</f>
        <v>0.99999999999999989</v>
      </c>
    </row>
    <row r="75" spans="2:5">
      <c r="B75" s="102" t="s">
        <v>4</v>
      </c>
      <c r="C75" s="15" t="s">
        <v>67</v>
      </c>
      <c r="D75" s="78">
        <f>D74</f>
        <v>7153232.3600000003</v>
      </c>
      <c r="E75" s="79">
        <f>E74</f>
        <v>0.99999999999999989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  <rowBreaks count="1" manualBreakCount="1">
    <brk id="74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4"/>
  <dimension ref="A1:G81"/>
  <sheetViews>
    <sheetView zoomScale="80" zoomScaleNormal="80" workbookViewId="0">
      <selection activeCell="G19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87"/>
      <c r="C4" s="87"/>
      <c r="D4" s="87"/>
      <c r="E4" s="87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148</v>
      </c>
      <c r="C6" s="353"/>
      <c r="D6" s="353"/>
      <c r="E6" s="353"/>
    </row>
    <row r="7" spans="2:7" ht="14.25">
      <c r="B7" s="89"/>
      <c r="C7" s="89"/>
      <c r="D7" s="89"/>
      <c r="E7" s="8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88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199542.12</v>
      </c>
      <c r="E11" s="228">
        <f>SUM(E12:E14)</f>
        <v>141810.57999999999</v>
      </c>
    </row>
    <row r="12" spans="2:7">
      <c r="B12" s="173" t="s">
        <v>4</v>
      </c>
      <c r="C12" s="174" t="s">
        <v>5</v>
      </c>
      <c r="D12" s="241">
        <v>199542.12</v>
      </c>
      <c r="E12" s="245">
        <v>141810.57999999999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199542.12</v>
      </c>
      <c r="E21" s="148">
        <f>E11-E17</f>
        <v>141810.57999999999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3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256033.28</v>
      </c>
      <c r="E26" s="217">
        <f>D21</f>
        <v>199542.12</v>
      </c>
    </row>
    <row r="27" spans="2:6">
      <c r="B27" s="9" t="s">
        <v>17</v>
      </c>
      <c r="C27" s="10" t="s">
        <v>111</v>
      </c>
      <c r="D27" s="323">
        <v>-63093.860000000015</v>
      </c>
      <c r="E27" s="274">
        <v>-78410.240000000005</v>
      </c>
      <c r="F27" s="71"/>
    </row>
    <row r="28" spans="2:6">
      <c r="B28" s="9" t="s">
        <v>18</v>
      </c>
      <c r="C28" s="10" t="s">
        <v>19</v>
      </c>
      <c r="D28" s="323">
        <v>8944.52</v>
      </c>
      <c r="E28" s="275">
        <v>8315.59</v>
      </c>
      <c r="F28" s="71"/>
    </row>
    <row r="29" spans="2:6">
      <c r="B29" s="181" t="s">
        <v>4</v>
      </c>
      <c r="C29" s="174" t="s">
        <v>20</v>
      </c>
      <c r="D29" s="324">
        <v>8944.52</v>
      </c>
      <c r="E29" s="276">
        <v>8315.59</v>
      </c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72038.380000000019</v>
      </c>
      <c r="E32" s="275">
        <v>86725.83</v>
      </c>
      <c r="F32" s="71"/>
    </row>
    <row r="33" spans="2:6">
      <c r="B33" s="181" t="s">
        <v>4</v>
      </c>
      <c r="C33" s="174" t="s">
        <v>25</v>
      </c>
      <c r="D33" s="324">
        <v>67696.670000000013</v>
      </c>
      <c r="E33" s="276">
        <v>84112.91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367.61</v>
      </c>
      <c r="E35" s="276">
        <v>231.76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3974.1</v>
      </c>
      <c r="E37" s="276">
        <v>2381.16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/>
      <c r="F39" s="71"/>
    </row>
    <row r="40" spans="2:6" ht="13.5" thickBot="1">
      <c r="B40" s="97" t="s">
        <v>35</v>
      </c>
      <c r="C40" s="98" t="s">
        <v>36</v>
      </c>
      <c r="D40" s="326">
        <v>6602.7</v>
      </c>
      <c r="E40" s="279">
        <v>20678.7</v>
      </c>
    </row>
    <row r="41" spans="2:6" ht="13.5" thickBot="1">
      <c r="B41" s="99" t="s">
        <v>37</v>
      </c>
      <c r="C41" s="100" t="s">
        <v>38</v>
      </c>
      <c r="D41" s="327">
        <v>199542.12</v>
      </c>
      <c r="E41" s="148">
        <f>E26+E27+E40</f>
        <v>141810.57999999999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8" customHeight="1" thickBot="1">
      <c r="B44" s="354" t="s">
        <v>121</v>
      </c>
      <c r="C44" s="358"/>
      <c r="D44" s="358"/>
      <c r="E44" s="358"/>
    </row>
    <row r="45" spans="2:6" ht="13.5" thickBot="1">
      <c r="B45" s="88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2130.0605999999998</v>
      </c>
      <c r="E47" s="73">
        <v>1616.3801000000001</v>
      </c>
    </row>
    <row r="48" spans="2:6">
      <c r="B48" s="123" t="s">
        <v>6</v>
      </c>
      <c r="C48" s="22" t="s">
        <v>41</v>
      </c>
      <c r="D48" s="200">
        <v>1616.3801000000001</v>
      </c>
      <c r="E48" s="284">
        <v>984.24890000000005</v>
      </c>
    </row>
    <row r="49" spans="2:5">
      <c r="B49" s="120" t="s">
        <v>23</v>
      </c>
      <c r="C49" s="124" t="s">
        <v>113</v>
      </c>
      <c r="D49" s="201"/>
      <c r="E49" s="75"/>
    </row>
    <row r="50" spans="2:5">
      <c r="B50" s="102" t="s">
        <v>4</v>
      </c>
      <c r="C50" s="15" t="s">
        <v>40</v>
      </c>
      <c r="D50" s="200">
        <v>120.2</v>
      </c>
      <c r="E50" s="75">
        <v>123.45</v>
      </c>
    </row>
    <row r="51" spans="2:5">
      <c r="B51" s="102" t="s">
        <v>6</v>
      </c>
      <c r="C51" s="15" t="s">
        <v>114</v>
      </c>
      <c r="D51" s="200">
        <v>120.13</v>
      </c>
      <c r="E51" s="75">
        <v>109.87</v>
      </c>
    </row>
    <row r="52" spans="2:5">
      <c r="B52" s="102" t="s">
        <v>8</v>
      </c>
      <c r="C52" s="15" t="s">
        <v>115</v>
      </c>
      <c r="D52" s="200">
        <v>126.1</v>
      </c>
      <c r="E52" s="75">
        <v>144.33000000000001</v>
      </c>
    </row>
    <row r="53" spans="2:5" ht="13.5" customHeight="1" thickBot="1">
      <c r="B53" s="103" t="s">
        <v>9</v>
      </c>
      <c r="C53" s="17" t="s">
        <v>41</v>
      </c>
      <c r="D53" s="202">
        <v>123.45</v>
      </c>
      <c r="E53" s="289">
        <v>144.08000000000001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5.7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141810.57999999999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2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141810.57999999999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141810.57999999999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141810.57999999999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692913385826772" right="0.74803149606299213" top="0.55118110236220474" bottom="0.39370078740157483" header="0.51181102362204722" footer="0.51181102362204722"/>
  <pageSetup paperSize="9" scale="70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5"/>
  <dimension ref="A1:G81"/>
  <sheetViews>
    <sheetView zoomScale="80" zoomScaleNormal="80" workbookViewId="0">
      <selection activeCell="G16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87"/>
      <c r="C4" s="87"/>
      <c r="D4" s="87"/>
      <c r="E4" s="87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149</v>
      </c>
      <c r="C6" s="353"/>
      <c r="D6" s="353"/>
      <c r="E6" s="353"/>
    </row>
    <row r="7" spans="2:7" ht="14.25">
      <c r="B7" s="89"/>
      <c r="C7" s="89"/>
      <c r="D7" s="89"/>
      <c r="E7" s="8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88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1613814.13</v>
      </c>
      <c r="E11" s="228">
        <f>SUM(E12:E14)</f>
        <v>1562781.86</v>
      </c>
    </row>
    <row r="12" spans="2:7">
      <c r="B12" s="106" t="s">
        <v>4</v>
      </c>
      <c r="C12" s="6" t="s">
        <v>5</v>
      </c>
      <c r="D12" s="241">
        <v>1613814.13</v>
      </c>
      <c r="E12" s="245">
        <v>1562781.86</v>
      </c>
    </row>
    <row r="13" spans="2:7">
      <c r="B13" s="106" t="s">
        <v>6</v>
      </c>
      <c r="C13" s="68" t="s">
        <v>7</v>
      </c>
      <c r="D13" s="237"/>
      <c r="E13" s="246"/>
    </row>
    <row r="14" spans="2:7">
      <c r="B14" s="106" t="s">
        <v>8</v>
      </c>
      <c r="C14" s="68" t="s">
        <v>10</v>
      </c>
      <c r="D14" s="237"/>
      <c r="E14" s="246"/>
    </row>
    <row r="15" spans="2:7">
      <c r="B15" s="106" t="s">
        <v>106</v>
      </c>
      <c r="C15" s="68" t="s">
        <v>11</v>
      </c>
      <c r="D15" s="237"/>
      <c r="E15" s="246"/>
    </row>
    <row r="16" spans="2:7">
      <c r="B16" s="107" t="s">
        <v>107</v>
      </c>
      <c r="C16" s="91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06" t="s">
        <v>4</v>
      </c>
      <c r="C18" s="6" t="s">
        <v>11</v>
      </c>
      <c r="D18" s="239"/>
      <c r="E18" s="247"/>
    </row>
    <row r="19" spans="2:6" ht="15" customHeight="1">
      <c r="B19" s="106" t="s">
        <v>6</v>
      </c>
      <c r="C19" s="68" t="s">
        <v>108</v>
      </c>
      <c r="D19" s="237"/>
      <c r="E19" s="246"/>
    </row>
    <row r="20" spans="2:6" ht="13.5" thickBot="1">
      <c r="B20" s="108" t="s">
        <v>8</v>
      </c>
      <c r="C20" s="6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1613814.13</v>
      </c>
      <c r="E21" s="148">
        <f>E11-E17</f>
        <v>1562781.86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3"/>
      <c r="D23" s="363"/>
      <c r="E23" s="363"/>
    </row>
    <row r="24" spans="2:6" ht="15.75" customHeight="1" thickBot="1">
      <c r="B24" s="354" t="s">
        <v>105</v>
      </c>
      <c r="C24" s="364"/>
      <c r="D24" s="364"/>
      <c r="E24" s="364"/>
    </row>
    <row r="25" spans="2:6" ht="13.5" thickBot="1">
      <c r="B25" s="88"/>
      <c r="C25" s="5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3068149.66</v>
      </c>
      <c r="E26" s="217">
        <f>D21</f>
        <v>1613814.13</v>
      </c>
    </row>
    <row r="27" spans="2:6">
      <c r="B27" s="9" t="s">
        <v>17</v>
      </c>
      <c r="C27" s="10" t="s">
        <v>111</v>
      </c>
      <c r="D27" s="323">
        <v>-1524699.22</v>
      </c>
      <c r="E27" s="274">
        <v>-58567.64</v>
      </c>
      <c r="F27" s="71"/>
    </row>
    <row r="28" spans="2:6">
      <c r="B28" s="9" t="s">
        <v>18</v>
      </c>
      <c r="C28" s="10" t="s">
        <v>19</v>
      </c>
      <c r="D28" s="323">
        <v>8875.69</v>
      </c>
      <c r="E28" s="275">
        <v>89422.61</v>
      </c>
      <c r="F28" s="71"/>
    </row>
    <row r="29" spans="2:6">
      <c r="B29" s="104" t="s">
        <v>4</v>
      </c>
      <c r="C29" s="6" t="s">
        <v>20</v>
      </c>
      <c r="D29" s="324">
        <v>8875.69</v>
      </c>
      <c r="E29" s="276">
        <v>6525.5</v>
      </c>
      <c r="F29" s="71"/>
    </row>
    <row r="30" spans="2:6">
      <c r="B30" s="104" t="s">
        <v>6</v>
      </c>
      <c r="C30" s="6" t="s">
        <v>21</v>
      </c>
      <c r="D30" s="324"/>
      <c r="E30" s="276"/>
      <c r="F30" s="71"/>
    </row>
    <row r="31" spans="2:6">
      <c r="B31" s="104" t="s">
        <v>8</v>
      </c>
      <c r="C31" s="6" t="s">
        <v>22</v>
      </c>
      <c r="D31" s="324"/>
      <c r="E31" s="276">
        <v>82897.11</v>
      </c>
      <c r="F31" s="71"/>
    </row>
    <row r="32" spans="2:6">
      <c r="B32" s="92" t="s">
        <v>23</v>
      </c>
      <c r="C32" s="11" t="s">
        <v>24</v>
      </c>
      <c r="D32" s="323">
        <v>1533574.91</v>
      </c>
      <c r="E32" s="275">
        <v>147990.25</v>
      </c>
      <c r="F32" s="71"/>
    </row>
    <row r="33" spans="2:6">
      <c r="B33" s="104" t="s">
        <v>4</v>
      </c>
      <c r="C33" s="6" t="s">
        <v>25</v>
      </c>
      <c r="D33" s="324">
        <v>1488035.38</v>
      </c>
      <c r="E33" s="276">
        <v>75655.100000000006</v>
      </c>
      <c r="F33" s="71"/>
    </row>
    <row r="34" spans="2:6">
      <c r="B34" s="104" t="s">
        <v>6</v>
      </c>
      <c r="C34" s="6" t="s">
        <v>26</v>
      </c>
      <c r="D34" s="324"/>
      <c r="E34" s="276"/>
      <c r="F34" s="71"/>
    </row>
    <row r="35" spans="2:6">
      <c r="B35" s="104" t="s">
        <v>8</v>
      </c>
      <c r="C35" s="6" t="s">
        <v>27</v>
      </c>
      <c r="D35" s="324">
        <v>4129.3900000000003</v>
      </c>
      <c r="E35" s="276">
        <v>5297.38</v>
      </c>
      <c r="F35" s="71"/>
    </row>
    <row r="36" spans="2:6">
      <c r="B36" s="104" t="s">
        <v>9</v>
      </c>
      <c r="C36" s="6" t="s">
        <v>28</v>
      </c>
      <c r="D36" s="324"/>
      <c r="E36" s="276"/>
      <c r="F36" s="71"/>
    </row>
    <row r="37" spans="2:6" ht="25.5">
      <c r="B37" s="104" t="s">
        <v>29</v>
      </c>
      <c r="C37" s="6" t="s">
        <v>30</v>
      </c>
      <c r="D37" s="324">
        <v>41410.14</v>
      </c>
      <c r="E37" s="276">
        <v>25575.09</v>
      </c>
      <c r="F37" s="71"/>
    </row>
    <row r="38" spans="2:6">
      <c r="B38" s="104" t="s">
        <v>31</v>
      </c>
      <c r="C38" s="6" t="s">
        <v>32</v>
      </c>
      <c r="D38" s="324"/>
      <c r="E38" s="276"/>
      <c r="F38" s="71"/>
    </row>
    <row r="39" spans="2:6">
      <c r="B39" s="105" t="s">
        <v>33</v>
      </c>
      <c r="C39" s="12" t="s">
        <v>34</v>
      </c>
      <c r="D39" s="325"/>
      <c r="E39" s="277">
        <v>41462.68</v>
      </c>
      <c r="F39" s="71"/>
    </row>
    <row r="40" spans="2:6" ht="13.5" thickBot="1">
      <c r="B40" s="97" t="s">
        <v>35</v>
      </c>
      <c r="C40" s="98" t="s">
        <v>36</v>
      </c>
      <c r="D40" s="326">
        <v>70363.69</v>
      </c>
      <c r="E40" s="279">
        <v>7535.37</v>
      </c>
    </row>
    <row r="41" spans="2:6" ht="13.5" thickBot="1">
      <c r="B41" s="99" t="s">
        <v>37</v>
      </c>
      <c r="C41" s="100" t="s">
        <v>38</v>
      </c>
      <c r="D41" s="327">
        <v>1613814.1300000001</v>
      </c>
      <c r="E41" s="148">
        <f>E26+E27+E40</f>
        <v>1562781.86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8" customHeight="1" thickBot="1">
      <c r="B44" s="354" t="s">
        <v>121</v>
      </c>
      <c r="C44" s="358"/>
      <c r="D44" s="358"/>
      <c r="E44" s="358"/>
    </row>
    <row r="45" spans="2:6" ht="13.5" thickBot="1">
      <c r="B45" s="88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18157.955000000002</v>
      </c>
      <c r="E47" s="149">
        <v>9303.1309999999994</v>
      </c>
    </row>
    <row r="48" spans="2:6">
      <c r="B48" s="123" t="s">
        <v>6</v>
      </c>
      <c r="C48" s="22" t="s">
        <v>41</v>
      </c>
      <c r="D48" s="200">
        <v>9303.1309999999994</v>
      </c>
      <c r="E48" s="285">
        <v>8963.9891000000007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02" t="s">
        <v>4</v>
      </c>
      <c r="C50" s="15" t="s">
        <v>40</v>
      </c>
      <c r="D50" s="200">
        <v>168.97</v>
      </c>
      <c r="E50" s="149">
        <v>173.47</v>
      </c>
    </row>
    <row r="51" spans="2:5">
      <c r="B51" s="102" t="s">
        <v>6</v>
      </c>
      <c r="C51" s="15" t="s">
        <v>114</v>
      </c>
      <c r="D51" s="200">
        <v>168.97</v>
      </c>
      <c r="E51" s="75">
        <v>168.08</v>
      </c>
    </row>
    <row r="52" spans="2:5">
      <c r="B52" s="102" t="s">
        <v>8</v>
      </c>
      <c r="C52" s="15" t="s">
        <v>115</v>
      </c>
      <c r="D52" s="200">
        <v>173.47</v>
      </c>
      <c r="E52" s="75">
        <v>174.43</v>
      </c>
    </row>
    <row r="53" spans="2:5" ht="13.5" customHeight="1" thickBot="1">
      <c r="B53" s="103" t="s">
        <v>9</v>
      </c>
      <c r="C53" s="17" t="s">
        <v>41</v>
      </c>
      <c r="D53" s="202">
        <v>173.47</v>
      </c>
      <c r="E53" s="292">
        <v>174.34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6.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1562781.86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2.7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1562781.86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1562781.86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1562781.86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2" right="0.75" top="0.6" bottom="0.56000000000000005" header="0.5" footer="0.5"/>
  <pageSetup paperSize="9" scale="70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6"/>
  <dimension ref="A1:G81"/>
  <sheetViews>
    <sheetView zoomScale="80" zoomScaleNormal="80" workbookViewId="0">
      <selection activeCell="E41" sqref="E41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87"/>
      <c r="C4" s="87"/>
      <c r="D4" s="87"/>
      <c r="E4" s="87"/>
    </row>
    <row r="5" spans="2:7" ht="21" customHeight="1">
      <c r="B5" s="352" t="s">
        <v>1</v>
      </c>
      <c r="C5" s="352"/>
      <c r="D5" s="352"/>
      <c r="E5" s="352"/>
    </row>
    <row r="6" spans="2:7" ht="14.25" customHeight="1">
      <c r="B6" s="353" t="s">
        <v>150</v>
      </c>
      <c r="C6" s="353"/>
      <c r="D6" s="353"/>
      <c r="E6" s="353"/>
    </row>
    <row r="7" spans="2:7" ht="14.25">
      <c r="B7" s="89"/>
      <c r="C7" s="89"/>
      <c r="D7" s="89"/>
      <c r="E7" s="89"/>
    </row>
    <row r="8" spans="2:7" ht="13.5" customHeight="1">
      <c r="B8" s="355" t="s">
        <v>18</v>
      </c>
      <c r="C8" s="355"/>
      <c r="D8" s="355"/>
      <c r="E8" s="355"/>
    </row>
    <row r="9" spans="2:7" ht="16.5" customHeight="1" thickBot="1">
      <c r="B9" s="354" t="s">
        <v>103</v>
      </c>
      <c r="C9" s="354"/>
      <c r="D9" s="354"/>
      <c r="E9" s="354"/>
    </row>
    <row r="10" spans="2:7" ht="13.5" thickBot="1">
      <c r="B10" s="88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229819.14</v>
      </c>
      <c r="E11" s="228">
        <f>SUM(E12:E14)</f>
        <v>213098.23</v>
      </c>
    </row>
    <row r="12" spans="2:7">
      <c r="B12" s="173" t="s">
        <v>4</v>
      </c>
      <c r="C12" s="174" t="s">
        <v>5</v>
      </c>
      <c r="D12" s="241">
        <v>229819.14</v>
      </c>
      <c r="E12" s="245">
        <v>213098.23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customHeight="1" thickBot="1">
      <c r="B21" s="359" t="s">
        <v>110</v>
      </c>
      <c r="C21" s="371"/>
      <c r="D21" s="231">
        <v>229819.14</v>
      </c>
      <c r="E21" s="148">
        <f>E11-E17</f>
        <v>213098.23</v>
      </c>
      <c r="F21" s="77"/>
    </row>
    <row r="22" spans="2:6">
      <c r="B22" s="3"/>
      <c r="C22" s="7"/>
      <c r="D22" s="8"/>
      <c r="E22" s="8"/>
    </row>
    <row r="23" spans="2:6" ht="13.5" customHeight="1">
      <c r="B23" s="355" t="s">
        <v>104</v>
      </c>
      <c r="C23" s="355"/>
      <c r="D23" s="355"/>
      <c r="E23" s="355"/>
    </row>
    <row r="24" spans="2:6" ht="15.75" customHeight="1" thickBot="1">
      <c r="B24" s="354" t="s">
        <v>105</v>
      </c>
      <c r="C24" s="354"/>
      <c r="D24" s="354"/>
      <c r="E24" s="354"/>
    </row>
    <row r="25" spans="2:6" ht="13.5" thickBot="1">
      <c r="B25" s="203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262373.64</v>
      </c>
      <c r="E26" s="217">
        <f>D21</f>
        <v>229819.14</v>
      </c>
    </row>
    <row r="27" spans="2:6">
      <c r="B27" s="9" t="s">
        <v>17</v>
      </c>
      <c r="C27" s="10" t="s">
        <v>111</v>
      </c>
      <c r="D27" s="323">
        <v>-37012.94</v>
      </c>
      <c r="E27" s="274">
        <v>-68351.509999999995</v>
      </c>
      <c r="F27" s="71"/>
    </row>
    <row r="28" spans="2:6">
      <c r="B28" s="9" t="s">
        <v>18</v>
      </c>
      <c r="C28" s="10" t="s">
        <v>19</v>
      </c>
      <c r="D28" s="323">
        <v>30207.74</v>
      </c>
      <c r="E28" s="275">
        <v>1595.13</v>
      </c>
      <c r="F28" s="71"/>
    </row>
    <row r="29" spans="2:6">
      <c r="B29" s="181" t="s">
        <v>4</v>
      </c>
      <c r="C29" s="174" t="s">
        <v>20</v>
      </c>
      <c r="D29" s="324">
        <v>2383.4</v>
      </c>
      <c r="E29" s="276">
        <v>1595.13</v>
      </c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>
        <v>27824.34</v>
      </c>
      <c r="E31" s="276"/>
      <c r="F31" s="71"/>
    </row>
    <row r="32" spans="2:6">
      <c r="B32" s="92" t="s">
        <v>23</v>
      </c>
      <c r="C32" s="11" t="s">
        <v>24</v>
      </c>
      <c r="D32" s="323">
        <v>67220.679999999993</v>
      </c>
      <c r="E32" s="275">
        <v>69946.64</v>
      </c>
      <c r="F32" s="71"/>
    </row>
    <row r="33" spans="2:6">
      <c r="B33" s="181" t="s">
        <v>4</v>
      </c>
      <c r="C33" s="174" t="s">
        <v>25</v>
      </c>
      <c r="D33" s="324">
        <v>34394.47</v>
      </c>
      <c r="E33" s="276">
        <v>65502.95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589.4</v>
      </c>
      <c r="E35" s="276">
        <v>492.59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4517.3100000000004</v>
      </c>
      <c r="E37" s="276">
        <v>3951.1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>
        <v>27719.5</v>
      </c>
      <c r="E39" s="277"/>
      <c r="F39" s="71"/>
    </row>
    <row r="40" spans="2:6" ht="13.5" thickBot="1">
      <c r="B40" s="97" t="s">
        <v>35</v>
      </c>
      <c r="C40" s="98" t="s">
        <v>36</v>
      </c>
      <c r="D40" s="326">
        <v>4458.4399999999996</v>
      </c>
      <c r="E40" s="279">
        <v>51630.6</v>
      </c>
    </row>
    <row r="41" spans="2:6" ht="13.5" thickBot="1">
      <c r="B41" s="99" t="s">
        <v>37</v>
      </c>
      <c r="C41" s="100" t="s">
        <v>38</v>
      </c>
      <c r="D41" s="327">
        <v>229819.14</v>
      </c>
      <c r="E41" s="148">
        <f>E26+E27+E40</f>
        <v>213098.23</v>
      </c>
      <c r="F41" s="77"/>
    </row>
    <row r="42" spans="2:6">
      <c r="B42" s="93"/>
      <c r="C42" s="93"/>
      <c r="D42" s="94"/>
      <c r="E42" s="94"/>
      <c r="F42" s="77"/>
    </row>
    <row r="43" spans="2:6" ht="13.5" customHeight="1">
      <c r="B43" s="356" t="s">
        <v>60</v>
      </c>
      <c r="C43" s="356"/>
      <c r="D43" s="356"/>
      <c r="E43" s="356"/>
    </row>
    <row r="44" spans="2:6" ht="18" customHeight="1" thickBot="1">
      <c r="B44" s="354" t="s">
        <v>121</v>
      </c>
      <c r="C44" s="354"/>
      <c r="D44" s="354"/>
      <c r="E44" s="354"/>
    </row>
    <row r="45" spans="2:6" ht="13.5" thickBot="1">
      <c r="B45" s="88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210"/>
      <c r="E46" s="28"/>
    </row>
    <row r="47" spans="2:6">
      <c r="B47" s="102" t="s">
        <v>4</v>
      </c>
      <c r="C47" s="15" t="s">
        <v>40</v>
      </c>
      <c r="D47" s="200">
        <v>2799.8467999999998</v>
      </c>
      <c r="E47" s="218">
        <v>2411.7865000000002</v>
      </c>
    </row>
    <row r="48" spans="2:6">
      <c r="B48" s="123" t="s">
        <v>6</v>
      </c>
      <c r="C48" s="22" t="s">
        <v>41</v>
      </c>
      <c r="D48" s="200">
        <v>2411.7865000000002</v>
      </c>
      <c r="E48" s="286">
        <v>1752.885</v>
      </c>
    </row>
    <row r="49" spans="2:5">
      <c r="B49" s="120" t="s">
        <v>23</v>
      </c>
      <c r="C49" s="124" t="s">
        <v>113</v>
      </c>
      <c r="D49" s="201"/>
      <c r="E49" s="219"/>
    </row>
    <row r="50" spans="2:5">
      <c r="B50" s="102" t="s">
        <v>4</v>
      </c>
      <c r="C50" s="15" t="s">
        <v>40</v>
      </c>
      <c r="D50" s="200">
        <v>93.71</v>
      </c>
      <c r="E50" s="243">
        <v>95.29</v>
      </c>
    </row>
    <row r="51" spans="2:5">
      <c r="B51" s="102" t="s">
        <v>6</v>
      </c>
      <c r="C51" s="15" t="s">
        <v>114</v>
      </c>
      <c r="D51" s="200">
        <v>92.4</v>
      </c>
      <c r="E51" s="296">
        <v>77.44</v>
      </c>
    </row>
    <row r="52" spans="2:5">
      <c r="B52" s="102" t="s">
        <v>8</v>
      </c>
      <c r="C52" s="15" t="s">
        <v>115</v>
      </c>
      <c r="D52" s="200">
        <v>101.12</v>
      </c>
      <c r="E52" s="219">
        <v>122.22</v>
      </c>
    </row>
    <row r="53" spans="2:5" ht="12.75" customHeight="1" thickBot="1">
      <c r="B53" s="103" t="s">
        <v>9</v>
      </c>
      <c r="C53" s="17" t="s">
        <v>41</v>
      </c>
      <c r="D53" s="202">
        <v>95.29</v>
      </c>
      <c r="E53" s="292">
        <v>121.57</v>
      </c>
    </row>
    <row r="54" spans="2:5">
      <c r="B54" s="109"/>
      <c r="C54" s="110"/>
      <c r="D54" s="111"/>
      <c r="E54" s="111"/>
    </row>
    <row r="55" spans="2:5" ht="13.5" customHeight="1">
      <c r="B55" s="356" t="s">
        <v>62</v>
      </c>
      <c r="C55" s="356"/>
      <c r="D55" s="356"/>
      <c r="E55" s="356"/>
    </row>
    <row r="56" spans="2:5" ht="14.25" customHeight="1" thickBot="1">
      <c r="B56" s="354" t="s">
        <v>116</v>
      </c>
      <c r="C56" s="354"/>
      <c r="D56" s="354"/>
      <c r="E56" s="354"/>
    </row>
    <row r="57" spans="2:5" ht="23.25" customHeight="1" thickBot="1">
      <c r="B57" s="369" t="s">
        <v>42</v>
      </c>
      <c r="C57" s="37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213098.23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2.7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213098.23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213098.23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213098.23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6999999999999995" right="0.75" top="0.62" bottom="0.5" header="0.5" footer="0.5"/>
  <pageSetup paperSize="9" scale="70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7"/>
  <dimension ref="A1:G81"/>
  <sheetViews>
    <sheetView zoomScale="80" zoomScaleNormal="80" workbookViewId="0">
      <selection activeCell="G16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87"/>
      <c r="C4" s="87"/>
      <c r="D4" s="87"/>
      <c r="E4" s="87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151</v>
      </c>
      <c r="C6" s="353"/>
      <c r="D6" s="353"/>
      <c r="E6" s="353"/>
    </row>
    <row r="7" spans="2:7" ht="14.25">
      <c r="B7" s="89"/>
      <c r="C7" s="89"/>
      <c r="D7" s="89"/>
      <c r="E7" s="8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88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273163.09999999998</v>
      </c>
      <c r="E11" s="228">
        <f>SUM(E12:E14)</f>
        <v>296835.78000000003</v>
      </c>
    </row>
    <row r="12" spans="2:7">
      <c r="B12" s="106" t="s">
        <v>4</v>
      </c>
      <c r="C12" s="6" t="s">
        <v>5</v>
      </c>
      <c r="D12" s="241">
        <v>273163.09999999998</v>
      </c>
      <c r="E12" s="245">
        <v>296835.78000000003</v>
      </c>
    </row>
    <row r="13" spans="2:7">
      <c r="B13" s="106" t="s">
        <v>6</v>
      </c>
      <c r="C13" s="68" t="s">
        <v>7</v>
      </c>
      <c r="D13" s="237"/>
      <c r="E13" s="246"/>
    </row>
    <row r="14" spans="2:7">
      <c r="B14" s="106" t="s">
        <v>8</v>
      </c>
      <c r="C14" s="68" t="s">
        <v>10</v>
      </c>
      <c r="D14" s="237"/>
      <c r="E14" s="246"/>
    </row>
    <row r="15" spans="2:7">
      <c r="B15" s="106" t="s">
        <v>106</v>
      </c>
      <c r="C15" s="68" t="s">
        <v>11</v>
      </c>
      <c r="D15" s="237"/>
      <c r="E15" s="246"/>
    </row>
    <row r="16" spans="2:7">
      <c r="B16" s="107" t="s">
        <v>107</v>
      </c>
      <c r="C16" s="91" t="s">
        <v>12</v>
      </c>
      <c r="D16" s="239"/>
      <c r="E16" s="247"/>
    </row>
    <row r="17" spans="2:7">
      <c r="B17" s="9" t="s">
        <v>13</v>
      </c>
      <c r="C17" s="11" t="s">
        <v>65</v>
      </c>
      <c r="D17" s="240"/>
      <c r="E17" s="248"/>
    </row>
    <row r="18" spans="2:7">
      <c r="B18" s="106" t="s">
        <v>4</v>
      </c>
      <c r="C18" s="6" t="s">
        <v>11</v>
      </c>
      <c r="D18" s="239"/>
      <c r="E18" s="247"/>
    </row>
    <row r="19" spans="2:7" ht="15" customHeight="1">
      <c r="B19" s="106" t="s">
        <v>6</v>
      </c>
      <c r="C19" s="68" t="s">
        <v>108</v>
      </c>
      <c r="D19" s="237"/>
      <c r="E19" s="246"/>
    </row>
    <row r="20" spans="2:7" ht="13.5" thickBot="1">
      <c r="B20" s="108" t="s">
        <v>8</v>
      </c>
      <c r="C20" s="69" t="s">
        <v>14</v>
      </c>
      <c r="D20" s="229"/>
      <c r="E20" s="230"/>
    </row>
    <row r="21" spans="2:7" ht="13.5" thickBot="1">
      <c r="B21" s="361" t="s">
        <v>110</v>
      </c>
      <c r="C21" s="362"/>
      <c r="D21" s="231">
        <v>273163.09999999998</v>
      </c>
      <c r="E21" s="148">
        <f>E11-E17</f>
        <v>296835.78000000003</v>
      </c>
      <c r="F21" s="77"/>
      <c r="G21" s="172"/>
    </row>
    <row r="22" spans="2:7">
      <c r="B22" s="3"/>
      <c r="C22" s="7"/>
      <c r="D22" s="8"/>
      <c r="E22" s="8"/>
    </row>
    <row r="23" spans="2:7" ht="13.5">
      <c r="B23" s="355" t="s">
        <v>104</v>
      </c>
      <c r="C23" s="363"/>
      <c r="D23" s="363"/>
      <c r="E23" s="363"/>
    </row>
    <row r="24" spans="2:7" ht="15.75" customHeight="1" thickBot="1">
      <c r="B24" s="354" t="s">
        <v>105</v>
      </c>
      <c r="C24" s="364"/>
      <c r="D24" s="364"/>
      <c r="E24" s="364"/>
    </row>
    <row r="25" spans="2:7" ht="13.5" thickBot="1">
      <c r="B25" s="88"/>
      <c r="C25" s="5" t="s">
        <v>2</v>
      </c>
      <c r="D25" s="70" t="s">
        <v>245</v>
      </c>
      <c r="E25" s="255" t="s">
        <v>265</v>
      </c>
    </row>
    <row r="26" spans="2:7">
      <c r="B26" s="95" t="s">
        <v>15</v>
      </c>
      <c r="C26" s="96" t="s">
        <v>16</v>
      </c>
      <c r="D26" s="322">
        <v>411843.35</v>
      </c>
      <c r="E26" s="217">
        <f>D21</f>
        <v>273163.09999999998</v>
      </c>
    </row>
    <row r="27" spans="2:7">
      <c r="B27" s="9" t="s">
        <v>17</v>
      </c>
      <c r="C27" s="10" t="s">
        <v>111</v>
      </c>
      <c r="D27" s="323">
        <v>-153178.04999999999</v>
      </c>
      <c r="E27" s="274">
        <v>-68601.509999999995</v>
      </c>
      <c r="F27" s="71"/>
    </row>
    <row r="28" spans="2:7">
      <c r="B28" s="9" t="s">
        <v>18</v>
      </c>
      <c r="C28" s="10" t="s">
        <v>19</v>
      </c>
      <c r="D28" s="323">
        <v>35947.75</v>
      </c>
      <c r="E28" s="275">
        <v>83954.52</v>
      </c>
      <c r="F28" s="71"/>
    </row>
    <row r="29" spans="2:7">
      <c r="B29" s="104" t="s">
        <v>4</v>
      </c>
      <c r="C29" s="6" t="s">
        <v>20</v>
      </c>
      <c r="D29" s="324">
        <v>6664.35</v>
      </c>
      <c r="E29" s="276">
        <v>6744.9</v>
      </c>
      <c r="F29" s="71"/>
    </row>
    <row r="30" spans="2:7">
      <c r="B30" s="104" t="s">
        <v>6</v>
      </c>
      <c r="C30" s="6" t="s">
        <v>21</v>
      </c>
      <c r="D30" s="324"/>
      <c r="E30" s="276"/>
      <c r="F30" s="71"/>
    </row>
    <row r="31" spans="2:7">
      <c r="B31" s="104" t="s">
        <v>8</v>
      </c>
      <c r="C31" s="6" t="s">
        <v>22</v>
      </c>
      <c r="D31" s="324">
        <v>29283.4</v>
      </c>
      <c r="E31" s="276">
        <v>77209.62</v>
      </c>
      <c r="F31" s="71"/>
    </row>
    <row r="32" spans="2:7">
      <c r="B32" s="92" t="s">
        <v>23</v>
      </c>
      <c r="C32" s="11" t="s">
        <v>24</v>
      </c>
      <c r="D32" s="323">
        <v>189125.8</v>
      </c>
      <c r="E32" s="275">
        <v>152556.03</v>
      </c>
      <c r="F32" s="71"/>
    </row>
    <row r="33" spans="2:6">
      <c r="B33" s="104" t="s">
        <v>4</v>
      </c>
      <c r="C33" s="6" t="s">
        <v>25</v>
      </c>
      <c r="D33" s="324">
        <v>150367.82</v>
      </c>
      <c r="E33" s="276"/>
      <c r="F33" s="71"/>
    </row>
    <row r="34" spans="2:6">
      <c r="B34" s="104" t="s">
        <v>6</v>
      </c>
      <c r="C34" s="6" t="s">
        <v>26</v>
      </c>
      <c r="D34" s="324"/>
      <c r="E34" s="276"/>
      <c r="F34" s="71"/>
    </row>
    <row r="35" spans="2:6">
      <c r="B35" s="104" t="s">
        <v>8</v>
      </c>
      <c r="C35" s="6" t="s">
        <v>27</v>
      </c>
      <c r="D35" s="324">
        <v>273.08999999999997</v>
      </c>
      <c r="E35" s="276">
        <v>373.8</v>
      </c>
      <c r="F35" s="71"/>
    </row>
    <row r="36" spans="2:6">
      <c r="B36" s="104" t="s">
        <v>9</v>
      </c>
      <c r="C36" s="6" t="s">
        <v>28</v>
      </c>
      <c r="D36" s="324"/>
      <c r="E36" s="276"/>
      <c r="F36" s="71"/>
    </row>
    <row r="37" spans="2:6" ht="25.5">
      <c r="B37" s="104" t="s">
        <v>29</v>
      </c>
      <c r="C37" s="6" t="s">
        <v>30</v>
      </c>
      <c r="D37" s="324">
        <v>6392.66</v>
      </c>
      <c r="E37" s="276">
        <v>3853.9</v>
      </c>
      <c r="F37" s="71"/>
    </row>
    <row r="38" spans="2:6">
      <c r="B38" s="104" t="s">
        <v>31</v>
      </c>
      <c r="C38" s="6" t="s">
        <v>32</v>
      </c>
      <c r="D38" s="324"/>
      <c r="E38" s="276"/>
      <c r="F38" s="71"/>
    </row>
    <row r="39" spans="2:6">
      <c r="B39" s="105" t="s">
        <v>33</v>
      </c>
      <c r="C39" s="12" t="s">
        <v>34</v>
      </c>
      <c r="D39" s="325">
        <v>32092.23</v>
      </c>
      <c r="E39" s="277">
        <v>148328.32999999999</v>
      </c>
      <c r="F39" s="71"/>
    </row>
    <row r="40" spans="2:6" ht="13.5" thickBot="1">
      <c r="B40" s="97" t="s">
        <v>35</v>
      </c>
      <c r="C40" s="98" t="s">
        <v>36</v>
      </c>
      <c r="D40" s="326">
        <v>14497.8</v>
      </c>
      <c r="E40" s="279">
        <v>92274.19</v>
      </c>
    </row>
    <row r="41" spans="2:6" ht="13.5" thickBot="1">
      <c r="B41" s="99" t="s">
        <v>37</v>
      </c>
      <c r="C41" s="100" t="s">
        <v>38</v>
      </c>
      <c r="D41" s="327">
        <v>273163.09999999998</v>
      </c>
      <c r="E41" s="148">
        <f>E26+E27+E40</f>
        <v>296835.77999999997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8" customHeight="1" thickBot="1">
      <c r="B44" s="354" t="s">
        <v>121</v>
      </c>
      <c r="C44" s="358"/>
      <c r="D44" s="358"/>
      <c r="E44" s="358"/>
    </row>
    <row r="45" spans="2:6" ht="13.5" thickBot="1">
      <c r="B45" s="88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3541.8245000000002</v>
      </c>
      <c r="E47" s="149">
        <v>2241.0623999999998</v>
      </c>
    </row>
    <row r="48" spans="2:6">
      <c r="B48" s="123" t="s">
        <v>6</v>
      </c>
      <c r="C48" s="22" t="s">
        <v>41</v>
      </c>
      <c r="D48" s="200">
        <v>2241.0623999999998</v>
      </c>
      <c r="E48" s="285">
        <v>1697.5625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02" t="s">
        <v>4</v>
      </c>
      <c r="C50" s="15" t="s">
        <v>40</v>
      </c>
      <c r="D50" s="200">
        <v>116.28</v>
      </c>
      <c r="E50" s="149">
        <v>121.89</v>
      </c>
    </row>
    <row r="51" spans="2:5">
      <c r="B51" s="102" t="s">
        <v>6</v>
      </c>
      <c r="C51" s="15" t="s">
        <v>114</v>
      </c>
      <c r="D51" s="200">
        <v>112.85</v>
      </c>
      <c r="E51" s="75">
        <v>88.48</v>
      </c>
    </row>
    <row r="52" spans="2:5">
      <c r="B52" s="102" t="s">
        <v>8</v>
      </c>
      <c r="C52" s="15" t="s">
        <v>115</v>
      </c>
      <c r="D52" s="200">
        <v>129.75</v>
      </c>
      <c r="E52" s="75">
        <v>175.1</v>
      </c>
    </row>
    <row r="53" spans="2:5" ht="13.5" customHeight="1" thickBot="1">
      <c r="B53" s="103" t="s">
        <v>9</v>
      </c>
      <c r="C53" s="17" t="s">
        <v>41</v>
      </c>
      <c r="D53" s="202">
        <v>121.89</v>
      </c>
      <c r="E53" s="292">
        <v>174.86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6.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296835.78000000003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2.7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296835.78000000003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296835.78000000003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296835.78000000003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000000000000004" right="0.75" top="0.59" bottom="0.4" header="0.5" footer="0.5"/>
  <pageSetup paperSize="9" scale="70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8"/>
  <dimension ref="A1:G81"/>
  <sheetViews>
    <sheetView zoomScale="80" zoomScaleNormal="80" workbookViewId="0">
      <selection activeCell="E41" sqref="E41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87"/>
      <c r="C4" s="87"/>
      <c r="D4" s="87"/>
      <c r="E4" s="87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152</v>
      </c>
      <c r="C6" s="353"/>
      <c r="D6" s="353"/>
      <c r="E6" s="353"/>
    </row>
    <row r="7" spans="2:7" ht="14.25">
      <c r="B7" s="89"/>
      <c r="C7" s="89"/>
      <c r="D7" s="89"/>
      <c r="E7" s="8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88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6167157.0300000003</v>
      </c>
      <c r="E11" s="228">
        <f>SUM(E12:E14)</f>
        <v>6303578.8099999996</v>
      </c>
    </row>
    <row r="12" spans="2:7">
      <c r="B12" s="173" t="s">
        <v>4</v>
      </c>
      <c r="C12" s="174" t="s">
        <v>5</v>
      </c>
      <c r="D12" s="241">
        <v>6167157.0300000003</v>
      </c>
      <c r="E12" s="245">
        <v>6303578.8099999996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6167157.0300000003</v>
      </c>
      <c r="E21" s="148">
        <f>E11-E17</f>
        <v>6303578.8099999996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3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8316305.7400000002</v>
      </c>
      <c r="E26" s="217">
        <f>D21</f>
        <v>6167157.0300000003</v>
      </c>
    </row>
    <row r="27" spans="2:6">
      <c r="B27" s="9" t="s">
        <v>17</v>
      </c>
      <c r="C27" s="10" t="s">
        <v>111</v>
      </c>
      <c r="D27" s="323">
        <v>-2293647.2200000002</v>
      </c>
      <c r="E27" s="274">
        <v>-15125.27</v>
      </c>
      <c r="F27" s="71"/>
    </row>
    <row r="28" spans="2:6">
      <c r="B28" s="9" t="s">
        <v>18</v>
      </c>
      <c r="C28" s="10" t="s">
        <v>19</v>
      </c>
      <c r="D28" s="323">
        <v>34854.65</v>
      </c>
      <c r="E28" s="275">
        <v>2913757.7800000003</v>
      </c>
      <c r="F28" s="71"/>
    </row>
    <row r="29" spans="2:6">
      <c r="B29" s="181" t="s">
        <v>4</v>
      </c>
      <c r="C29" s="174" t="s">
        <v>20</v>
      </c>
      <c r="D29" s="324">
        <v>25277.55</v>
      </c>
      <c r="E29" s="276">
        <v>38675.22</v>
      </c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>
        <v>9577.1</v>
      </c>
      <c r="E31" s="276">
        <v>2875082.56</v>
      </c>
      <c r="F31" s="71"/>
    </row>
    <row r="32" spans="2:6">
      <c r="B32" s="92" t="s">
        <v>23</v>
      </c>
      <c r="C32" s="11" t="s">
        <v>24</v>
      </c>
      <c r="D32" s="323">
        <v>2328501.8700000006</v>
      </c>
      <c r="E32" s="275">
        <v>2928883.05</v>
      </c>
      <c r="F32" s="71"/>
    </row>
    <row r="33" spans="2:6">
      <c r="B33" s="181" t="s">
        <v>4</v>
      </c>
      <c r="C33" s="174" t="s">
        <v>25</v>
      </c>
      <c r="D33" s="324">
        <v>2194152.2200000002</v>
      </c>
      <c r="E33" s="276">
        <v>198985.23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16807.47</v>
      </c>
      <c r="E35" s="276">
        <v>20480.099999999999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117542.18</v>
      </c>
      <c r="E37" s="276">
        <v>89293.84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>
        <v>2620123.88</v>
      </c>
      <c r="F39" s="71"/>
    </row>
    <row r="40" spans="2:6" ht="13.5" thickBot="1">
      <c r="B40" s="97" t="s">
        <v>35</v>
      </c>
      <c r="C40" s="98" t="s">
        <v>36</v>
      </c>
      <c r="D40" s="326">
        <v>144498.51</v>
      </c>
      <c r="E40" s="279">
        <v>151547.04999999999</v>
      </c>
    </row>
    <row r="41" spans="2:6" ht="13.5" thickBot="1">
      <c r="B41" s="99" t="s">
        <v>37</v>
      </c>
      <c r="C41" s="100" t="s">
        <v>38</v>
      </c>
      <c r="D41" s="327">
        <v>6167157.0299999993</v>
      </c>
      <c r="E41" s="148">
        <f>E26+E27+E40</f>
        <v>6303578.8100000005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8" customHeight="1" thickBot="1">
      <c r="B44" s="354" t="s">
        <v>121</v>
      </c>
      <c r="C44" s="358"/>
      <c r="D44" s="358"/>
      <c r="E44" s="358"/>
    </row>
    <row r="45" spans="2:6" ht="13.5" thickBot="1">
      <c r="B45" s="88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53663.972000000002</v>
      </c>
      <c r="E47" s="149">
        <v>39003.016900000002</v>
      </c>
    </row>
    <row r="48" spans="2:6">
      <c r="B48" s="123" t="s">
        <v>6</v>
      </c>
      <c r="C48" s="22" t="s">
        <v>41</v>
      </c>
      <c r="D48" s="200">
        <v>39003.016900000002</v>
      </c>
      <c r="E48" s="285">
        <v>39150.231699999997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02" t="s">
        <v>4</v>
      </c>
      <c r="C50" s="15" t="s">
        <v>40</v>
      </c>
      <c r="D50" s="200">
        <v>154.97</v>
      </c>
      <c r="E50" s="149">
        <v>158.12</v>
      </c>
    </row>
    <row r="51" spans="2:5">
      <c r="B51" s="102" t="s">
        <v>6</v>
      </c>
      <c r="C51" s="15" t="s">
        <v>114</v>
      </c>
      <c r="D51" s="200">
        <v>154.97</v>
      </c>
      <c r="E51" s="75">
        <v>155.15</v>
      </c>
    </row>
    <row r="52" spans="2:5">
      <c r="B52" s="102" t="s">
        <v>8</v>
      </c>
      <c r="C52" s="15" t="s">
        <v>115</v>
      </c>
      <c r="D52" s="200">
        <v>158.13</v>
      </c>
      <c r="E52" s="75">
        <v>161.31</v>
      </c>
    </row>
    <row r="53" spans="2:5" ht="12.75" customHeight="1" thickBot="1">
      <c r="B53" s="103" t="s">
        <v>9</v>
      </c>
      <c r="C53" s="17" t="s">
        <v>41</v>
      </c>
      <c r="D53" s="202">
        <v>158.12</v>
      </c>
      <c r="E53" s="292">
        <v>161.01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5.7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6303578.8099999996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2.7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6303578.8099999996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6303578.8099999996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6303578.8099999996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" right="0.75" top="0.56000000000000005" bottom="0.56000000000000005" header="0.5" footer="0.5"/>
  <pageSetup paperSize="9" scale="70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9"/>
  <dimension ref="A1:G81"/>
  <sheetViews>
    <sheetView zoomScale="80" zoomScaleNormal="80" workbookViewId="0">
      <selection activeCell="G13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87"/>
      <c r="C4" s="87"/>
      <c r="D4" s="87"/>
      <c r="E4" s="87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153</v>
      </c>
      <c r="C6" s="353"/>
      <c r="D6" s="353"/>
      <c r="E6" s="353"/>
    </row>
    <row r="7" spans="2:7" ht="14.25">
      <c r="B7" s="89"/>
      <c r="C7" s="89"/>
      <c r="D7" s="89"/>
      <c r="E7" s="8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88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15612415.41</v>
      </c>
      <c r="E11" s="228">
        <f>SUM(E12:E14)</f>
        <v>12172927.93</v>
      </c>
    </row>
    <row r="12" spans="2:7">
      <c r="B12" s="106" t="s">
        <v>4</v>
      </c>
      <c r="C12" s="6" t="s">
        <v>5</v>
      </c>
      <c r="D12" s="241">
        <v>15612415.41</v>
      </c>
      <c r="E12" s="245">
        <v>12172927.93</v>
      </c>
    </row>
    <row r="13" spans="2:7">
      <c r="B13" s="106" t="s">
        <v>6</v>
      </c>
      <c r="C13" s="68" t="s">
        <v>7</v>
      </c>
      <c r="D13" s="237"/>
      <c r="E13" s="246"/>
    </row>
    <row r="14" spans="2:7">
      <c r="B14" s="106" t="s">
        <v>8</v>
      </c>
      <c r="C14" s="68" t="s">
        <v>10</v>
      </c>
      <c r="D14" s="237"/>
      <c r="E14" s="246"/>
    </row>
    <row r="15" spans="2:7">
      <c r="B15" s="106" t="s">
        <v>106</v>
      </c>
      <c r="C15" s="68" t="s">
        <v>11</v>
      </c>
      <c r="D15" s="237"/>
      <c r="E15" s="246"/>
    </row>
    <row r="16" spans="2:7">
      <c r="B16" s="107" t="s">
        <v>107</v>
      </c>
      <c r="C16" s="91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06" t="s">
        <v>4</v>
      </c>
      <c r="C18" s="6" t="s">
        <v>11</v>
      </c>
      <c r="D18" s="239"/>
      <c r="E18" s="247"/>
    </row>
    <row r="19" spans="2:6" ht="15" customHeight="1">
      <c r="B19" s="106" t="s">
        <v>6</v>
      </c>
      <c r="C19" s="68" t="s">
        <v>108</v>
      </c>
      <c r="D19" s="237"/>
      <c r="E19" s="246"/>
    </row>
    <row r="20" spans="2:6" ht="13.5" thickBot="1">
      <c r="B20" s="108" t="s">
        <v>8</v>
      </c>
      <c r="C20" s="6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15612415.41</v>
      </c>
      <c r="E21" s="148">
        <f>E11-E17</f>
        <v>12172927.93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3"/>
      <c r="D23" s="363"/>
      <c r="E23" s="363"/>
    </row>
    <row r="24" spans="2:6" ht="15.75" customHeight="1" thickBot="1">
      <c r="B24" s="354" t="s">
        <v>105</v>
      </c>
      <c r="C24" s="364"/>
      <c r="D24" s="364"/>
      <c r="E24" s="364"/>
    </row>
    <row r="25" spans="2:6" ht="13.5" thickBot="1">
      <c r="B25" s="88"/>
      <c r="C25" s="5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24134390.370000001</v>
      </c>
      <c r="E26" s="217">
        <f>D21</f>
        <v>15612415.41</v>
      </c>
    </row>
    <row r="27" spans="2:6">
      <c r="B27" s="9" t="s">
        <v>17</v>
      </c>
      <c r="C27" s="10" t="s">
        <v>111</v>
      </c>
      <c r="D27" s="323">
        <v>-8955807.5700000003</v>
      </c>
      <c r="E27" s="274">
        <f>E28-E32</f>
        <v>-4267678.5699999994</v>
      </c>
      <c r="F27" s="71"/>
    </row>
    <row r="28" spans="2:6">
      <c r="B28" s="9" t="s">
        <v>18</v>
      </c>
      <c r="C28" s="10" t="s">
        <v>19</v>
      </c>
      <c r="D28" s="323">
        <v>769487.71</v>
      </c>
      <c r="E28" s="275">
        <v>293621.28999999998</v>
      </c>
      <c r="F28" s="71"/>
    </row>
    <row r="29" spans="2:6">
      <c r="B29" s="104" t="s">
        <v>4</v>
      </c>
      <c r="C29" s="6" t="s">
        <v>20</v>
      </c>
      <c r="D29" s="324"/>
      <c r="E29" s="276"/>
      <c r="F29" s="71"/>
    </row>
    <row r="30" spans="2:6">
      <c r="B30" s="104" t="s">
        <v>6</v>
      </c>
      <c r="C30" s="6" t="s">
        <v>21</v>
      </c>
      <c r="D30" s="324"/>
      <c r="E30" s="276"/>
      <c r="F30" s="71"/>
    </row>
    <row r="31" spans="2:6">
      <c r="B31" s="104" t="s">
        <v>8</v>
      </c>
      <c r="C31" s="6" t="s">
        <v>22</v>
      </c>
      <c r="D31" s="324">
        <v>769487.71</v>
      </c>
      <c r="E31" s="276">
        <v>293621.28999999998</v>
      </c>
      <c r="F31" s="71"/>
    </row>
    <row r="32" spans="2:6">
      <c r="B32" s="92" t="s">
        <v>23</v>
      </c>
      <c r="C32" s="11" t="s">
        <v>24</v>
      </c>
      <c r="D32" s="323">
        <v>9725295.2800000012</v>
      </c>
      <c r="E32" s="275">
        <f>SUM(E33:E39)</f>
        <v>4561299.8599999994</v>
      </c>
      <c r="F32" s="71"/>
    </row>
    <row r="33" spans="2:6">
      <c r="B33" s="104" t="s">
        <v>4</v>
      </c>
      <c r="C33" s="6" t="s">
        <v>25</v>
      </c>
      <c r="D33" s="324">
        <v>9019740.5700000003</v>
      </c>
      <c r="E33" s="276">
        <f>4419030.22-212086.64</f>
        <v>4206943.58</v>
      </c>
      <c r="F33" s="71"/>
    </row>
    <row r="34" spans="2:6">
      <c r="B34" s="104" t="s">
        <v>6</v>
      </c>
      <c r="C34" s="6" t="s">
        <v>26</v>
      </c>
      <c r="D34" s="324"/>
      <c r="E34" s="276"/>
      <c r="F34" s="71"/>
    </row>
    <row r="35" spans="2:6">
      <c r="B35" s="104" t="s">
        <v>8</v>
      </c>
      <c r="C35" s="6" t="s">
        <v>27</v>
      </c>
      <c r="D35" s="324">
        <v>41577.97</v>
      </c>
      <c r="E35" s="276">
        <v>22265.84</v>
      </c>
      <c r="F35" s="71"/>
    </row>
    <row r="36" spans="2:6">
      <c r="B36" s="104" t="s">
        <v>9</v>
      </c>
      <c r="C36" s="6" t="s">
        <v>28</v>
      </c>
      <c r="D36" s="324"/>
      <c r="E36" s="276"/>
      <c r="F36" s="71"/>
    </row>
    <row r="37" spans="2:6" ht="25.5">
      <c r="B37" s="104" t="s">
        <v>29</v>
      </c>
      <c r="C37" s="6" t="s">
        <v>30</v>
      </c>
      <c r="D37" s="324">
        <v>399233.1</v>
      </c>
      <c r="E37" s="276">
        <v>260763.64</v>
      </c>
      <c r="F37" s="71"/>
    </row>
    <row r="38" spans="2:6">
      <c r="B38" s="104" t="s">
        <v>31</v>
      </c>
      <c r="C38" s="6" t="s">
        <v>32</v>
      </c>
      <c r="D38" s="324"/>
      <c r="E38" s="276"/>
      <c r="F38" s="71"/>
    </row>
    <row r="39" spans="2:6">
      <c r="B39" s="105" t="s">
        <v>33</v>
      </c>
      <c r="C39" s="12" t="s">
        <v>34</v>
      </c>
      <c r="D39" s="325">
        <v>264743.64</v>
      </c>
      <c r="E39" s="277">
        <v>71326.8</v>
      </c>
      <c r="F39" s="71"/>
    </row>
    <row r="40" spans="2:6" ht="13.5" thickBot="1">
      <c r="B40" s="97" t="s">
        <v>35</v>
      </c>
      <c r="C40" s="98" t="s">
        <v>36</v>
      </c>
      <c r="D40" s="326">
        <v>433832.61</v>
      </c>
      <c r="E40" s="279">
        <v>828191.09</v>
      </c>
    </row>
    <row r="41" spans="2:6" ht="13.5" thickBot="1">
      <c r="B41" s="99" t="s">
        <v>37</v>
      </c>
      <c r="C41" s="100" t="s">
        <v>38</v>
      </c>
      <c r="D41" s="327">
        <v>15612415.41</v>
      </c>
      <c r="E41" s="148">
        <f>E26+E27+E40</f>
        <v>12172927.93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8" customHeight="1" thickBot="1">
      <c r="B44" s="354" t="s">
        <v>121</v>
      </c>
      <c r="C44" s="358"/>
      <c r="D44" s="358"/>
      <c r="E44" s="358"/>
    </row>
    <row r="45" spans="2:6" ht="13.5" thickBot="1">
      <c r="B45" s="88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167020.00255999999</v>
      </c>
      <c r="E47" s="149">
        <v>105911.50809999999</v>
      </c>
    </row>
    <row r="48" spans="2:6">
      <c r="B48" s="123" t="s">
        <v>6</v>
      </c>
      <c r="C48" s="22" t="s">
        <v>41</v>
      </c>
      <c r="D48" s="200">
        <v>105911.50809999999</v>
      </c>
      <c r="E48" s="285">
        <v>77687.969400000002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02" t="s">
        <v>4</v>
      </c>
      <c r="C50" s="15" t="s">
        <v>40</v>
      </c>
      <c r="D50" s="200">
        <v>144.5</v>
      </c>
      <c r="E50" s="149">
        <v>147.41</v>
      </c>
    </row>
    <row r="51" spans="2:5">
      <c r="B51" s="102" t="s">
        <v>6</v>
      </c>
      <c r="C51" s="15" t="s">
        <v>114</v>
      </c>
      <c r="D51" s="200">
        <v>144.07</v>
      </c>
      <c r="E51" s="75">
        <v>146.54</v>
      </c>
    </row>
    <row r="52" spans="2:5">
      <c r="B52" s="102" t="s">
        <v>8</v>
      </c>
      <c r="C52" s="15" t="s">
        <v>115</v>
      </c>
      <c r="D52" s="200">
        <v>149.18</v>
      </c>
      <c r="E52" s="75">
        <v>157.69</v>
      </c>
    </row>
    <row r="53" spans="2:5" ht="12.75" customHeight="1" thickBot="1">
      <c r="B53" s="103" t="s">
        <v>9</v>
      </c>
      <c r="C53" s="17" t="s">
        <v>41</v>
      </c>
      <c r="D53" s="202">
        <v>147.41</v>
      </c>
      <c r="E53" s="292">
        <v>156.69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5.7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12172927.93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3.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E12</f>
        <v>12172927.93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f>E17</f>
        <v>0</v>
      </c>
      <c r="E73" s="26">
        <f>D73/E21</f>
        <v>0</v>
      </c>
    </row>
    <row r="74" spans="2:5">
      <c r="B74" s="130" t="s">
        <v>64</v>
      </c>
      <c r="C74" s="121" t="s">
        <v>66</v>
      </c>
      <c r="D74" s="122">
        <f>D58-D73</f>
        <v>12172927.93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12172927.93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000000000000004" right="0.75" top="0.6" bottom="0.33" header="0.5" footer="0.5"/>
  <pageSetup paperSize="9" scale="70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0"/>
  <dimension ref="A1:G81"/>
  <sheetViews>
    <sheetView zoomScale="80" zoomScaleNormal="80" workbookViewId="0">
      <selection activeCell="J22" sqref="J22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87"/>
      <c r="C4" s="87"/>
      <c r="D4" s="87"/>
      <c r="E4" s="87"/>
      <c r="G4" s="172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154</v>
      </c>
      <c r="C6" s="353"/>
      <c r="D6" s="353"/>
      <c r="E6" s="353"/>
    </row>
    <row r="7" spans="2:7" ht="14.25">
      <c r="B7" s="89"/>
      <c r="C7" s="89"/>
      <c r="D7" s="89"/>
      <c r="E7" s="8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88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92509.25</v>
      </c>
      <c r="E11" s="228">
        <f>SUM(E12:E14)</f>
        <v>111468.7</v>
      </c>
    </row>
    <row r="12" spans="2:7">
      <c r="B12" s="106" t="s">
        <v>4</v>
      </c>
      <c r="C12" s="6" t="s">
        <v>5</v>
      </c>
      <c r="D12" s="241">
        <v>92509.25</v>
      </c>
      <c r="E12" s="245">
        <v>111468.7</v>
      </c>
    </row>
    <row r="13" spans="2:7">
      <c r="B13" s="106" t="s">
        <v>6</v>
      </c>
      <c r="C13" s="68" t="s">
        <v>7</v>
      </c>
      <c r="D13" s="237"/>
      <c r="E13" s="246"/>
    </row>
    <row r="14" spans="2:7">
      <c r="B14" s="106" t="s">
        <v>8</v>
      </c>
      <c r="C14" s="68" t="s">
        <v>10</v>
      </c>
      <c r="D14" s="237"/>
      <c r="E14" s="246"/>
    </row>
    <row r="15" spans="2:7">
      <c r="B15" s="106" t="s">
        <v>106</v>
      </c>
      <c r="C15" s="68" t="s">
        <v>11</v>
      </c>
      <c r="D15" s="237"/>
      <c r="E15" s="246"/>
    </row>
    <row r="16" spans="2:7">
      <c r="B16" s="107" t="s">
        <v>107</v>
      </c>
      <c r="C16" s="91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06" t="s">
        <v>4</v>
      </c>
      <c r="C18" s="6" t="s">
        <v>11</v>
      </c>
      <c r="D18" s="239"/>
      <c r="E18" s="247"/>
    </row>
    <row r="19" spans="2:6" ht="15" customHeight="1">
      <c r="B19" s="106" t="s">
        <v>6</v>
      </c>
      <c r="C19" s="68" t="s">
        <v>108</v>
      </c>
      <c r="D19" s="237"/>
      <c r="E19" s="246"/>
    </row>
    <row r="20" spans="2:6" ht="13.5" thickBot="1">
      <c r="B20" s="108" t="s">
        <v>8</v>
      </c>
      <c r="C20" s="6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92509.25</v>
      </c>
      <c r="E21" s="148">
        <f>E11-E17</f>
        <v>111468.7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3"/>
      <c r="D23" s="363"/>
      <c r="E23" s="363"/>
    </row>
    <row r="24" spans="2:6" ht="15.75" customHeight="1" thickBot="1">
      <c r="B24" s="354" t="s">
        <v>105</v>
      </c>
      <c r="C24" s="364"/>
      <c r="D24" s="364"/>
      <c r="E24" s="364"/>
    </row>
    <row r="25" spans="2:6" ht="13.5" thickBot="1">
      <c r="B25" s="88"/>
      <c r="C25" s="5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162660.99</v>
      </c>
      <c r="E26" s="217">
        <f>D21</f>
        <v>92509.25</v>
      </c>
    </row>
    <row r="27" spans="2:6">
      <c r="B27" s="9" t="s">
        <v>17</v>
      </c>
      <c r="C27" s="10" t="s">
        <v>111</v>
      </c>
      <c r="D27" s="323">
        <v>-71039.899999999994</v>
      </c>
      <c r="E27" s="274">
        <f>E28-E32</f>
        <v>-2104.5599999999995</v>
      </c>
      <c r="F27" s="71"/>
    </row>
    <row r="28" spans="2:6">
      <c r="B28" s="9" t="s">
        <v>18</v>
      </c>
      <c r="C28" s="10" t="s">
        <v>19</v>
      </c>
      <c r="D28" s="323">
        <v>2370.7399999999998</v>
      </c>
      <c r="E28" s="275">
        <v>1042.8</v>
      </c>
      <c r="F28" s="71"/>
    </row>
    <row r="29" spans="2:6">
      <c r="B29" s="104" t="s">
        <v>4</v>
      </c>
      <c r="C29" s="6" t="s">
        <v>20</v>
      </c>
      <c r="D29" s="324">
        <v>2370.7399999999998</v>
      </c>
      <c r="E29" s="276">
        <v>1042.8</v>
      </c>
      <c r="F29" s="71"/>
    </row>
    <row r="30" spans="2:6">
      <c r="B30" s="104" t="s">
        <v>6</v>
      </c>
      <c r="C30" s="6" t="s">
        <v>21</v>
      </c>
      <c r="D30" s="324"/>
      <c r="E30" s="276"/>
      <c r="F30" s="71"/>
    </row>
    <row r="31" spans="2:6">
      <c r="B31" s="104" t="s">
        <v>8</v>
      </c>
      <c r="C31" s="6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73410.64</v>
      </c>
      <c r="E32" s="275">
        <f>SUM(E33:E39)</f>
        <v>3147.3599999999997</v>
      </c>
      <c r="F32" s="71"/>
    </row>
    <row r="33" spans="2:6">
      <c r="B33" s="104" t="s">
        <v>4</v>
      </c>
      <c r="C33" s="6" t="s">
        <v>25</v>
      </c>
      <c r="D33" s="324">
        <v>23941.32</v>
      </c>
      <c r="E33" s="276">
        <f>1906.86+1.2</f>
        <v>1908.06</v>
      </c>
      <c r="F33" s="71"/>
    </row>
    <row r="34" spans="2:6">
      <c r="B34" s="104" t="s">
        <v>6</v>
      </c>
      <c r="C34" s="6" t="s">
        <v>26</v>
      </c>
      <c r="D34" s="324"/>
      <c r="E34" s="276"/>
      <c r="F34" s="71"/>
    </row>
    <row r="35" spans="2:6">
      <c r="B35" s="104" t="s">
        <v>8</v>
      </c>
      <c r="C35" s="6" t="s">
        <v>27</v>
      </c>
      <c r="D35" s="324">
        <v>260.2</v>
      </c>
      <c r="E35" s="276">
        <v>192.58</v>
      </c>
      <c r="F35" s="71"/>
    </row>
    <row r="36" spans="2:6">
      <c r="B36" s="104" t="s">
        <v>9</v>
      </c>
      <c r="C36" s="6" t="s">
        <v>28</v>
      </c>
      <c r="D36" s="324"/>
      <c r="E36" s="276"/>
      <c r="F36" s="71"/>
    </row>
    <row r="37" spans="2:6" ht="25.5">
      <c r="B37" s="104" t="s">
        <v>29</v>
      </c>
      <c r="C37" s="6" t="s">
        <v>30</v>
      </c>
      <c r="D37" s="324">
        <v>1502.8</v>
      </c>
      <c r="E37" s="276">
        <v>1046.72</v>
      </c>
      <c r="F37" s="71"/>
    </row>
    <row r="38" spans="2:6">
      <c r="B38" s="104" t="s">
        <v>31</v>
      </c>
      <c r="C38" s="6" t="s">
        <v>32</v>
      </c>
      <c r="D38" s="324"/>
      <c r="E38" s="276"/>
      <c r="F38" s="71"/>
    </row>
    <row r="39" spans="2:6">
      <c r="B39" s="105" t="s">
        <v>33</v>
      </c>
      <c r="C39" s="12" t="s">
        <v>34</v>
      </c>
      <c r="D39" s="325">
        <v>47706.32</v>
      </c>
      <c r="E39" s="277"/>
      <c r="F39" s="71"/>
    </row>
    <row r="40" spans="2:6" ht="13.5" thickBot="1">
      <c r="B40" s="97" t="s">
        <v>35</v>
      </c>
      <c r="C40" s="98" t="s">
        <v>36</v>
      </c>
      <c r="D40" s="326">
        <v>888.16</v>
      </c>
      <c r="E40" s="279">
        <v>21064.01</v>
      </c>
    </row>
    <row r="41" spans="2:6" ht="13.5" thickBot="1">
      <c r="B41" s="99" t="s">
        <v>37</v>
      </c>
      <c r="C41" s="100" t="s">
        <v>38</v>
      </c>
      <c r="D41" s="327">
        <v>92509.25</v>
      </c>
      <c r="E41" s="148">
        <f>E26+E27+E40</f>
        <v>111468.7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8" customHeight="1" thickBot="1">
      <c r="B44" s="354" t="s">
        <v>121</v>
      </c>
      <c r="C44" s="358"/>
      <c r="D44" s="358"/>
      <c r="E44" s="358"/>
    </row>
    <row r="45" spans="2:6" ht="13.5" thickBot="1">
      <c r="B45" s="88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1798.3525999999999</v>
      </c>
      <c r="E47" s="149">
        <v>1031.3183000000001</v>
      </c>
    </row>
    <row r="48" spans="2:6">
      <c r="B48" s="123" t="s">
        <v>6</v>
      </c>
      <c r="C48" s="22" t="s">
        <v>41</v>
      </c>
      <c r="D48" s="200">
        <v>1031.3183000000001</v>
      </c>
      <c r="E48" s="285">
        <v>1010.9623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02" t="s">
        <v>4</v>
      </c>
      <c r="C50" s="15" t="s">
        <v>40</v>
      </c>
      <c r="D50" s="200">
        <v>90.45</v>
      </c>
      <c r="E50" s="149">
        <v>89.7</v>
      </c>
    </row>
    <row r="51" spans="2:5">
      <c r="B51" s="102" t="s">
        <v>6</v>
      </c>
      <c r="C51" s="15" t="s">
        <v>114</v>
      </c>
      <c r="D51" s="200">
        <v>85.82</v>
      </c>
      <c r="E51" s="149">
        <v>61.46</v>
      </c>
    </row>
    <row r="52" spans="2:5">
      <c r="B52" s="102" t="s">
        <v>8</v>
      </c>
      <c r="C52" s="15" t="s">
        <v>115</v>
      </c>
      <c r="D52" s="200">
        <v>98.28</v>
      </c>
      <c r="E52" s="75">
        <v>110.94</v>
      </c>
    </row>
    <row r="53" spans="2:5" ht="13.5" customHeight="1" thickBot="1">
      <c r="B53" s="103" t="s">
        <v>9</v>
      </c>
      <c r="C53" s="17" t="s">
        <v>41</v>
      </c>
      <c r="D53" s="202">
        <v>89.7</v>
      </c>
      <c r="E53" s="292">
        <v>110.26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6.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111468.7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3.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111468.7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111468.7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111468.7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76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1"/>
  <dimension ref="A1:G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87"/>
      <c r="C4" s="87"/>
      <c r="D4" s="87"/>
      <c r="E4" s="87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155</v>
      </c>
      <c r="C6" s="353"/>
      <c r="D6" s="353"/>
      <c r="E6" s="353"/>
    </row>
    <row r="7" spans="2:7" ht="14.25">
      <c r="B7" s="89"/>
      <c r="C7" s="89"/>
      <c r="D7" s="89"/>
      <c r="E7" s="8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88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54663.37</v>
      </c>
      <c r="E11" s="228">
        <f>SUM(E12:E14)</f>
        <v>63971.34</v>
      </c>
    </row>
    <row r="12" spans="2:7">
      <c r="B12" s="106" t="s">
        <v>4</v>
      </c>
      <c r="C12" s="6" t="s">
        <v>5</v>
      </c>
      <c r="D12" s="241">
        <v>54663.37</v>
      </c>
      <c r="E12" s="245">
        <v>63971.34</v>
      </c>
    </row>
    <row r="13" spans="2:7">
      <c r="B13" s="106" t="s">
        <v>6</v>
      </c>
      <c r="C13" s="68" t="s">
        <v>7</v>
      </c>
      <c r="D13" s="237"/>
      <c r="E13" s="246"/>
    </row>
    <row r="14" spans="2:7">
      <c r="B14" s="106" t="s">
        <v>8</v>
      </c>
      <c r="C14" s="68" t="s">
        <v>10</v>
      </c>
      <c r="D14" s="237"/>
      <c r="E14" s="246"/>
    </row>
    <row r="15" spans="2:7">
      <c r="B15" s="106" t="s">
        <v>106</v>
      </c>
      <c r="C15" s="68" t="s">
        <v>11</v>
      </c>
      <c r="D15" s="237"/>
      <c r="E15" s="246"/>
    </row>
    <row r="16" spans="2:7">
      <c r="B16" s="107" t="s">
        <v>107</v>
      </c>
      <c r="C16" s="91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06" t="s">
        <v>4</v>
      </c>
      <c r="C18" s="6" t="s">
        <v>11</v>
      </c>
      <c r="D18" s="239"/>
      <c r="E18" s="247"/>
    </row>
    <row r="19" spans="2:6" ht="15" customHeight="1">
      <c r="B19" s="106" t="s">
        <v>6</v>
      </c>
      <c r="C19" s="68" t="s">
        <v>108</v>
      </c>
      <c r="D19" s="237"/>
      <c r="E19" s="246"/>
    </row>
    <row r="20" spans="2:6" ht="13.5" thickBot="1">
      <c r="B20" s="108" t="s">
        <v>8</v>
      </c>
      <c r="C20" s="6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54663.37</v>
      </c>
      <c r="E21" s="148">
        <f>E11-E17</f>
        <v>63971.34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3"/>
      <c r="D23" s="363"/>
      <c r="E23" s="363"/>
    </row>
    <row r="24" spans="2:6" ht="15.75" customHeight="1" thickBot="1">
      <c r="B24" s="354" t="s">
        <v>105</v>
      </c>
      <c r="C24" s="364"/>
      <c r="D24" s="364"/>
      <c r="E24" s="364"/>
    </row>
    <row r="25" spans="2:6" ht="13.5" thickBot="1">
      <c r="B25" s="88"/>
      <c r="C25" s="5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48325.51</v>
      </c>
      <c r="E26" s="217">
        <f>D21</f>
        <v>54663.37</v>
      </c>
    </row>
    <row r="27" spans="2:6">
      <c r="B27" s="9" t="s">
        <v>17</v>
      </c>
      <c r="C27" s="10" t="s">
        <v>111</v>
      </c>
      <c r="D27" s="323">
        <v>-3143.48</v>
      </c>
      <c r="E27" s="274">
        <v>-1022.53</v>
      </c>
      <c r="F27" s="71"/>
    </row>
    <row r="28" spans="2:6">
      <c r="B28" s="9" t="s">
        <v>18</v>
      </c>
      <c r="C28" s="10" t="s">
        <v>19</v>
      </c>
      <c r="D28" s="323"/>
      <c r="E28" s="275"/>
      <c r="F28" s="71"/>
    </row>
    <row r="29" spans="2:6">
      <c r="B29" s="104" t="s">
        <v>4</v>
      </c>
      <c r="C29" s="6" t="s">
        <v>20</v>
      </c>
      <c r="D29" s="324"/>
      <c r="E29" s="276"/>
      <c r="F29" s="71"/>
    </row>
    <row r="30" spans="2:6">
      <c r="B30" s="104" t="s">
        <v>6</v>
      </c>
      <c r="C30" s="6" t="s">
        <v>21</v>
      </c>
      <c r="D30" s="324"/>
      <c r="E30" s="276"/>
      <c r="F30" s="71"/>
    </row>
    <row r="31" spans="2:6">
      <c r="B31" s="104" t="s">
        <v>8</v>
      </c>
      <c r="C31" s="6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3143.48</v>
      </c>
      <c r="E32" s="275">
        <v>1022.53</v>
      </c>
      <c r="F32" s="71"/>
    </row>
    <row r="33" spans="2:6">
      <c r="B33" s="104" t="s">
        <v>4</v>
      </c>
      <c r="C33" s="6" t="s">
        <v>25</v>
      </c>
      <c r="D33" s="324">
        <v>2093.79</v>
      </c>
      <c r="E33" s="276"/>
      <c r="F33" s="71"/>
    </row>
    <row r="34" spans="2:6">
      <c r="B34" s="104" t="s">
        <v>6</v>
      </c>
      <c r="C34" s="6" t="s">
        <v>26</v>
      </c>
      <c r="D34" s="324"/>
      <c r="E34" s="276"/>
      <c r="F34" s="71"/>
    </row>
    <row r="35" spans="2:6">
      <c r="B35" s="104" t="s">
        <v>8</v>
      </c>
      <c r="C35" s="6" t="s">
        <v>27</v>
      </c>
      <c r="D35" s="324">
        <v>95.03</v>
      </c>
      <c r="E35" s="276">
        <v>95.66</v>
      </c>
      <c r="F35" s="71"/>
    </row>
    <row r="36" spans="2:6">
      <c r="B36" s="104" t="s">
        <v>9</v>
      </c>
      <c r="C36" s="6" t="s">
        <v>28</v>
      </c>
      <c r="D36" s="324"/>
      <c r="E36" s="276"/>
      <c r="F36" s="71"/>
    </row>
    <row r="37" spans="2:6" ht="25.5">
      <c r="B37" s="104" t="s">
        <v>29</v>
      </c>
      <c r="C37" s="6" t="s">
        <v>30</v>
      </c>
      <c r="D37" s="324">
        <v>954.66</v>
      </c>
      <c r="E37" s="276">
        <v>926.87</v>
      </c>
      <c r="F37" s="71"/>
    </row>
    <row r="38" spans="2:6">
      <c r="B38" s="104" t="s">
        <v>31</v>
      </c>
      <c r="C38" s="6" t="s">
        <v>32</v>
      </c>
      <c r="D38" s="324"/>
      <c r="E38" s="276"/>
      <c r="F38" s="71"/>
    </row>
    <row r="39" spans="2:6">
      <c r="B39" s="105" t="s">
        <v>33</v>
      </c>
      <c r="C39" s="12" t="s">
        <v>34</v>
      </c>
      <c r="D39" s="325"/>
      <c r="E39" s="277"/>
      <c r="F39" s="71"/>
    </row>
    <row r="40" spans="2:6" ht="13.5" thickBot="1">
      <c r="B40" s="97" t="s">
        <v>35</v>
      </c>
      <c r="C40" s="98" t="s">
        <v>36</v>
      </c>
      <c r="D40" s="326">
        <v>9481.34</v>
      </c>
      <c r="E40" s="279">
        <v>10330.5</v>
      </c>
    </row>
    <row r="41" spans="2:6" ht="13.5" thickBot="1">
      <c r="B41" s="99" t="s">
        <v>37</v>
      </c>
      <c r="C41" s="100" t="s">
        <v>38</v>
      </c>
      <c r="D41" s="327">
        <v>54663.369999999995</v>
      </c>
      <c r="E41" s="148">
        <f>E26+E27+E40</f>
        <v>63971.340000000004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8" customHeight="1" thickBot="1">
      <c r="B44" s="354" t="s">
        <v>121</v>
      </c>
      <c r="C44" s="358"/>
      <c r="D44" s="358"/>
      <c r="E44" s="358"/>
    </row>
    <row r="45" spans="2:6" ht="13.5" thickBot="1">
      <c r="B45" s="88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441.53050000000002</v>
      </c>
      <c r="E47" s="149">
        <v>416.29250000000002</v>
      </c>
    </row>
    <row r="48" spans="2:6">
      <c r="B48" s="123" t="s">
        <v>6</v>
      </c>
      <c r="C48" s="22" t="s">
        <v>41</v>
      </c>
      <c r="D48" s="200">
        <v>416.29250000000002</v>
      </c>
      <c r="E48" s="285">
        <v>408.52760000000001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02" t="s">
        <v>4</v>
      </c>
      <c r="C50" s="15" t="s">
        <v>40</v>
      </c>
      <c r="D50" s="200">
        <v>109.45</v>
      </c>
      <c r="E50" s="149">
        <v>131.31</v>
      </c>
    </row>
    <row r="51" spans="2:5">
      <c r="B51" s="102" t="s">
        <v>6</v>
      </c>
      <c r="C51" s="15" t="s">
        <v>114</v>
      </c>
      <c r="D51" s="200">
        <v>108.74</v>
      </c>
      <c r="E51" s="75">
        <v>92.54</v>
      </c>
    </row>
    <row r="52" spans="2:5">
      <c r="B52" s="102" t="s">
        <v>8</v>
      </c>
      <c r="C52" s="15" t="s">
        <v>115</v>
      </c>
      <c r="D52" s="200">
        <v>131.46</v>
      </c>
      <c r="E52" s="75">
        <v>156.62</v>
      </c>
    </row>
    <row r="53" spans="2:5" ht="12.75" customHeight="1" thickBot="1">
      <c r="B53" s="103" t="s">
        <v>9</v>
      </c>
      <c r="C53" s="17" t="s">
        <v>41</v>
      </c>
      <c r="D53" s="202">
        <v>131.31</v>
      </c>
      <c r="E53" s="292">
        <v>156.59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7.2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63971.34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2.7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63971.34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63971.34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63971.34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9" right="0.75" top="0.61" bottom="0.52" header="0.5" footer="0.5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I81"/>
  <sheetViews>
    <sheetView zoomScale="80" zoomScaleNormal="80" workbookViewId="0">
      <selection activeCell="I5" sqref="I5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  <col min="9" max="9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85"/>
      <c r="C4" s="85"/>
      <c r="D4" s="85"/>
      <c r="E4" s="85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139</v>
      </c>
      <c r="C6" s="353"/>
      <c r="D6" s="353"/>
      <c r="E6" s="353"/>
    </row>
    <row r="7" spans="2:7" ht="14.25">
      <c r="B7" s="89"/>
      <c r="C7" s="89"/>
      <c r="D7" s="89"/>
      <c r="E7" s="8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86"/>
      <c r="C10" s="76" t="s">
        <v>2</v>
      </c>
      <c r="D10" s="263" t="s">
        <v>245</v>
      </c>
      <c r="E10" s="262" t="s">
        <v>265</v>
      </c>
    </row>
    <row r="11" spans="2:7">
      <c r="B11" s="90" t="s">
        <v>3</v>
      </c>
      <c r="C11" s="128" t="s">
        <v>109</v>
      </c>
      <c r="D11" s="227">
        <v>69936021.609999999</v>
      </c>
      <c r="E11" s="228">
        <f>SUM(E12:E14)</f>
        <v>72693530.450000018</v>
      </c>
    </row>
    <row r="12" spans="2:7">
      <c r="B12" s="106" t="s">
        <v>4</v>
      </c>
      <c r="C12" s="6" t="s">
        <v>5</v>
      </c>
      <c r="D12" s="241">
        <v>69747112.810000002</v>
      </c>
      <c r="E12" s="245">
        <f>73354535.65+281396.26-1613328.02</f>
        <v>72022603.890000015</v>
      </c>
    </row>
    <row r="13" spans="2:7">
      <c r="B13" s="106" t="s">
        <v>6</v>
      </c>
      <c r="C13" s="68" t="s">
        <v>7</v>
      </c>
      <c r="D13" s="237"/>
      <c r="E13" s="246"/>
    </row>
    <row r="14" spans="2:7">
      <c r="B14" s="106" t="s">
        <v>8</v>
      </c>
      <c r="C14" s="68" t="s">
        <v>10</v>
      </c>
      <c r="D14" s="237">
        <v>188908.79999999999</v>
      </c>
      <c r="E14" s="246">
        <f>E15</f>
        <v>670926.56000000006</v>
      </c>
    </row>
    <row r="15" spans="2:7">
      <c r="B15" s="106" t="s">
        <v>106</v>
      </c>
      <c r="C15" s="68" t="s">
        <v>11</v>
      </c>
      <c r="D15" s="237">
        <v>188908.79999999999</v>
      </c>
      <c r="E15" s="246">
        <v>670926.56000000006</v>
      </c>
    </row>
    <row r="16" spans="2:7">
      <c r="B16" s="107" t="s">
        <v>107</v>
      </c>
      <c r="C16" s="91" t="s">
        <v>12</v>
      </c>
      <c r="D16" s="239"/>
      <c r="E16" s="247"/>
    </row>
    <row r="17" spans="2:9">
      <c r="B17" s="9" t="s">
        <v>13</v>
      </c>
      <c r="C17" s="11" t="s">
        <v>65</v>
      </c>
      <c r="D17" s="240">
        <v>97450.8</v>
      </c>
      <c r="E17" s="248">
        <f>E18</f>
        <v>93672.23</v>
      </c>
    </row>
    <row r="18" spans="2:9">
      <c r="B18" s="106" t="s">
        <v>4</v>
      </c>
      <c r="C18" s="6" t="s">
        <v>11</v>
      </c>
      <c r="D18" s="239">
        <v>97450.8</v>
      </c>
      <c r="E18" s="247">
        <v>93672.23</v>
      </c>
    </row>
    <row r="19" spans="2:9" ht="15" customHeight="1">
      <c r="B19" s="106" t="s">
        <v>6</v>
      </c>
      <c r="C19" s="68" t="s">
        <v>108</v>
      </c>
      <c r="D19" s="237"/>
      <c r="E19" s="246"/>
    </row>
    <row r="20" spans="2:9" ht="13.5" customHeight="1" thickBot="1">
      <c r="B20" s="108" t="s">
        <v>8</v>
      </c>
      <c r="C20" s="69" t="s">
        <v>14</v>
      </c>
      <c r="D20" s="229"/>
      <c r="E20" s="230"/>
      <c r="I20" s="71"/>
    </row>
    <row r="21" spans="2:9" ht="13.5" thickBot="1">
      <c r="B21" s="361" t="s">
        <v>110</v>
      </c>
      <c r="C21" s="362"/>
      <c r="D21" s="231">
        <v>69838570.810000002</v>
      </c>
      <c r="E21" s="148">
        <f>E11-E17</f>
        <v>72599858.220000014</v>
      </c>
      <c r="F21" s="77"/>
    </row>
    <row r="22" spans="2:9">
      <c r="B22" s="3"/>
      <c r="C22" s="7"/>
      <c r="D22" s="8"/>
      <c r="E22" s="8"/>
    </row>
    <row r="23" spans="2:9" ht="13.5">
      <c r="B23" s="355" t="s">
        <v>104</v>
      </c>
      <c r="C23" s="363"/>
      <c r="D23" s="363"/>
      <c r="E23" s="363"/>
    </row>
    <row r="24" spans="2:9" ht="15.75" customHeight="1" thickBot="1">
      <c r="B24" s="354" t="s">
        <v>105</v>
      </c>
      <c r="C24" s="364"/>
      <c r="D24" s="364"/>
      <c r="E24" s="364"/>
    </row>
    <row r="25" spans="2:9" ht="13.5" thickBot="1">
      <c r="B25" s="86"/>
      <c r="C25" s="5" t="s">
        <v>2</v>
      </c>
      <c r="D25" s="70" t="s">
        <v>245</v>
      </c>
      <c r="E25" s="255" t="s">
        <v>265</v>
      </c>
    </row>
    <row r="26" spans="2:9">
      <c r="B26" s="95" t="s">
        <v>15</v>
      </c>
      <c r="C26" s="96" t="s">
        <v>16</v>
      </c>
      <c r="D26" s="322">
        <v>66193670.149999991</v>
      </c>
      <c r="E26" s="217">
        <f>D21</f>
        <v>69838570.810000002</v>
      </c>
    </row>
    <row r="27" spans="2:9">
      <c r="B27" s="9" t="s">
        <v>17</v>
      </c>
      <c r="C27" s="10" t="s">
        <v>111</v>
      </c>
      <c r="D27" s="323">
        <v>2179715.2900000047</v>
      </c>
      <c r="E27" s="281">
        <f>E28-E32</f>
        <v>2857789.9800000004</v>
      </c>
      <c r="F27" s="71"/>
    </row>
    <row r="28" spans="2:9">
      <c r="B28" s="9" t="s">
        <v>18</v>
      </c>
      <c r="C28" s="10" t="s">
        <v>19</v>
      </c>
      <c r="D28" s="323">
        <v>13140157.15</v>
      </c>
      <c r="E28" s="281">
        <v>14295189.940000001</v>
      </c>
      <c r="F28" s="71"/>
    </row>
    <row r="29" spans="2:9">
      <c r="B29" s="104" t="s">
        <v>4</v>
      </c>
      <c r="C29" s="6" t="s">
        <v>20</v>
      </c>
      <c r="D29" s="324">
        <v>11147929.950000001</v>
      </c>
      <c r="E29" s="282">
        <v>11380547.030000001</v>
      </c>
      <c r="F29" s="71"/>
    </row>
    <row r="30" spans="2:9">
      <c r="B30" s="104" t="s">
        <v>6</v>
      </c>
      <c r="C30" s="6" t="s">
        <v>21</v>
      </c>
      <c r="D30" s="324"/>
      <c r="E30" s="282"/>
      <c r="F30" s="71"/>
    </row>
    <row r="31" spans="2:9">
      <c r="B31" s="104" t="s">
        <v>8</v>
      </c>
      <c r="C31" s="6" t="s">
        <v>22</v>
      </c>
      <c r="D31" s="324">
        <v>1992227.2</v>
      </c>
      <c r="E31" s="282">
        <v>2914642.91</v>
      </c>
      <c r="F31" s="71"/>
    </row>
    <row r="32" spans="2:9">
      <c r="B32" s="92" t="s">
        <v>23</v>
      </c>
      <c r="C32" s="11" t="s">
        <v>24</v>
      </c>
      <c r="D32" s="323">
        <v>10960441.859999996</v>
      </c>
      <c r="E32" s="281">
        <f>SUM(E33:E39)</f>
        <v>11437399.960000001</v>
      </c>
      <c r="F32" s="71"/>
    </row>
    <row r="33" spans="2:6">
      <c r="B33" s="104" t="s">
        <v>4</v>
      </c>
      <c r="C33" s="6" t="s">
        <v>25</v>
      </c>
      <c r="D33" s="324">
        <v>8411489.7300000004</v>
      </c>
      <c r="E33" s="282">
        <f>7692608.82-108883.59</f>
        <v>7583725.2300000004</v>
      </c>
      <c r="F33" s="71"/>
    </row>
    <row r="34" spans="2:6">
      <c r="B34" s="104" t="s">
        <v>6</v>
      </c>
      <c r="C34" s="6" t="s">
        <v>26</v>
      </c>
      <c r="D34" s="324"/>
      <c r="E34" s="282"/>
      <c r="F34" s="71"/>
    </row>
    <row r="35" spans="2:6">
      <c r="B35" s="104" t="s">
        <v>8</v>
      </c>
      <c r="C35" s="6" t="s">
        <v>27</v>
      </c>
      <c r="D35" s="324">
        <v>1268829.51</v>
      </c>
      <c r="E35" s="282">
        <v>1187834.1800000002</v>
      </c>
      <c r="F35" s="71"/>
    </row>
    <row r="36" spans="2:6">
      <c r="B36" s="104" t="s">
        <v>9</v>
      </c>
      <c r="C36" s="6" t="s">
        <v>28</v>
      </c>
      <c r="D36" s="324"/>
      <c r="E36" s="282"/>
      <c r="F36" s="71"/>
    </row>
    <row r="37" spans="2:6" ht="25.5">
      <c r="B37" s="104" t="s">
        <v>29</v>
      </c>
      <c r="C37" s="6" t="s">
        <v>30</v>
      </c>
      <c r="D37" s="324"/>
      <c r="E37" s="282"/>
      <c r="F37" s="71"/>
    </row>
    <row r="38" spans="2:6">
      <c r="B38" s="104" t="s">
        <v>31</v>
      </c>
      <c r="C38" s="6" t="s">
        <v>32</v>
      </c>
      <c r="D38" s="324"/>
      <c r="E38" s="282"/>
      <c r="F38" s="71"/>
    </row>
    <row r="39" spans="2:6">
      <c r="B39" s="105" t="s">
        <v>33</v>
      </c>
      <c r="C39" s="12" t="s">
        <v>34</v>
      </c>
      <c r="D39" s="325">
        <v>1280122.6199999964</v>
      </c>
      <c r="E39" s="282">
        <v>2665840.5499999998</v>
      </c>
      <c r="F39" s="71"/>
    </row>
    <row r="40" spans="2:6" ht="13.5" thickBot="1">
      <c r="B40" s="97" t="s">
        <v>35</v>
      </c>
      <c r="C40" s="98" t="s">
        <v>36</v>
      </c>
      <c r="D40" s="326">
        <v>1465185.37</v>
      </c>
      <c r="E40" s="279">
        <v>-96502.57</v>
      </c>
    </row>
    <row r="41" spans="2:6" ht="13.5" thickBot="1">
      <c r="B41" s="99" t="s">
        <v>37</v>
      </c>
      <c r="C41" s="100" t="s">
        <v>38</v>
      </c>
      <c r="D41" s="327">
        <v>69838570.810000002</v>
      </c>
      <c r="E41" s="148">
        <f>E26+E27+E40</f>
        <v>72599858.220000014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8.75" customHeight="1" thickBot="1">
      <c r="B44" s="354" t="s">
        <v>121</v>
      </c>
      <c r="C44" s="358"/>
      <c r="D44" s="358"/>
      <c r="E44" s="358"/>
    </row>
    <row r="45" spans="2:6" ht="13.5" thickBot="1">
      <c r="B45" s="86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210"/>
      <c r="E46" s="28"/>
    </row>
    <row r="47" spans="2:6">
      <c r="B47" s="102" t="s">
        <v>4</v>
      </c>
      <c r="C47" s="15" t="s">
        <v>40</v>
      </c>
      <c r="D47" s="200">
        <v>1448976.9515</v>
      </c>
      <c r="E47" s="73">
        <v>1496773.2821000002</v>
      </c>
    </row>
    <row r="48" spans="2:6">
      <c r="B48" s="123" t="s">
        <v>6</v>
      </c>
      <c r="C48" s="22" t="s">
        <v>41</v>
      </c>
      <c r="D48" s="200">
        <v>1496773.2821000002</v>
      </c>
      <c r="E48" s="330">
        <v>1558649.7688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02" t="s">
        <v>4</v>
      </c>
      <c r="C50" s="15" t="s">
        <v>40</v>
      </c>
      <c r="D50" s="200">
        <v>45.683038699568002</v>
      </c>
      <c r="E50" s="73">
        <v>46.659399999999998</v>
      </c>
    </row>
    <row r="51" spans="2:5">
      <c r="B51" s="102" t="s">
        <v>6</v>
      </c>
      <c r="C51" s="15" t="s">
        <v>114</v>
      </c>
      <c r="D51" s="200">
        <v>45.683</v>
      </c>
      <c r="E51" s="73">
        <v>45.153700000000001</v>
      </c>
    </row>
    <row r="52" spans="2:5">
      <c r="B52" s="102" t="s">
        <v>8</v>
      </c>
      <c r="C52" s="15" t="s">
        <v>115</v>
      </c>
      <c r="D52" s="200">
        <v>46.673400000000001</v>
      </c>
      <c r="E52" s="75">
        <v>46.864600000000003</v>
      </c>
    </row>
    <row r="53" spans="2:5" ht="13.5" customHeight="1" thickBot="1">
      <c r="B53" s="103" t="s">
        <v>9</v>
      </c>
      <c r="C53" s="17" t="s">
        <v>41</v>
      </c>
      <c r="D53" s="202">
        <v>46.659399999999998</v>
      </c>
      <c r="E53" s="333">
        <v>46.578700000000005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5.7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SUM(D59:D70)</f>
        <v>72022603.890000015</v>
      </c>
      <c r="E58" s="31">
        <f>D58/E21</f>
        <v>0.99204882290195751</v>
      </c>
    </row>
    <row r="59" spans="2:5" ht="25.5">
      <c r="B59" s="21" t="s">
        <v>4</v>
      </c>
      <c r="C59" s="22" t="s">
        <v>44</v>
      </c>
      <c r="D59" s="80">
        <v>0</v>
      </c>
      <c r="E59" s="81">
        <v>0</v>
      </c>
    </row>
    <row r="60" spans="2:5" ht="25.5">
      <c r="B60" s="14" t="s">
        <v>6</v>
      </c>
      <c r="C60" s="15" t="s">
        <v>45</v>
      </c>
      <c r="D60" s="78">
        <v>0</v>
      </c>
      <c r="E60" s="79">
        <v>0</v>
      </c>
    </row>
    <row r="61" spans="2:5" ht="12.75" customHeight="1">
      <c r="B61" s="14" t="s">
        <v>8</v>
      </c>
      <c r="C61" s="15" t="s">
        <v>46</v>
      </c>
      <c r="D61" s="78">
        <v>0</v>
      </c>
      <c r="E61" s="79">
        <v>0</v>
      </c>
    </row>
    <row r="62" spans="2:5">
      <c r="B62" s="14" t="s">
        <v>9</v>
      </c>
      <c r="C62" s="15" t="s">
        <v>47</v>
      </c>
      <c r="D62" s="78">
        <v>0</v>
      </c>
      <c r="E62" s="79">
        <v>0</v>
      </c>
    </row>
    <row r="63" spans="2:5">
      <c r="B63" s="14" t="s">
        <v>29</v>
      </c>
      <c r="C63" s="15" t="s">
        <v>48</v>
      </c>
      <c r="D63" s="78">
        <v>0</v>
      </c>
      <c r="E63" s="79">
        <v>0</v>
      </c>
    </row>
    <row r="64" spans="2:5">
      <c r="B64" s="21" t="s">
        <v>31</v>
      </c>
      <c r="C64" s="22" t="s">
        <v>49</v>
      </c>
      <c r="D64" s="234">
        <v>71741207.63000001</v>
      </c>
      <c r="E64" s="81">
        <f>D64/E21</f>
        <v>0.98817283378986742</v>
      </c>
    </row>
    <row r="65" spans="2:5">
      <c r="B65" s="21" t="s">
        <v>33</v>
      </c>
      <c r="C65" s="22" t="s">
        <v>118</v>
      </c>
      <c r="D65" s="80">
        <v>0</v>
      </c>
      <c r="E65" s="81">
        <v>0</v>
      </c>
    </row>
    <row r="66" spans="2:5">
      <c r="B66" s="21" t="s">
        <v>50</v>
      </c>
      <c r="C66" s="22" t="s">
        <v>51</v>
      </c>
      <c r="D66" s="80">
        <v>0</v>
      </c>
      <c r="E66" s="81">
        <v>0</v>
      </c>
    </row>
    <row r="67" spans="2:5">
      <c r="B67" s="14" t="s">
        <v>52</v>
      </c>
      <c r="C67" s="15" t="s">
        <v>53</v>
      </c>
      <c r="D67" s="78">
        <v>0</v>
      </c>
      <c r="E67" s="79">
        <v>0</v>
      </c>
    </row>
    <row r="68" spans="2:5">
      <c r="B68" s="14" t="s">
        <v>54</v>
      </c>
      <c r="C68" s="15" t="s">
        <v>55</v>
      </c>
      <c r="D68" s="78">
        <v>0</v>
      </c>
      <c r="E68" s="79">
        <v>0</v>
      </c>
    </row>
    <row r="69" spans="2:5">
      <c r="B69" s="14" t="s">
        <v>56</v>
      </c>
      <c r="C69" s="15" t="s">
        <v>57</v>
      </c>
      <c r="D69" s="302">
        <v>281396.26</v>
      </c>
      <c r="E69" s="79">
        <f>D69/E21</f>
        <v>3.8759891120900311E-3</v>
      </c>
    </row>
    <row r="70" spans="2:5">
      <c r="B70" s="112" t="s">
        <v>58</v>
      </c>
      <c r="C70" s="113" t="s">
        <v>59</v>
      </c>
      <c r="D70" s="114">
        <v>0</v>
      </c>
      <c r="E70" s="115">
        <v>0</v>
      </c>
    </row>
    <row r="71" spans="2:5">
      <c r="B71" s="120" t="s">
        <v>23</v>
      </c>
      <c r="C71" s="121" t="s">
        <v>61</v>
      </c>
      <c r="D71" s="122">
        <f>E13</f>
        <v>0</v>
      </c>
      <c r="E71" s="66">
        <v>0</v>
      </c>
    </row>
    <row r="72" spans="2:5">
      <c r="B72" s="116" t="s">
        <v>60</v>
      </c>
      <c r="C72" s="117" t="s">
        <v>63</v>
      </c>
      <c r="D72" s="118">
        <f>E14</f>
        <v>670926.56000000006</v>
      </c>
      <c r="E72" s="119">
        <f>D72/E21</f>
        <v>9.2414307196976228E-3</v>
      </c>
    </row>
    <row r="73" spans="2:5">
      <c r="B73" s="23" t="s">
        <v>62</v>
      </c>
      <c r="C73" s="24" t="s">
        <v>65</v>
      </c>
      <c r="D73" s="25">
        <f>E17</f>
        <v>93672.23</v>
      </c>
      <c r="E73" s="26">
        <f>D73/E21</f>
        <v>1.2902536216550752E-3</v>
      </c>
    </row>
    <row r="74" spans="2:5">
      <c r="B74" s="120" t="s">
        <v>64</v>
      </c>
      <c r="C74" s="121" t="s">
        <v>66</v>
      </c>
      <c r="D74" s="122">
        <f>D58++D71+D72-D73</f>
        <v>72599858.220000014</v>
      </c>
      <c r="E74" s="66">
        <f>E58+E72-E73</f>
        <v>1</v>
      </c>
    </row>
    <row r="75" spans="2:5">
      <c r="B75" s="14" t="s">
        <v>4</v>
      </c>
      <c r="C75" s="15" t="s">
        <v>67</v>
      </c>
      <c r="D75" s="78">
        <f>D74</f>
        <v>72599858.220000014</v>
      </c>
      <c r="E75" s="79">
        <f>E74</f>
        <v>1</v>
      </c>
    </row>
    <row r="76" spans="2:5">
      <c r="B76" s="14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6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11"/>
      <c r="E78" s="211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000000000000004" right="0.75" top="0.51" bottom="0.33" header="0.5" footer="0.5"/>
  <pageSetup paperSize="9" scale="70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2"/>
  <dimension ref="A1:G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87"/>
      <c r="C4" s="87"/>
      <c r="D4" s="87"/>
      <c r="E4" s="87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266</v>
      </c>
      <c r="C6" s="353"/>
      <c r="D6" s="353"/>
      <c r="E6" s="353"/>
    </row>
    <row r="7" spans="2:7" ht="14.25">
      <c r="B7" s="89"/>
      <c r="C7" s="89"/>
      <c r="D7" s="89"/>
      <c r="E7" s="8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88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131110.59</v>
      </c>
      <c r="E11" s="228">
        <f>SUM(E12:E14)</f>
        <v>112691.93</v>
      </c>
    </row>
    <row r="12" spans="2:7">
      <c r="B12" s="106" t="s">
        <v>4</v>
      </c>
      <c r="C12" s="6" t="s">
        <v>5</v>
      </c>
      <c r="D12" s="241">
        <v>131110.59</v>
      </c>
      <c r="E12" s="245">
        <v>112691.93</v>
      </c>
    </row>
    <row r="13" spans="2:7">
      <c r="B13" s="106" t="s">
        <v>6</v>
      </c>
      <c r="C13" s="68" t="s">
        <v>7</v>
      </c>
      <c r="D13" s="237"/>
      <c r="E13" s="246"/>
    </row>
    <row r="14" spans="2:7">
      <c r="B14" s="106" t="s">
        <v>8</v>
      </c>
      <c r="C14" s="68" t="s">
        <v>10</v>
      </c>
      <c r="D14" s="237"/>
      <c r="E14" s="246"/>
    </row>
    <row r="15" spans="2:7">
      <c r="B15" s="106" t="s">
        <v>106</v>
      </c>
      <c r="C15" s="68" t="s">
        <v>11</v>
      </c>
      <c r="D15" s="237"/>
      <c r="E15" s="246"/>
    </row>
    <row r="16" spans="2:7">
      <c r="B16" s="107" t="s">
        <v>107</v>
      </c>
      <c r="C16" s="91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06" t="s">
        <v>4</v>
      </c>
      <c r="C18" s="6" t="s">
        <v>11</v>
      </c>
      <c r="D18" s="239"/>
      <c r="E18" s="247"/>
    </row>
    <row r="19" spans="2:6" ht="15" customHeight="1">
      <c r="B19" s="106" t="s">
        <v>6</v>
      </c>
      <c r="C19" s="68" t="s">
        <v>108</v>
      </c>
      <c r="D19" s="237"/>
      <c r="E19" s="246"/>
    </row>
    <row r="20" spans="2:6" ht="13.5" thickBot="1">
      <c r="B20" s="108" t="s">
        <v>8</v>
      </c>
      <c r="C20" s="6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131110.59</v>
      </c>
      <c r="E21" s="148">
        <f>E11-E17</f>
        <v>112691.93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3"/>
      <c r="D23" s="363"/>
      <c r="E23" s="363"/>
    </row>
    <row r="24" spans="2:6" ht="15.75" customHeight="1" thickBot="1">
      <c r="B24" s="354" t="s">
        <v>105</v>
      </c>
      <c r="C24" s="364"/>
      <c r="D24" s="364"/>
      <c r="E24" s="364"/>
    </row>
    <row r="25" spans="2:6" ht="13.5" thickBot="1">
      <c r="B25" s="88"/>
      <c r="C25" s="5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121378.68</v>
      </c>
      <c r="E26" s="217">
        <f>D21</f>
        <v>131110.59</v>
      </c>
    </row>
    <row r="27" spans="2:6">
      <c r="B27" s="9" t="s">
        <v>17</v>
      </c>
      <c r="C27" s="10" t="s">
        <v>111</v>
      </c>
      <c r="D27" s="323">
        <v>-2046.67</v>
      </c>
      <c r="E27" s="274">
        <v>-1724.59</v>
      </c>
      <c r="F27" s="71"/>
    </row>
    <row r="28" spans="2:6">
      <c r="B28" s="9" t="s">
        <v>18</v>
      </c>
      <c r="C28" s="10" t="s">
        <v>19</v>
      </c>
      <c r="D28" s="323"/>
      <c r="E28" s="275"/>
      <c r="F28" s="71"/>
    </row>
    <row r="29" spans="2:6">
      <c r="B29" s="104" t="s">
        <v>4</v>
      </c>
      <c r="C29" s="6" t="s">
        <v>20</v>
      </c>
      <c r="D29" s="324"/>
      <c r="E29" s="276"/>
      <c r="F29" s="71"/>
    </row>
    <row r="30" spans="2:6">
      <c r="B30" s="104" t="s">
        <v>6</v>
      </c>
      <c r="C30" s="6" t="s">
        <v>21</v>
      </c>
      <c r="D30" s="324"/>
      <c r="E30" s="276"/>
      <c r="F30" s="71"/>
    </row>
    <row r="31" spans="2:6">
      <c r="B31" s="104" t="s">
        <v>8</v>
      </c>
      <c r="C31" s="6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2046.67</v>
      </c>
      <c r="E32" s="275">
        <v>1724.59</v>
      </c>
      <c r="F32" s="71"/>
    </row>
    <row r="33" spans="2:6">
      <c r="B33" s="104" t="s">
        <v>4</v>
      </c>
      <c r="C33" s="6" t="s">
        <v>25</v>
      </c>
      <c r="D33" s="324"/>
      <c r="E33" s="276"/>
      <c r="F33" s="71"/>
    </row>
    <row r="34" spans="2:6">
      <c r="B34" s="104" t="s">
        <v>6</v>
      </c>
      <c r="C34" s="6" t="s">
        <v>26</v>
      </c>
      <c r="D34" s="324"/>
      <c r="E34" s="276"/>
      <c r="F34" s="71"/>
    </row>
    <row r="35" spans="2:6">
      <c r="B35" s="104" t="s">
        <v>8</v>
      </c>
      <c r="C35" s="6" t="s">
        <v>27</v>
      </c>
      <c r="D35" s="324"/>
      <c r="E35" s="276"/>
      <c r="F35" s="71"/>
    </row>
    <row r="36" spans="2:6">
      <c r="B36" s="104" t="s">
        <v>9</v>
      </c>
      <c r="C36" s="6" t="s">
        <v>28</v>
      </c>
      <c r="D36" s="324"/>
      <c r="E36" s="276"/>
      <c r="F36" s="71"/>
    </row>
    <row r="37" spans="2:6" ht="25.5">
      <c r="B37" s="104" t="s">
        <v>29</v>
      </c>
      <c r="C37" s="6" t="s">
        <v>30</v>
      </c>
      <c r="D37" s="324">
        <v>2046.67</v>
      </c>
      <c r="E37" s="276">
        <v>1724.59</v>
      </c>
      <c r="F37" s="71"/>
    </row>
    <row r="38" spans="2:6">
      <c r="B38" s="104" t="s">
        <v>31</v>
      </c>
      <c r="C38" s="6" t="s">
        <v>32</v>
      </c>
      <c r="D38" s="324"/>
      <c r="E38" s="276"/>
      <c r="F38" s="71"/>
    </row>
    <row r="39" spans="2:6">
      <c r="B39" s="105" t="s">
        <v>33</v>
      </c>
      <c r="C39" s="12" t="s">
        <v>34</v>
      </c>
      <c r="D39" s="325"/>
      <c r="E39" s="277"/>
      <c r="F39" s="71"/>
    </row>
    <row r="40" spans="2:6" ht="13.5" thickBot="1">
      <c r="B40" s="97" t="s">
        <v>35</v>
      </c>
      <c r="C40" s="98" t="s">
        <v>36</v>
      </c>
      <c r="D40" s="326">
        <v>11778.58</v>
      </c>
      <c r="E40" s="279">
        <v>-16694.07</v>
      </c>
    </row>
    <row r="41" spans="2:6" ht="13.5" thickBot="1">
      <c r="B41" s="99" t="s">
        <v>37</v>
      </c>
      <c r="C41" s="100" t="s">
        <v>38</v>
      </c>
      <c r="D41" s="327">
        <v>131110.59</v>
      </c>
      <c r="E41" s="148">
        <f>E26+E27+E40</f>
        <v>112691.93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8" customHeight="1" thickBot="1">
      <c r="B44" s="354" t="s">
        <v>121</v>
      </c>
      <c r="C44" s="358"/>
      <c r="D44" s="358"/>
      <c r="E44" s="358"/>
    </row>
    <row r="45" spans="2:6" ht="13.5" thickBot="1">
      <c r="B45" s="88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1400.4694</v>
      </c>
      <c r="E47" s="73">
        <v>1378.2255</v>
      </c>
    </row>
    <row r="48" spans="2:6">
      <c r="B48" s="123" t="s">
        <v>6</v>
      </c>
      <c r="C48" s="22" t="s">
        <v>41</v>
      </c>
      <c r="D48" s="200">
        <v>1378.2255</v>
      </c>
      <c r="E48" s="288">
        <v>1358.0613000000001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02" t="s">
        <v>4</v>
      </c>
      <c r="C50" s="15" t="s">
        <v>40</v>
      </c>
      <c r="D50" s="200">
        <v>86.67</v>
      </c>
      <c r="E50" s="75">
        <v>95.13</v>
      </c>
    </row>
    <row r="51" spans="2:5">
      <c r="B51" s="102" t="s">
        <v>6</v>
      </c>
      <c r="C51" s="15" t="s">
        <v>114</v>
      </c>
      <c r="D51" s="200">
        <v>86.58</v>
      </c>
      <c r="E51" s="75">
        <v>67.849999999999994</v>
      </c>
    </row>
    <row r="52" spans="2:5">
      <c r="B52" s="102" t="s">
        <v>8</v>
      </c>
      <c r="C52" s="15" t="s">
        <v>115</v>
      </c>
      <c r="D52" s="200">
        <v>95.76</v>
      </c>
      <c r="E52" s="75">
        <v>95.54</v>
      </c>
    </row>
    <row r="53" spans="2:5" ht="12.75" customHeight="1" thickBot="1">
      <c r="B53" s="103" t="s">
        <v>9</v>
      </c>
      <c r="C53" s="17" t="s">
        <v>41</v>
      </c>
      <c r="D53" s="202">
        <v>95.13</v>
      </c>
      <c r="E53" s="292">
        <v>82.98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8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112691.93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112691.93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112691.93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112691.93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3"/>
  <dimension ref="A1:G81"/>
  <sheetViews>
    <sheetView zoomScale="80" zoomScaleNormal="80" workbookViewId="0">
      <selection activeCell="O14" sqref="O14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7"/>
      <c r="C4" s="147"/>
      <c r="D4" s="147"/>
      <c r="E4" s="147"/>
    </row>
    <row r="5" spans="2:7" ht="14.25">
      <c r="B5" s="352" t="s">
        <v>1</v>
      </c>
      <c r="C5" s="352"/>
      <c r="D5" s="352"/>
      <c r="E5" s="352"/>
    </row>
    <row r="6" spans="2:7" ht="14.25">
      <c r="B6" s="353" t="s">
        <v>267</v>
      </c>
      <c r="C6" s="353"/>
      <c r="D6" s="353"/>
      <c r="E6" s="353"/>
    </row>
    <row r="7" spans="2:7" ht="14.25">
      <c r="B7" s="150"/>
      <c r="C7" s="150"/>
      <c r="D7" s="150"/>
      <c r="E7" s="150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51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38484.19</v>
      </c>
      <c r="E11" s="228">
        <f>SUM(E12:E14)</f>
        <v>44542.09</v>
      </c>
    </row>
    <row r="12" spans="2:7">
      <c r="B12" s="106" t="s">
        <v>4</v>
      </c>
      <c r="C12" s="6" t="s">
        <v>5</v>
      </c>
      <c r="D12" s="241">
        <v>38484.19</v>
      </c>
      <c r="E12" s="245">
        <v>44542.09</v>
      </c>
    </row>
    <row r="13" spans="2:7">
      <c r="B13" s="106" t="s">
        <v>6</v>
      </c>
      <c r="C13" s="68" t="s">
        <v>7</v>
      </c>
      <c r="D13" s="237"/>
      <c r="E13" s="246"/>
    </row>
    <row r="14" spans="2:7">
      <c r="B14" s="106" t="s">
        <v>8</v>
      </c>
      <c r="C14" s="68" t="s">
        <v>10</v>
      </c>
      <c r="D14" s="237"/>
      <c r="E14" s="246"/>
    </row>
    <row r="15" spans="2:7">
      <c r="B15" s="106" t="s">
        <v>106</v>
      </c>
      <c r="C15" s="68" t="s">
        <v>11</v>
      </c>
      <c r="D15" s="237"/>
      <c r="E15" s="246"/>
    </row>
    <row r="16" spans="2:7">
      <c r="B16" s="107" t="s">
        <v>107</v>
      </c>
      <c r="C16" s="91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06" t="s">
        <v>4</v>
      </c>
      <c r="C18" s="6" t="s">
        <v>11</v>
      </c>
      <c r="D18" s="239"/>
      <c r="E18" s="247"/>
    </row>
    <row r="19" spans="2:6" ht="15" customHeight="1">
      <c r="B19" s="106" t="s">
        <v>6</v>
      </c>
      <c r="C19" s="68" t="s">
        <v>108</v>
      </c>
      <c r="D19" s="237"/>
      <c r="E19" s="246"/>
    </row>
    <row r="20" spans="2:6" ht="13.5" thickBot="1">
      <c r="B20" s="108" t="s">
        <v>8</v>
      </c>
      <c r="C20" s="6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38484.19</v>
      </c>
      <c r="E21" s="148">
        <f>E11-E17</f>
        <v>44542.09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3"/>
      <c r="D23" s="363"/>
      <c r="E23" s="363"/>
    </row>
    <row r="24" spans="2:6" ht="15.75" customHeight="1" thickBot="1">
      <c r="B24" s="354" t="s">
        <v>105</v>
      </c>
      <c r="C24" s="364"/>
      <c r="D24" s="364"/>
      <c r="E24" s="364"/>
    </row>
    <row r="25" spans="2:6" ht="13.5" thickBot="1">
      <c r="B25" s="151"/>
      <c r="C25" s="5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35242.28</v>
      </c>
      <c r="E26" s="217">
        <f>D21</f>
        <v>38484.19</v>
      </c>
    </row>
    <row r="27" spans="2:6">
      <c r="B27" s="9" t="s">
        <v>17</v>
      </c>
      <c r="C27" s="10" t="s">
        <v>111</v>
      </c>
      <c r="D27" s="323">
        <v>-689.3</v>
      </c>
      <c r="E27" s="274">
        <v>-816.56</v>
      </c>
      <c r="F27" s="71"/>
    </row>
    <row r="28" spans="2:6">
      <c r="B28" s="9" t="s">
        <v>18</v>
      </c>
      <c r="C28" s="10" t="s">
        <v>19</v>
      </c>
      <c r="D28" s="323"/>
      <c r="E28" s="275"/>
      <c r="F28" s="71"/>
    </row>
    <row r="29" spans="2:6">
      <c r="B29" s="104" t="s">
        <v>4</v>
      </c>
      <c r="C29" s="6" t="s">
        <v>20</v>
      </c>
      <c r="D29" s="324"/>
      <c r="E29" s="276"/>
      <c r="F29" s="71"/>
    </row>
    <row r="30" spans="2:6">
      <c r="B30" s="104" t="s">
        <v>6</v>
      </c>
      <c r="C30" s="6" t="s">
        <v>21</v>
      </c>
      <c r="D30" s="324"/>
      <c r="E30" s="276"/>
      <c r="F30" s="71"/>
    </row>
    <row r="31" spans="2:6">
      <c r="B31" s="104" t="s">
        <v>8</v>
      </c>
      <c r="C31" s="6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689.3</v>
      </c>
      <c r="E32" s="275">
        <v>816.56</v>
      </c>
      <c r="F32" s="71"/>
    </row>
    <row r="33" spans="2:6">
      <c r="B33" s="104" t="s">
        <v>4</v>
      </c>
      <c r="C33" s="6" t="s">
        <v>25</v>
      </c>
      <c r="D33" s="324"/>
      <c r="E33" s="276"/>
      <c r="F33" s="71"/>
    </row>
    <row r="34" spans="2:6">
      <c r="B34" s="104" t="s">
        <v>6</v>
      </c>
      <c r="C34" s="6" t="s">
        <v>26</v>
      </c>
      <c r="D34" s="324"/>
      <c r="E34" s="276"/>
      <c r="F34" s="71"/>
    </row>
    <row r="35" spans="2:6">
      <c r="B35" s="104" t="s">
        <v>8</v>
      </c>
      <c r="C35" s="6" t="s">
        <v>27</v>
      </c>
      <c r="D35" s="324">
        <v>61.3</v>
      </c>
      <c r="E35" s="276">
        <v>75.430000000000007</v>
      </c>
      <c r="F35" s="71"/>
    </row>
    <row r="36" spans="2:6">
      <c r="B36" s="104" t="s">
        <v>9</v>
      </c>
      <c r="C36" s="6" t="s">
        <v>28</v>
      </c>
      <c r="D36" s="324"/>
      <c r="E36" s="276"/>
      <c r="F36" s="71"/>
    </row>
    <row r="37" spans="2:6" ht="25.5">
      <c r="B37" s="104" t="s">
        <v>29</v>
      </c>
      <c r="C37" s="6" t="s">
        <v>30</v>
      </c>
      <c r="D37" s="324">
        <v>628</v>
      </c>
      <c r="E37" s="276">
        <v>741.13</v>
      </c>
      <c r="F37" s="71"/>
    </row>
    <row r="38" spans="2:6">
      <c r="B38" s="104" t="s">
        <v>31</v>
      </c>
      <c r="C38" s="6" t="s">
        <v>32</v>
      </c>
      <c r="D38" s="324"/>
      <c r="E38" s="276"/>
      <c r="F38" s="71"/>
    </row>
    <row r="39" spans="2:6">
      <c r="B39" s="105" t="s">
        <v>33</v>
      </c>
      <c r="C39" s="12" t="s">
        <v>34</v>
      </c>
      <c r="D39" s="325"/>
      <c r="E39" s="277"/>
      <c r="F39" s="71"/>
    </row>
    <row r="40" spans="2:6" ht="13.5" thickBot="1">
      <c r="B40" s="97" t="s">
        <v>35</v>
      </c>
      <c r="C40" s="98" t="s">
        <v>36</v>
      </c>
      <c r="D40" s="326">
        <v>3931.21</v>
      </c>
      <c r="E40" s="279">
        <v>6874.46</v>
      </c>
    </row>
    <row r="41" spans="2:6" ht="13.5" thickBot="1">
      <c r="B41" s="99" t="s">
        <v>37</v>
      </c>
      <c r="C41" s="100" t="s">
        <v>38</v>
      </c>
      <c r="D41" s="327">
        <v>38484.189999999995</v>
      </c>
      <c r="E41" s="148">
        <f>E26+E27+E40</f>
        <v>44542.090000000004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8" customHeight="1" thickBot="1">
      <c r="B44" s="354" t="s">
        <v>121</v>
      </c>
      <c r="C44" s="358"/>
      <c r="D44" s="358"/>
      <c r="E44" s="358"/>
    </row>
    <row r="45" spans="2:6" ht="13.5" thickBot="1">
      <c r="B45" s="151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399.93509999999998</v>
      </c>
      <c r="E47" s="73">
        <v>392.53559999999999</v>
      </c>
    </row>
    <row r="48" spans="2:6">
      <c r="B48" s="123" t="s">
        <v>6</v>
      </c>
      <c r="C48" s="22" t="s">
        <v>41</v>
      </c>
      <c r="D48" s="200">
        <v>392.53559999999999</v>
      </c>
      <c r="E48" s="288">
        <v>384.01659999999998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02" t="s">
        <v>4</v>
      </c>
      <c r="C50" s="15" t="s">
        <v>40</v>
      </c>
      <c r="D50" s="200">
        <v>88.12</v>
      </c>
      <c r="E50" s="75">
        <v>98.04</v>
      </c>
    </row>
    <row r="51" spans="2:5">
      <c r="B51" s="102" t="s">
        <v>6</v>
      </c>
      <c r="C51" s="15" t="s">
        <v>114</v>
      </c>
      <c r="D51" s="200">
        <v>87.19</v>
      </c>
      <c r="E51" s="75">
        <v>67.760000000000005</v>
      </c>
    </row>
    <row r="52" spans="2:5">
      <c r="B52" s="102" t="s">
        <v>8</v>
      </c>
      <c r="C52" s="15" t="s">
        <v>115</v>
      </c>
      <c r="D52" s="200">
        <v>99.11</v>
      </c>
      <c r="E52" s="75">
        <v>115.99</v>
      </c>
    </row>
    <row r="53" spans="2:5" ht="13.5" thickBot="1">
      <c r="B53" s="103" t="s">
        <v>9</v>
      </c>
      <c r="C53" s="17" t="s">
        <v>41</v>
      </c>
      <c r="D53" s="202">
        <v>98.04</v>
      </c>
      <c r="E53" s="292">
        <v>115.99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4.25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44542.09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44542.09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44542.09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44542.09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9:E9"/>
    <mergeCell ref="B2:E2"/>
    <mergeCell ref="B3:E3"/>
    <mergeCell ref="B5:E5"/>
    <mergeCell ref="B6:E6"/>
    <mergeCell ref="B8:E8"/>
    <mergeCell ref="B56:E56"/>
    <mergeCell ref="B57:C57"/>
    <mergeCell ref="B21:C21"/>
    <mergeCell ref="B23:E23"/>
    <mergeCell ref="B24:E24"/>
    <mergeCell ref="B43:E43"/>
    <mergeCell ref="B44:E44"/>
    <mergeCell ref="B55:E55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4"/>
  <dimension ref="A1:G81"/>
  <sheetViews>
    <sheetView zoomScale="80" zoomScaleNormal="80" workbookViewId="0">
      <selection activeCell="G16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7"/>
      <c r="C4" s="147"/>
      <c r="D4" s="147"/>
      <c r="E4" s="147"/>
    </row>
    <row r="5" spans="2:7" ht="14.25">
      <c r="B5" s="352" t="s">
        <v>1</v>
      </c>
      <c r="C5" s="352"/>
      <c r="D5" s="352"/>
      <c r="E5" s="352"/>
    </row>
    <row r="6" spans="2:7" ht="14.25">
      <c r="B6" s="353" t="s">
        <v>156</v>
      </c>
      <c r="C6" s="353"/>
      <c r="D6" s="353"/>
      <c r="E6" s="353"/>
    </row>
    <row r="7" spans="2:7" ht="14.25">
      <c r="B7" s="150"/>
      <c r="C7" s="150"/>
      <c r="D7" s="150"/>
      <c r="E7" s="150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51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380746.27</v>
      </c>
      <c r="E11" s="228">
        <f>SUM(E12:E14)</f>
        <v>472794.69</v>
      </c>
      <c r="F11" s="172"/>
    </row>
    <row r="12" spans="2:7">
      <c r="B12" s="173" t="s">
        <v>4</v>
      </c>
      <c r="C12" s="174" t="s">
        <v>5</v>
      </c>
      <c r="D12" s="241">
        <v>380746.27</v>
      </c>
      <c r="E12" s="245">
        <v>472794.69</v>
      </c>
      <c r="F12" s="172"/>
    </row>
    <row r="13" spans="2:7">
      <c r="B13" s="173" t="s">
        <v>6</v>
      </c>
      <c r="C13" s="175" t="s">
        <v>7</v>
      </c>
      <c r="D13" s="237"/>
      <c r="E13" s="246"/>
      <c r="F13" s="172"/>
    </row>
    <row r="14" spans="2:7">
      <c r="B14" s="173" t="s">
        <v>8</v>
      </c>
      <c r="C14" s="175" t="s">
        <v>10</v>
      </c>
      <c r="D14" s="237"/>
      <c r="E14" s="246"/>
      <c r="F14" s="172"/>
    </row>
    <row r="15" spans="2:7">
      <c r="B15" s="173" t="s">
        <v>106</v>
      </c>
      <c r="C15" s="175" t="s">
        <v>11</v>
      </c>
      <c r="D15" s="237"/>
      <c r="E15" s="246"/>
      <c r="F15" s="172"/>
    </row>
    <row r="16" spans="2:7">
      <c r="B16" s="176" t="s">
        <v>107</v>
      </c>
      <c r="C16" s="177" t="s">
        <v>12</v>
      </c>
      <c r="D16" s="239"/>
      <c r="E16" s="247"/>
      <c r="F16" s="172"/>
    </row>
    <row r="17" spans="2:6">
      <c r="B17" s="9" t="s">
        <v>13</v>
      </c>
      <c r="C17" s="11" t="s">
        <v>65</v>
      </c>
      <c r="D17" s="240"/>
      <c r="E17" s="248"/>
      <c r="F17" s="172"/>
    </row>
    <row r="18" spans="2:6">
      <c r="B18" s="173" t="s">
        <v>4</v>
      </c>
      <c r="C18" s="174" t="s">
        <v>11</v>
      </c>
      <c r="D18" s="239"/>
      <c r="E18" s="247"/>
      <c r="F18" s="172"/>
    </row>
    <row r="19" spans="2:6" ht="15" customHeight="1">
      <c r="B19" s="173" t="s">
        <v>6</v>
      </c>
      <c r="C19" s="175" t="s">
        <v>108</v>
      </c>
      <c r="D19" s="237"/>
      <c r="E19" s="246"/>
      <c r="F19" s="172"/>
    </row>
    <row r="20" spans="2:6" ht="13.5" thickBot="1">
      <c r="B20" s="178" t="s">
        <v>8</v>
      </c>
      <c r="C20" s="179" t="s">
        <v>14</v>
      </c>
      <c r="D20" s="229"/>
      <c r="E20" s="230"/>
      <c r="F20" s="172"/>
    </row>
    <row r="21" spans="2:6" ht="13.5" thickBot="1">
      <c r="B21" s="361" t="s">
        <v>110</v>
      </c>
      <c r="C21" s="362"/>
      <c r="D21" s="231">
        <v>380746.27</v>
      </c>
      <c r="E21" s="148">
        <f>E11-E17</f>
        <v>472794.69</v>
      </c>
      <c r="F21" s="152"/>
    </row>
    <row r="22" spans="2:6">
      <c r="B22" s="3"/>
      <c r="C22" s="7"/>
      <c r="D22" s="8"/>
      <c r="E22" s="8"/>
      <c r="F22" s="172"/>
    </row>
    <row r="23" spans="2:6" ht="13.5">
      <c r="B23" s="355" t="s">
        <v>104</v>
      </c>
      <c r="C23" s="367"/>
      <c r="D23" s="367"/>
      <c r="E23" s="367"/>
      <c r="F23" s="172"/>
    </row>
    <row r="24" spans="2:6" ht="15.75" customHeight="1" thickBot="1">
      <c r="B24" s="354" t="s">
        <v>105</v>
      </c>
      <c r="C24" s="368"/>
      <c r="D24" s="368"/>
      <c r="E24" s="368"/>
      <c r="F24" s="172"/>
    </row>
    <row r="25" spans="2:6" ht="13.5" thickBot="1">
      <c r="B25" s="170"/>
      <c r="C25" s="180" t="s">
        <v>2</v>
      </c>
      <c r="D25" s="70" t="s">
        <v>245</v>
      </c>
      <c r="E25" s="255" t="s">
        <v>265</v>
      </c>
      <c r="F25" s="172"/>
    </row>
    <row r="26" spans="2:6">
      <c r="B26" s="95" t="s">
        <v>15</v>
      </c>
      <c r="C26" s="96" t="s">
        <v>16</v>
      </c>
      <c r="D26" s="322">
        <v>268396.09000000003</v>
      </c>
      <c r="E26" s="217">
        <f>D21</f>
        <v>380746.27</v>
      </c>
      <c r="F26" s="172"/>
    </row>
    <row r="27" spans="2:6">
      <c r="B27" s="9" t="s">
        <v>17</v>
      </c>
      <c r="C27" s="10" t="s">
        <v>111</v>
      </c>
      <c r="D27" s="323">
        <v>52927.429999999993</v>
      </c>
      <c r="E27" s="274">
        <f>E28-E32</f>
        <v>112929.09000000003</v>
      </c>
      <c r="F27" s="152"/>
    </row>
    <row r="28" spans="2:6">
      <c r="B28" s="9" t="s">
        <v>18</v>
      </c>
      <c r="C28" s="10" t="s">
        <v>19</v>
      </c>
      <c r="D28" s="323">
        <v>258593.15</v>
      </c>
      <c r="E28" s="275">
        <v>359016.77</v>
      </c>
      <c r="F28" s="152"/>
    </row>
    <row r="29" spans="2:6">
      <c r="B29" s="181" t="s">
        <v>4</v>
      </c>
      <c r="C29" s="174" t="s">
        <v>20</v>
      </c>
      <c r="D29" s="324">
        <v>198495.94</v>
      </c>
      <c r="E29" s="276">
        <v>151503.76999999999</v>
      </c>
      <c r="F29" s="152"/>
    </row>
    <row r="30" spans="2:6">
      <c r="B30" s="181" t="s">
        <v>6</v>
      </c>
      <c r="C30" s="174" t="s">
        <v>21</v>
      </c>
      <c r="D30" s="324"/>
      <c r="E30" s="276"/>
      <c r="F30" s="152"/>
    </row>
    <row r="31" spans="2:6">
      <c r="B31" s="181" t="s">
        <v>8</v>
      </c>
      <c r="C31" s="174" t="s">
        <v>22</v>
      </c>
      <c r="D31" s="324">
        <v>60097.21</v>
      </c>
      <c r="E31" s="276">
        <v>207513</v>
      </c>
      <c r="F31" s="152"/>
    </row>
    <row r="32" spans="2:6">
      <c r="B32" s="92" t="s">
        <v>23</v>
      </c>
      <c r="C32" s="11" t="s">
        <v>24</v>
      </c>
      <c r="D32" s="323">
        <v>205665.72</v>
      </c>
      <c r="E32" s="275">
        <f>SUM(E33:E39)</f>
        <v>246087.67999999999</v>
      </c>
      <c r="F32" s="152"/>
    </row>
    <row r="33" spans="2:6">
      <c r="B33" s="181" t="s">
        <v>4</v>
      </c>
      <c r="C33" s="174" t="s">
        <v>25</v>
      </c>
      <c r="D33" s="324">
        <v>47285.98</v>
      </c>
      <c r="E33" s="276">
        <f>67256.89+5095.65</f>
        <v>72352.539999999994</v>
      </c>
      <c r="F33" s="152"/>
    </row>
    <row r="34" spans="2:6">
      <c r="B34" s="181" t="s">
        <v>6</v>
      </c>
      <c r="C34" s="174" t="s">
        <v>26</v>
      </c>
      <c r="D34" s="324"/>
      <c r="E34" s="276"/>
      <c r="F34" s="152"/>
    </row>
    <row r="35" spans="2:6">
      <c r="B35" s="181" t="s">
        <v>8</v>
      </c>
      <c r="C35" s="174" t="s">
        <v>27</v>
      </c>
      <c r="D35" s="324">
        <v>12198.35</v>
      </c>
      <c r="E35" s="276">
        <v>12732.39</v>
      </c>
      <c r="F35" s="152"/>
    </row>
    <row r="36" spans="2:6">
      <c r="B36" s="181" t="s">
        <v>9</v>
      </c>
      <c r="C36" s="174" t="s">
        <v>28</v>
      </c>
      <c r="D36" s="324"/>
      <c r="E36" s="276"/>
      <c r="F36" s="152"/>
    </row>
    <row r="37" spans="2:6" ht="25.5">
      <c r="B37" s="181" t="s">
        <v>29</v>
      </c>
      <c r="C37" s="174" t="s">
        <v>30</v>
      </c>
      <c r="D37" s="324">
        <v>2308.1999999999998</v>
      </c>
      <c r="E37" s="276">
        <v>2979.63</v>
      </c>
      <c r="F37" s="152"/>
    </row>
    <row r="38" spans="2:6">
      <c r="B38" s="181" t="s">
        <v>31</v>
      </c>
      <c r="C38" s="174" t="s">
        <v>32</v>
      </c>
      <c r="D38" s="324"/>
      <c r="E38" s="276"/>
      <c r="F38" s="152"/>
    </row>
    <row r="39" spans="2:6">
      <c r="B39" s="182" t="s">
        <v>33</v>
      </c>
      <c r="C39" s="183" t="s">
        <v>34</v>
      </c>
      <c r="D39" s="325">
        <v>143873.19</v>
      </c>
      <c r="E39" s="277">
        <v>158023.12</v>
      </c>
      <c r="F39" s="152"/>
    </row>
    <row r="40" spans="2:6" ht="13.5" thickBot="1">
      <c r="B40" s="97" t="s">
        <v>35</v>
      </c>
      <c r="C40" s="98" t="s">
        <v>36</v>
      </c>
      <c r="D40" s="326">
        <v>59422.75</v>
      </c>
      <c r="E40" s="279">
        <v>-20880.669999999998</v>
      </c>
      <c r="F40" s="172"/>
    </row>
    <row r="41" spans="2:6" ht="13.5" thickBot="1">
      <c r="B41" s="99" t="s">
        <v>37</v>
      </c>
      <c r="C41" s="100" t="s">
        <v>38</v>
      </c>
      <c r="D41" s="327">
        <v>380746.27</v>
      </c>
      <c r="E41" s="148">
        <f>E26+E27+E40</f>
        <v>472794.69000000006</v>
      </c>
      <c r="F41" s="152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8" customHeight="1" thickBot="1">
      <c r="B44" s="354" t="s">
        <v>121</v>
      </c>
      <c r="C44" s="358"/>
      <c r="D44" s="358"/>
      <c r="E44" s="358"/>
    </row>
    <row r="45" spans="2:6" ht="13.5" thickBot="1">
      <c r="B45" s="151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2482.39077</v>
      </c>
      <c r="E47" s="73">
        <v>2915.3618999999999</v>
      </c>
    </row>
    <row r="48" spans="2:6">
      <c r="B48" s="123" t="s">
        <v>6</v>
      </c>
      <c r="C48" s="22" t="s">
        <v>41</v>
      </c>
      <c r="D48" s="200">
        <v>2915.3618999999999</v>
      </c>
      <c r="E48" s="288">
        <v>3559.1289999999999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02" t="s">
        <v>4</v>
      </c>
      <c r="C50" s="15" t="s">
        <v>40</v>
      </c>
      <c r="D50" s="200">
        <v>108.12</v>
      </c>
      <c r="E50" s="75">
        <v>130.6</v>
      </c>
    </row>
    <row r="51" spans="2:5">
      <c r="B51" s="102" t="s">
        <v>6</v>
      </c>
      <c r="C51" s="15" t="s">
        <v>114</v>
      </c>
      <c r="D51" s="200">
        <v>108.05</v>
      </c>
      <c r="E51" s="75">
        <v>105.5</v>
      </c>
    </row>
    <row r="52" spans="2:5">
      <c r="B52" s="102" t="s">
        <v>8</v>
      </c>
      <c r="C52" s="15" t="s">
        <v>115</v>
      </c>
      <c r="D52" s="200">
        <v>131.15</v>
      </c>
      <c r="E52" s="75">
        <v>138.91</v>
      </c>
    </row>
    <row r="53" spans="2:5" ht="13.5" thickBot="1">
      <c r="B53" s="103" t="s">
        <v>9</v>
      </c>
      <c r="C53" s="17" t="s">
        <v>41</v>
      </c>
      <c r="D53" s="202">
        <v>130.6</v>
      </c>
      <c r="E53" s="292">
        <v>132.84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4.25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472794.69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E12</f>
        <v>472794.69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f>E17</f>
        <v>0</v>
      </c>
      <c r="E73" s="26">
        <f>D73/E21</f>
        <v>0</v>
      </c>
    </row>
    <row r="74" spans="2:5">
      <c r="B74" s="130" t="s">
        <v>64</v>
      </c>
      <c r="C74" s="121" t="s">
        <v>66</v>
      </c>
      <c r="D74" s="122">
        <f>D58-D73</f>
        <v>472794.69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472794.69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9:E9"/>
    <mergeCell ref="B2:E2"/>
    <mergeCell ref="B3:E3"/>
    <mergeCell ref="B5:E5"/>
    <mergeCell ref="B6:E6"/>
    <mergeCell ref="B8:E8"/>
    <mergeCell ref="B56:E56"/>
    <mergeCell ref="B57:C57"/>
    <mergeCell ref="B21:C21"/>
    <mergeCell ref="B23:E23"/>
    <mergeCell ref="B24:E24"/>
    <mergeCell ref="B43:E43"/>
    <mergeCell ref="B44:E44"/>
    <mergeCell ref="B55:E55"/>
  </mergeCells>
  <pageMargins left="0.7" right="0.7" top="0.75" bottom="0.75" header="0.3" footer="0.3"/>
  <pageSetup paperSize="9" orientation="portrait" horizontalDpi="90" verticalDpi="9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5"/>
  <dimension ref="A1:F81"/>
  <sheetViews>
    <sheetView zoomScale="80" zoomScaleNormal="80" workbookViewId="0">
      <selection activeCell="G13" sqref="G1:L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1" t="s">
        <v>0</v>
      </c>
      <c r="C2" s="351"/>
      <c r="D2" s="351"/>
      <c r="E2" s="351"/>
    </row>
    <row r="3" spans="2:5" ht="15.75">
      <c r="B3" s="351" t="s">
        <v>271</v>
      </c>
      <c r="C3" s="351"/>
      <c r="D3" s="351"/>
      <c r="E3" s="351"/>
    </row>
    <row r="4" spans="2:5" ht="15">
      <c r="B4" s="147"/>
      <c r="C4" s="147"/>
      <c r="D4" s="147"/>
      <c r="E4" s="147"/>
    </row>
    <row r="5" spans="2:5" ht="14.25">
      <c r="B5" s="352" t="s">
        <v>1</v>
      </c>
      <c r="C5" s="352"/>
      <c r="D5" s="352"/>
      <c r="E5" s="352"/>
    </row>
    <row r="6" spans="2:5" ht="14.25">
      <c r="B6" s="353" t="s">
        <v>157</v>
      </c>
      <c r="C6" s="353"/>
      <c r="D6" s="353"/>
      <c r="E6" s="353"/>
    </row>
    <row r="7" spans="2:5" ht="14.25">
      <c r="B7" s="164"/>
      <c r="C7" s="164"/>
      <c r="D7" s="164"/>
      <c r="E7" s="164"/>
    </row>
    <row r="8" spans="2:5" ht="13.5">
      <c r="B8" s="355" t="s">
        <v>18</v>
      </c>
      <c r="C8" s="357"/>
      <c r="D8" s="357"/>
      <c r="E8" s="357"/>
    </row>
    <row r="9" spans="2:5" ht="16.5" thickBot="1">
      <c r="B9" s="354" t="s">
        <v>103</v>
      </c>
      <c r="C9" s="354"/>
      <c r="D9" s="354"/>
      <c r="E9" s="354"/>
    </row>
    <row r="10" spans="2:5" ht="13.5" thickBot="1">
      <c r="B10" s="165"/>
      <c r="C10" s="76" t="s">
        <v>2</v>
      </c>
      <c r="D10" s="70" t="s">
        <v>245</v>
      </c>
      <c r="E10" s="255" t="s">
        <v>265</v>
      </c>
    </row>
    <row r="11" spans="2:5">
      <c r="B11" s="90" t="s">
        <v>3</v>
      </c>
      <c r="C11" s="128" t="s">
        <v>109</v>
      </c>
      <c r="D11" s="227">
        <v>157183.93</v>
      </c>
      <c r="E11" s="228">
        <f>SUM(E12:E14)</f>
        <v>220086.21</v>
      </c>
    </row>
    <row r="12" spans="2:5">
      <c r="B12" s="106" t="s">
        <v>4</v>
      </c>
      <c r="C12" s="6" t="s">
        <v>5</v>
      </c>
      <c r="D12" s="241">
        <v>157183.93</v>
      </c>
      <c r="E12" s="245">
        <v>220086.21</v>
      </c>
    </row>
    <row r="13" spans="2:5">
      <c r="B13" s="106" t="s">
        <v>6</v>
      </c>
      <c r="C13" s="68" t="s">
        <v>7</v>
      </c>
      <c r="D13" s="237"/>
      <c r="E13" s="246"/>
    </row>
    <row r="14" spans="2:5">
      <c r="B14" s="106" t="s">
        <v>8</v>
      </c>
      <c r="C14" s="68" t="s">
        <v>10</v>
      </c>
      <c r="D14" s="237"/>
      <c r="E14" s="246"/>
    </row>
    <row r="15" spans="2:5">
      <c r="B15" s="106" t="s">
        <v>106</v>
      </c>
      <c r="C15" s="68" t="s">
        <v>11</v>
      </c>
      <c r="D15" s="237"/>
      <c r="E15" s="246"/>
    </row>
    <row r="16" spans="2:5">
      <c r="B16" s="107" t="s">
        <v>107</v>
      </c>
      <c r="C16" s="91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06" t="s">
        <v>4</v>
      </c>
      <c r="C18" s="6" t="s">
        <v>11</v>
      </c>
      <c r="D18" s="239"/>
      <c r="E18" s="247"/>
    </row>
    <row r="19" spans="2:6" ht="15" customHeight="1">
      <c r="B19" s="106" t="s">
        <v>6</v>
      </c>
      <c r="C19" s="68" t="s">
        <v>108</v>
      </c>
      <c r="D19" s="237"/>
      <c r="E19" s="246"/>
    </row>
    <row r="20" spans="2:6" ht="13.5" thickBot="1">
      <c r="B20" s="108" t="s">
        <v>8</v>
      </c>
      <c r="C20" s="6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157183.93</v>
      </c>
      <c r="E21" s="148">
        <f>E11-E17</f>
        <v>220086.21</v>
      </c>
      <c r="F21" s="77"/>
    </row>
    <row r="22" spans="2:6">
      <c r="B22" s="3"/>
      <c r="C22" s="7"/>
      <c r="D22" s="215"/>
      <c r="E22" s="215"/>
    </row>
    <row r="23" spans="2:6" ht="13.5">
      <c r="B23" s="355" t="s">
        <v>104</v>
      </c>
      <c r="C23" s="363"/>
      <c r="D23" s="363"/>
      <c r="E23" s="363"/>
    </row>
    <row r="24" spans="2:6" ht="15.75" customHeight="1" thickBot="1">
      <c r="B24" s="354" t="s">
        <v>105</v>
      </c>
      <c r="C24" s="364"/>
      <c r="D24" s="364"/>
      <c r="E24" s="364"/>
    </row>
    <row r="25" spans="2:6" ht="13.5" thickBot="1">
      <c r="B25" s="165"/>
      <c r="C25" s="5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116465.2</v>
      </c>
      <c r="E26" s="217">
        <f>D21</f>
        <v>157183.93</v>
      </c>
    </row>
    <row r="27" spans="2:6">
      <c r="B27" s="9" t="s">
        <v>17</v>
      </c>
      <c r="C27" s="10" t="s">
        <v>111</v>
      </c>
      <c r="D27" s="323">
        <v>29152.620000000006</v>
      </c>
      <c r="E27" s="274">
        <f>E28-E32</f>
        <v>59346.330000000009</v>
      </c>
      <c r="F27" s="71"/>
    </row>
    <row r="28" spans="2:6">
      <c r="B28" s="9" t="s">
        <v>18</v>
      </c>
      <c r="C28" s="10" t="s">
        <v>19</v>
      </c>
      <c r="D28" s="323">
        <v>51845.850000000006</v>
      </c>
      <c r="E28" s="275">
        <v>92240.48000000001</v>
      </c>
      <c r="F28" s="71"/>
    </row>
    <row r="29" spans="2:6">
      <c r="B29" s="104" t="s">
        <v>4</v>
      </c>
      <c r="C29" s="6" t="s">
        <v>20</v>
      </c>
      <c r="D29" s="324">
        <v>44467.94</v>
      </c>
      <c r="E29" s="276">
        <v>73906.080000000002</v>
      </c>
      <c r="F29" s="71"/>
    </row>
    <row r="30" spans="2:6">
      <c r="B30" s="104" t="s">
        <v>6</v>
      </c>
      <c r="C30" s="6" t="s">
        <v>21</v>
      </c>
      <c r="D30" s="324"/>
      <c r="E30" s="276"/>
      <c r="F30" s="71"/>
    </row>
    <row r="31" spans="2:6">
      <c r="B31" s="104" t="s">
        <v>8</v>
      </c>
      <c r="C31" s="6" t="s">
        <v>22</v>
      </c>
      <c r="D31" s="324">
        <v>7377.91</v>
      </c>
      <c r="E31" s="276">
        <v>18334.400000000001</v>
      </c>
      <c r="F31" s="71"/>
    </row>
    <row r="32" spans="2:6">
      <c r="B32" s="92" t="s">
        <v>23</v>
      </c>
      <c r="C32" s="11" t="s">
        <v>24</v>
      </c>
      <c r="D32" s="323">
        <v>22693.23</v>
      </c>
      <c r="E32" s="275">
        <f>SUM(E33:E39)</f>
        <v>32894.15</v>
      </c>
      <c r="F32" s="71"/>
    </row>
    <row r="33" spans="2:6">
      <c r="B33" s="104" t="s">
        <v>4</v>
      </c>
      <c r="C33" s="6" t="s">
        <v>25</v>
      </c>
      <c r="D33" s="324">
        <v>11023.82</v>
      </c>
      <c r="E33" s="276">
        <f>6782.08+2335.88</f>
        <v>9117.9599999999991</v>
      </c>
      <c r="F33" s="71"/>
    </row>
    <row r="34" spans="2:6">
      <c r="B34" s="104" t="s">
        <v>6</v>
      </c>
      <c r="C34" s="6" t="s">
        <v>26</v>
      </c>
      <c r="D34" s="324"/>
      <c r="E34" s="276"/>
      <c r="F34" s="71"/>
    </row>
    <row r="35" spans="2:6">
      <c r="B35" s="104" t="s">
        <v>8</v>
      </c>
      <c r="C35" s="6" t="s">
        <v>27</v>
      </c>
      <c r="D35" s="324">
        <v>4614.16</v>
      </c>
      <c r="E35" s="276">
        <v>5245.77</v>
      </c>
      <c r="F35" s="71"/>
    </row>
    <row r="36" spans="2:6">
      <c r="B36" s="104" t="s">
        <v>9</v>
      </c>
      <c r="C36" s="6" t="s">
        <v>28</v>
      </c>
      <c r="D36" s="324"/>
      <c r="E36" s="276"/>
      <c r="F36" s="71"/>
    </row>
    <row r="37" spans="2:6" ht="25.5">
      <c r="B37" s="104" t="s">
        <v>29</v>
      </c>
      <c r="C37" s="6" t="s">
        <v>30</v>
      </c>
      <c r="D37" s="324">
        <v>947.87</v>
      </c>
      <c r="E37" s="276">
        <v>1280.3599999999999</v>
      </c>
      <c r="F37" s="71"/>
    </row>
    <row r="38" spans="2:6">
      <c r="B38" s="104" t="s">
        <v>31</v>
      </c>
      <c r="C38" s="6" t="s">
        <v>32</v>
      </c>
      <c r="D38" s="324"/>
      <c r="E38" s="276"/>
      <c r="F38" s="71"/>
    </row>
    <row r="39" spans="2:6">
      <c r="B39" s="105" t="s">
        <v>33</v>
      </c>
      <c r="C39" s="12" t="s">
        <v>34</v>
      </c>
      <c r="D39" s="325">
        <v>6107.38</v>
      </c>
      <c r="E39" s="277">
        <v>17250.060000000001</v>
      </c>
      <c r="F39" s="71"/>
    </row>
    <row r="40" spans="2:6" ht="13.5" thickBot="1">
      <c r="B40" s="97" t="s">
        <v>35</v>
      </c>
      <c r="C40" s="98" t="s">
        <v>36</v>
      </c>
      <c r="D40" s="326">
        <v>11566.11</v>
      </c>
      <c r="E40" s="279">
        <v>3555.95</v>
      </c>
    </row>
    <row r="41" spans="2:6" ht="13.5" thickBot="1">
      <c r="B41" s="99" t="s">
        <v>37</v>
      </c>
      <c r="C41" s="100" t="s">
        <v>38</v>
      </c>
      <c r="D41" s="327">
        <v>157183.93</v>
      </c>
      <c r="E41" s="148">
        <f>E26+E27+E40</f>
        <v>220086.21000000002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8" customHeight="1" thickBot="1">
      <c r="B44" s="354" t="s">
        <v>121</v>
      </c>
      <c r="C44" s="358"/>
      <c r="D44" s="358"/>
      <c r="E44" s="358"/>
    </row>
    <row r="45" spans="2:6" ht="13.5" thickBot="1">
      <c r="B45" s="165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1128.1015</v>
      </c>
      <c r="E47" s="73">
        <v>1394.8346999999999</v>
      </c>
    </row>
    <row r="48" spans="2:6">
      <c r="B48" s="123" t="s">
        <v>6</v>
      </c>
      <c r="C48" s="22" t="s">
        <v>41</v>
      </c>
      <c r="D48" s="200">
        <v>1394.8346999999999</v>
      </c>
      <c r="E48" s="288">
        <v>1914.2925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02" t="s">
        <v>4</v>
      </c>
      <c r="C50" s="15" t="s">
        <v>40</v>
      </c>
      <c r="D50" s="200">
        <v>103.24</v>
      </c>
      <c r="E50" s="75">
        <v>112.69</v>
      </c>
    </row>
    <row r="51" spans="2:5">
      <c r="B51" s="102" t="s">
        <v>6</v>
      </c>
      <c r="C51" s="15" t="s">
        <v>114</v>
      </c>
      <c r="D51" s="200">
        <v>103.17</v>
      </c>
      <c r="E51" s="75">
        <v>105.16</v>
      </c>
    </row>
    <row r="52" spans="2:5">
      <c r="B52" s="102" t="s">
        <v>8</v>
      </c>
      <c r="C52" s="15" t="s">
        <v>115</v>
      </c>
      <c r="D52" s="200">
        <v>113.27</v>
      </c>
      <c r="E52" s="75">
        <v>116.52</v>
      </c>
    </row>
    <row r="53" spans="2:5" ht="13.5" thickBot="1">
      <c r="B53" s="103" t="s">
        <v>9</v>
      </c>
      <c r="C53" s="17" t="s">
        <v>41</v>
      </c>
      <c r="D53" s="202">
        <v>112.69</v>
      </c>
      <c r="E53" s="292">
        <v>114.97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4.25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220086.21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220086.21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220086.21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220086.21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6:E56"/>
    <mergeCell ref="B57:C57"/>
    <mergeCell ref="B21:C21"/>
    <mergeCell ref="B23:E23"/>
    <mergeCell ref="B24:E24"/>
    <mergeCell ref="B43:E43"/>
    <mergeCell ref="B44:E44"/>
    <mergeCell ref="B55:E55"/>
    <mergeCell ref="B9:E9"/>
    <mergeCell ref="B2:E2"/>
    <mergeCell ref="B3:E3"/>
    <mergeCell ref="B5:E5"/>
    <mergeCell ref="B6:E6"/>
    <mergeCell ref="B8:E8"/>
  </mergeCells>
  <pageMargins left="0.7" right="0.7" top="0.75" bottom="0.75" header="0.3" footer="0.3"/>
  <pageSetup paperSize="9" orientation="portrait" horizontalDpi="90" verticalDpi="9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6"/>
  <dimension ref="A1:G81"/>
  <sheetViews>
    <sheetView zoomScale="80" zoomScaleNormal="80" workbookViewId="0">
      <selection activeCell="E41" sqref="E41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7"/>
      <c r="C4" s="147"/>
      <c r="D4" s="147"/>
      <c r="E4" s="147"/>
    </row>
    <row r="5" spans="2:7" ht="14.25">
      <c r="B5" s="352" t="s">
        <v>1</v>
      </c>
      <c r="C5" s="352"/>
      <c r="D5" s="352"/>
      <c r="E5" s="352"/>
    </row>
    <row r="6" spans="2:7" ht="14.25">
      <c r="B6" s="353" t="s">
        <v>158</v>
      </c>
      <c r="C6" s="353"/>
      <c r="D6" s="353"/>
      <c r="E6" s="353"/>
    </row>
    <row r="7" spans="2:7" ht="14.25">
      <c r="B7" s="164"/>
      <c r="C7" s="164"/>
      <c r="D7" s="164"/>
      <c r="E7" s="164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65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467420.08</v>
      </c>
      <c r="E11" s="228">
        <f>SUM(E12:E14)</f>
        <v>523121.02999999997</v>
      </c>
    </row>
    <row r="12" spans="2:7">
      <c r="B12" s="106" t="s">
        <v>4</v>
      </c>
      <c r="C12" s="6" t="s">
        <v>5</v>
      </c>
      <c r="D12" s="241">
        <v>467420.08</v>
      </c>
      <c r="E12" s="245">
        <v>523121.02999999997</v>
      </c>
    </row>
    <row r="13" spans="2:7">
      <c r="B13" s="106" t="s">
        <v>6</v>
      </c>
      <c r="C13" s="68" t="s">
        <v>7</v>
      </c>
      <c r="D13" s="237"/>
      <c r="E13" s="246"/>
    </row>
    <row r="14" spans="2:7">
      <c r="B14" s="106" t="s">
        <v>8</v>
      </c>
      <c r="C14" s="68" t="s">
        <v>10</v>
      </c>
      <c r="D14" s="237"/>
      <c r="E14" s="246"/>
    </row>
    <row r="15" spans="2:7">
      <c r="B15" s="106" t="s">
        <v>106</v>
      </c>
      <c r="C15" s="68" t="s">
        <v>11</v>
      </c>
      <c r="D15" s="237"/>
      <c r="E15" s="246"/>
    </row>
    <row r="16" spans="2:7">
      <c r="B16" s="107" t="s">
        <v>107</v>
      </c>
      <c r="C16" s="91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06" t="s">
        <v>4</v>
      </c>
      <c r="C18" s="6" t="s">
        <v>11</v>
      </c>
      <c r="D18" s="239"/>
      <c r="E18" s="247"/>
    </row>
    <row r="19" spans="2:6" ht="15" customHeight="1">
      <c r="B19" s="106" t="s">
        <v>6</v>
      </c>
      <c r="C19" s="68" t="s">
        <v>108</v>
      </c>
      <c r="D19" s="237"/>
      <c r="E19" s="246"/>
    </row>
    <row r="20" spans="2:6" ht="13.5" thickBot="1">
      <c r="B20" s="108" t="s">
        <v>8</v>
      </c>
      <c r="C20" s="6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467420.08</v>
      </c>
      <c r="E21" s="148">
        <f>E11-E17</f>
        <v>523121.02999999997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3"/>
      <c r="D23" s="363"/>
      <c r="E23" s="363"/>
    </row>
    <row r="24" spans="2:6" ht="15.75" customHeight="1" thickBot="1">
      <c r="B24" s="354" t="s">
        <v>105</v>
      </c>
      <c r="C24" s="364"/>
      <c r="D24" s="364"/>
      <c r="E24" s="364"/>
    </row>
    <row r="25" spans="2:6" ht="13.5" thickBot="1">
      <c r="B25" s="165"/>
      <c r="C25" s="5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321448.88</v>
      </c>
      <c r="E26" s="217">
        <f>D21</f>
        <v>467420.08</v>
      </c>
    </row>
    <row r="27" spans="2:6">
      <c r="B27" s="9" t="s">
        <v>17</v>
      </c>
      <c r="C27" s="10" t="s">
        <v>111</v>
      </c>
      <c r="D27" s="323">
        <v>91218.25</v>
      </c>
      <c r="E27" s="274">
        <f>E28-E32</f>
        <v>49247.659999999996</v>
      </c>
      <c r="F27" s="71"/>
    </row>
    <row r="28" spans="2:6">
      <c r="B28" s="9" t="s">
        <v>18</v>
      </c>
      <c r="C28" s="10" t="s">
        <v>19</v>
      </c>
      <c r="D28" s="323">
        <v>178756.47</v>
      </c>
      <c r="E28" s="275">
        <v>95240.47</v>
      </c>
      <c r="F28" s="71"/>
    </row>
    <row r="29" spans="2:6">
      <c r="B29" s="104" t="s">
        <v>4</v>
      </c>
      <c r="C29" s="6" t="s">
        <v>20</v>
      </c>
      <c r="D29" s="324">
        <v>120026.49</v>
      </c>
      <c r="E29" s="276">
        <v>93251.66</v>
      </c>
      <c r="F29" s="71"/>
    </row>
    <row r="30" spans="2:6">
      <c r="B30" s="104" t="s">
        <v>6</v>
      </c>
      <c r="C30" s="6" t="s">
        <v>21</v>
      </c>
      <c r="D30" s="324"/>
      <c r="E30" s="276"/>
      <c r="F30" s="71"/>
    </row>
    <row r="31" spans="2:6">
      <c r="B31" s="104" t="s">
        <v>8</v>
      </c>
      <c r="C31" s="6" t="s">
        <v>22</v>
      </c>
      <c r="D31" s="324">
        <v>58729.98</v>
      </c>
      <c r="E31" s="276">
        <v>1988.81</v>
      </c>
      <c r="F31" s="71"/>
    </row>
    <row r="32" spans="2:6">
      <c r="B32" s="92" t="s">
        <v>23</v>
      </c>
      <c r="C32" s="11" t="s">
        <v>24</v>
      </c>
      <c r="D32" s="323">
        <v>87538.22</v>
      </c>
      <c r="E32" s="275">
        <f>SUM(E33:E39)</f>
        <v>45992.810000000005</v>
      </c>
      <c r="F32" s="71"/>
    </row>
    <row r="33" spans="2:6">
      <c r="B33" s="104" t="s">
        <v>4</v>
      </c>
      <c r="C33" s="6" t="s">
        <v>25</v>
      </c>
      <c r="D33" s="324">
        <v>17857.510000000002</v>
      </c>
      <c r="E33" s="276">
        <f>20075.13-916.42</f>
        <v>19158.710000000003</v>
      </c>
      <c r="F33" s="71"/>
    </row>
    <row r="34" spans="2:6">
      <c r="B34" s="104" t="s">
        <v>6</v>
      </c>
      <c r="C34" s="6" t="s">
        <v>26</v>
      </c>
      <c r="D34" s="324"/>
      <c r="E34" s="276"/>
      <c r="F34" s="71"/>
    </row>
    <row r="35" spans="2:6">
      <c r="B35" s="104" t="s">
        <v>8</v>
      </c>
      <c r="C35" s="6" t="s">
        <v>27</v>
      </c>
      <c r="D35" s="324">
        <v>7971.44</v>
      </c>
      <c r="E35" s="276">
        <v>8283.0400000000009</v>
      </c>
      <c r="F35" s="71"/>
    </row>
    <row r="36" spans="2:6">
      <c r="B36" s="104" t="s">
        <v>9</v>
      </c>
      <c r="C36" s="6" t="s">
        <v>28</v>
      </c>
      <c r="D36" s="324"/>
      <c r="E36" s="276"/>
      <c r="F36" s="71"/>
    </row>
    <row r="37" spans="2:6" ht="25.5">
      <c r="B37" s="104" t="s">
        <v>29</v>
      </c>
      <c r="C37" s="6" t="s">
        <v>30</v>
      </c>
      <c r="D37" s="324">
        <v>2791.89</v>
      </c>
      <c r="E37" s="276">
        <v>3310.2</v>
      </c>
      <c r="F37" s="71"/>
    </row>
    <row r="38" spans="2:6">
      <c r="B38" s="104" t="s">
        <v>31</v>
      </c>
      <c r="C38" s="6" t="s">
        <v>32</v>
      </c>
      <c r="D38" s="324"/>
      <c r="E38" s="276"/>
      <c r="F38" s="71"/>
    </row>
    <row r="39" spans="2:6">
      <c r="B39" s="105" t="s">
        <v>33</v>
      </c>
      <c r="C39" s="12" t="s">
        <v>34</v>
      </c>
      <c r="D39" s="325">
        <v>58917.38</v>
      </c>
      <c r="E39" s="277">
        <v>15240.86</v>
      </c>
      <c r="F39" s="71"/>
    </row>
    <row r="40" spans="2:6" ht="13.5" thickBot="1">
      <c r="B40" s="97" t="s">
        <v>35</v>
      </c>
      <c r="C40" s="98" t="s">
        <v>36</v>
      </c>
      <c r="D40" s="326">
        <v>54752.95</v>
      </c>
      <c r="E40" s="279">
        <v>6453.29</v>
      </c>
    </row>
    <row r="41" spans="2:6" ht="13.5" thickBot="1">
      <c r="B41" s="99" t="s">
        <v>37</v>
      </c>
      <c r="C41" s="100" t="s">
        <v>38</v>
      </c>
      <c r="D41" s="327">
        <v>467420.08</v>
      </c>
      <c r="E41" s="148">
        <f>E26+E27+E40</f>
        <v>523121.02999999997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8" customHeight="1" thickBot="1">
      <c r="B44" s="354" t="s">
        <v>121</v>
      </c>
      <c r="C44" s="358"/>
      <c r="D44" s="358"/>
      <c r="E44" s="358"/>
    </row>
    <row r="45" spans="2:6" ht="13.5" thickBot="1">
      <c r="B45" s="165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3067.2602999999999</v>
      </c>
      <c r="E47" s="73">
        <v>3865.5316000000003</v>
      </c>
    </row>
    <row r="48" spans="2:6">
      <c r="B48" s="123" t="s">
        <v>6</v>
      </c>
      <c r="C48" s="22" t="s">
        <v>41</v>
      </c>
      <c r="D48" s="200">
        <v>3865.5316000000003</v>
      </c>
      <c r="E48" s="288">
        <v>4285.7695000000003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02" t="s">
        <v>4</v>
      </c>
      <c r="C50" s="15" t="s">
        <v>40</v>
      </c>
      <c r="D50" s="200">
        <v>104.8</v>
      </c>
      <c r="E50" s="233">
        <v>120.92</v>
      </c>
    </row>
    <row r="51" spans="2:5">
      <c r="B51" s="102" t="s">
        <v>6</v>
      </c>
      <c r="C51" s="15" t="s">
        <v>114</v>
      </c>
      <c r="D51" s="200">
        <v>104.8</v>
      </c>
      <c r="E51" s="294">
        <v>104.91</v>
      </c>
    </row>
    <row r="52" spans="2:5">
      <c r="B52" s="102" t="s">
        <v>8</v>
      </c>
      <c r="C52" s="15" t="s">
        <v>115</v>
      </c>
      <c r="D52" s="200">
        <v>121.36</v>
      </c>
      <c r="E52" s="294">
        <v>127.19</v>
      </c>
    </row>
    <row r="53" spans="2:5" ht="13.5" thickBot="1">
      <c r="B53" s="103" t="s">
        <v>9</v>
      </c>
      <c r="C53" s="17" t="s">
        <v>41</v>
      </c>
      <c r="D53" s="202">
        <v>120.92</v>
      </c>
      <c r="E53" s="292">
        <v>122.06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4.25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523121.02999999997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523121.02999999997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523121.02999999997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523121.02999999997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6:E56"/>
    <mergeCell ref="B57:C57"/>
    <mergeCell ref="B21:C21"/>
    <mergeCell ref="B23:E23"/>
    <mergeCell ref="B24:E24"/>
    <mergeCell ref="B43:E43"/>
    <mergeCell ref="B44:E44"/>
    <mergeCell ref="B55:E55"/>
    <mergeCell ref="B9:E9"/>
    <mergeCell ref="B2:E2"/>
    <mergeCell ref="B3:E3"/>
    <mergeCell ref="B5:E5"/>
    <mergeCell ref="B6:E6"/>
    <mergeCell ref="B8:E8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7"/>
  <dimension ref="A1:G81"/>
  <sheetViews>
    <sheetView zoomScale="80" zoomScaleNormal="80" workbookViewId="0">
      <selection activeCell="M34" sqref="M34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7"/>
      <c r="C4" s="147"/>
      <c r="D4" s="147"/>
      <c r="E4" s="147"/>
    </row>
    <row r="5" spans="2:7" ht="14.25">
      <c r="B5" s="352" t="s">
        <v>1</v>
      </c>
      <c r="C5" s="352"/>
      <c r="D5" s="352"/>
      <c r="E5" s="352"/>
    </row>
    <row r="6" spans="2:7" ht="14.25">
      <c r="B6" s="353" t="s">
        <v>159</v>
      </c>
      <c r="C6" s="353"/>
      <c r="D6" s="353"/>
      <c r="E6" s="353"/>
    </row>
    <row r="7" spans="2:7" ht="14.25">
      <c r="B7" s="150"/>
      <c r="C7" s="150"/>
      <c r="D7" s="150"/>
      <c r="E7" s="150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51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19504.82</v>
      </c>
      <c r="E11" s="228">
        <f>SUM(E12:E14)</f>
        <v>20249.240000000002</v>
      </c>
    </row>
    <row r="12" spans="2:7">
      <c r="B12" s="106" t="s">
        <v>4</v>
      </c>
      <c r="C12" s="6" t="s">
        <v>5</v>
      </c>
      <c r="D12" s="241">
        <v>19504.82</v>
      </c>
      <c r="E12" s="245">
        <v>20249.240000000002</v>
      </c>
    </row>
    <row r="13" spans="2:7">
      <c r="B13" s="106" t="s">
        <v>6</v>
      </c>
      <c r="C13" s="68" t="s">
        <v>7</v>
      </c>
      <c r="D13" s="237"/>
      <c r="E13" s="246"/>
    </row>
    <row r="14" spans="2:7">
      <c r="B14" s="106" t="s">
        <v>8</v>
      </c>
      <c r="C14" s="68" t="s">
        <v>10</v>
      </c>
      <c r="D14" s="237"/>
      <c r="E14" s="246"/>
    </row>
    <row r="15" spans="2:7">
      <c r="B15" s="106" t="s">
        <v>106</v>
      </c>
      <c r="C15" s="68" t="s">
        <v>11</v>
      </c>
      <c r="D15" s="237"/>
      <c r="E15" s="246"/>
    </row>
    <row r="16" spans="2:7">
      <c r="B16" s="107" t="s">
        <v>107</v>
      </c>
      <c r="C16" s="91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06" t="s">
        <v>4</v>
      </c>
      <c r="C18" s="6" t="s">
        <v>11</v>
      </c>
      <c r="D18" s="239"/>
      <c r="E18" s="247"/>
    </row>
    <row r="19" spans="2:6" ht="15" customHeight="1">
      <c r="B19" s="106" t="s">
        <v>6</v>
      </c>
      <c r="C19" s="68" t="s">
        <v>108</v>
      </c>
      <c r="D19" s="237"/>
      <c r="E19" s="246"/>
    </row>
    <row r="20" spans="2:6" ht="13.5" thickBot="1">
      <c r="B20" s="108" t="s">
        <v>8</v>
      </c>
      <c r="C20" s="6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19504.82</v>
      </c>
      <c r="E21" s="148">
        <f>E11-E17</f>
        <v>20249.240000000002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3"/>
      <c r="D23" s="363"/>
      <c r="E23" s="363"/>
    </row>
    <row r="24" spans="2:6" ht="15.75" customHeight="1" thickBot="1">
      <c r="B24" s="354" t="s">
        <v>105</v>
      </c>
      <c r="C24" s="364"/>
      <c r="D24" s="364"/>
      <c r="E24" s="364"/>
    </row>
    <row r="25" spans="2:6" ht="13.5" thickBot="1">
      <c r="B25" s="151"/>
      <c r="C25" s="5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18463.740000000002</v>
      </c>
      <c r="E26" s="217">
        <f>D21</f>
        <v>19504.82</v>
      </c>
    </row>
    <row r="27" spans="2:6">
      <c r="B27" s="9" t="s">
        <v>17</v>
      </c>
      <c r="C27" s="10" t="s">
        <v>111</v>
      </c>
      <c r="D27" s="323">
        <v>-488.79</v>
      </c>
      <c r="E27" s="274">
        <v>-397.52</v>
      </c>
      <c r="F27" s="71"/>
    </row>
    <row r="28" spans="2:6">
      <c r="B28" s="9" t="s">
        <v>18</v>
      </c>
      <c r="C28" s="10" t="s">
        <v>19</v>
      </c>
      <c r="D28" s="323"/>
      <c r="E28" s="275"/>
      <c r="F28" s="71"/>
    </row>
    <row r="29" spans="2:6">
      <c r="B29" s="104" t="s">
        <v>4</v>
      </c>
      <c r="C29" s="6" t="s">
        <v>20</v>
      </c>
      <c r="D29" s="324"/>
      <c r="E29" s="276"/>
      <c r="F29" s="71"/>
    </row>
    <row r="30" spans="2:6">
      <c r="B30" s="104" t="s">
        <v>6</v>
      </c>
      <c r="C30" s="6" t="s">
        <v>21</v>
      </c>
      <c r="D30" s="324"/>
      <c r="E30" s="276"/>
      <c r="F30" s="71"/>
    </row>
    <row r="31" spans="2:6">
      <c r="B31" s="104" t="s">
        <v>8</v>
      </c>
      <c r="C31" s="6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488.79</v>
      </c>
      <c r="E32" s="275">
        <v>397.52</v>
      </c>
      <c r="F32" s="71"/>
    </row>
    <row r="33" spans="2:6">
      <c r="B33" s="104" t="s">
        <v>4</v>
      </c>
      <c r="C33" s="6" t="s">
        <v>25</v>
      </c>
      <c r="D33" s="324"/>
      <c r="E33" s="276"/>
      <c r="F33" s="71"/>
    </row>
    <row r="34" spans="2:6">
      <c r="B34" s="104" t="s">
        <v>6</v>
      </c>
      <c r="C34" s="6" t="s">
        <v>26</v>
      </c>
      <c r="D34" s="324"/>
      <c r="E34" s="276"/>
      <c r="F34" s="71"/>
    </row>
    <row r="35" spans="2:6">
      <c r="B35" s="104" t="s">
        <v>8</v>
      </c>
      <c r="C35" s="6" t="s">
        <v>27</v>
      </c>
      <c r="D35" s="324">
        <v>134.47</v>
      </c>
      <c r="E35" s="276">
        <v>115.8</v>
      </c>
      <c r="F35" s="71"/>
    </row>
    <row r="36" spans="2:6">
      <c r="B36" s="104" t="s">
        <v>9</v>
      </c>
      <c r="C36" s="6" t="s">
        <v>28</v>
      </c>
      <c r="D36" s="324"/>
      <c r="E36" s="276"/>
      <c r="F36" s="71"/>
    </row>
    <row r="37" spans="2:6" ht="25.5">
      <c r="B37" s="104" t="s">
        <v>29</v>
      </c>
      <c r="C37" s="6" t="s">
        <v>30</v>
      </c>
      <c r="D37" s="324">
        <v>354.32</v>
      </c>
      <c r="E37" s="276">
        <v>281.72000000000003</v>
      </c>
      <c r="F37" s="71"/>
    </row>
    <row r="38" spans="2:6">
      <c r="B38" s="104" t="s">
        <v>31</v>
      </c>
      <c r="C38" s="6" t="s">
        <v>32</v>
      </c>
      <c r="D38" s="324"/>
      <c r="E38" s="276"/>
      <c r="F38" s="71"/>
    </row>
    <row r="39" spans="2:6">
      <c r="B39" s="105" t="s">
        <v>33</v>
      </c>
      <c r="C39" s="12" t="s">
        <v>34</v>
      </c>
      <c r="D39" s="325"/>
      <c r="E39" s="277"/>
      <c r="F39" s="71"/>
    </row>
    <row r="40" spans="2:6" ht="13.5" thickBot="1">
      <c r="B40" s="97" t="s">
        <v>35</v>
      </c>
      <c r="C40" s="98" t="s">
        <v>36</v>
      </c>
      <c r="D40" s="326">
        <v>1529.87</v>
      </c>
      <c r="E40" s="279">
        <v>1141.94</v>
      </c>
    </row>
    <row r="41" spans="2:6" ht="13.5" thickBot="1">
      <c r="B41" s="99" t="s">
        <v>37</v>
      </c>
      <c r="C41" s="100" t="s">
        <v>38</v>
      </c>
      <c r="D41" s="327">
        <v>19504.82</v>
      </c>
      <c r="E41" s="148">
        <f>E26+E27+E40</f>
        <v>20249.239999999998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8" customHeight="1" thickBot="1">
      <c r="B44" s="354" t="s">
        <v>121</v>
      </c>
      <c r="C44" s="358"/>
      <c r="D44" s="358"/>
      <c r="E44" s="358"/>
    </row>
    <row r="45" spans="2:6" ht="13.5" thickBot="1">
      <c r="B45" s="151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172.73589999999999</v>
      </c>
      <c r="E47" s="73">
        <v>168.39179999999999</v>
      </c>
    </row>
    <row r="48" spans="2:6">
      <c r="B48" s="123" t="s">
        <v>6</v>
      </c>
      <c r="C48" s="22" t="s">
        <v>41</v>
      </c>
      <c r="D48" s="200">
        <v>168.39179999999999</v>
      </c>
      <c r="E48" s="288">
        <v>164.7217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02" t="s">
        <v>4</v>
      </c>
      <c r="C50" s="15" t="s">
        <v>40</v>
      </c>
      <c r="D50" s="200">
        <v>106.89</v>
      </c>
      <c r="E50" s="75">
        <v>115.83</v>
      </c>
    </row>
    <row r="51" spans="2:5">
      <c r="B51" s="102" t="s">
        <v>6</v>
      </c>
      <c r="C51" s="15" t="s">
        <v>114</v>
      </c>
      <c r="D51" s="200">
        <v>106.89</v>
      </c>
      <c r="E51" s="75">
        <v>99.08</v>
      </c>
    </row>
    <row r="52" spans="2:5">
      <c r="B52" s="102" t="s">
        <v>8</v>
      </c>
      <c r="C52" s="15" t="s">
        <v>115</v>
      </c>
      <c r="D52" s="200">
        <v>115.86</v>
      </c>
      <c r="E52" s="75">
        <v>122.93</v>
      </c>
    </row>
    <row r="53" spans="2:5" ht="13.5" thickBot="1">
      <c r="B53" s="103" t="s">
        <v>9</v>
      </c>
      <c r="C53" s="17" t="s">
        <v>41</v>
      </c>
      <c r="D53" s="202">
        <v>115.83</v>
      </c>
      <c r="E53" s="292">
        <v>122.93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4.25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20249.240000000002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20249.240000000002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20249.240000000002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20249.240000000002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9:E9"/>
    <mergeCell ref="B2:E2"/>
    <mergeCell ref="B3:E3"/>
    <mergeCell ref="B5:E5"/>
    <mergeCell ref="B6:E6"/>
    <mergeCell ref="B8:E8"/>
    <mergeCell ref="B56:E56"/>
    <mergeCell ref="B57:C57"/>
    <mergeCell ref="B21:C21"/>
    <mergeCell ref="B23:E23"/>
    <mergeCell ref="B24:E24"/>
    <mergeCell ref="B43:E43"/>
    <mergeCell ref="B44:E44"/>
    <mergeCell ref="B55:E55"/>
  </mergeCells>
  <pageMargins left="0.7" right="0.7" top="0.75" bottom="0.75" header="0.3" footer="0.3"/>
  <pageSetup paperSize="9" orientation="portrait" horizontalDpi="90" verticalDpi="9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zoomScale="80" zoomScaleNormal="80" workbookViewId="0">
      <selection activeCell="K40" sqref="K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7"/>
      <c r="C4" s="147"/>
      <c r="D4" s="147"/>
      <c r="E4" s="147"/>
    </row>
    <row r="5" spans="2:7" ht="14.25">
      <c r="B5" s="352" t="s">
        <v>1</v>
      </c>
      <c r="C5" s="352"/>
      <c r="D5" s="352"/>
      <c r="E5" s="352"/>
    </row>
    <row r="6" spans="2:7" ht="14.25">
      <c r="B6" s="353" t="s">
        <v>160</v>
      </c>
      <c r="C6" s="353"/>
      <c r="D6" s="353"/>
      <c r="E6" s="353"/>
    </row>
    <row r="7" spans="2:7" ht="14.25">
      <c r="B7" s="251"/>
      <c r="C7" s="251"/>
      <c r="D7" s="251"/>
      <c r="E7" s="251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252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93" t="s">
        <v>109</v>
      </c>
      <c r="D11" s="227"/>
      <c r="E11" s="228"/>
    </row>
    <row r="12" spans="2:7">
      <c r="B12" s="106" t="s">
        <v>4</v>
      </c>
      <c r="C12" s="194" t="s">
        <v>5</v>
      </c>
      <c r="D12" s="241"/>
      <c r="E12" s="245"/>
    </row>
    <row r="13" spans="2:7">
      <c r="B13" s="106" t="s">
        <v>6</v>
      </c>
      <c r="C13" s="194" t="s">
        <v>7</v>
      </c>
      <c r="D13" s="237"/>
      <c r="E13" s="246"/>
    </row>
    <row r="14" spans="2:7">
      <c r="B14" s="106" t="s">
        <v>8</v>
      </c>
      <c r="C14" s="194" t="s">
        <v>10</v>
      </c>
      <c r="D14" s="237"/>
      <c r="E14" s="246"/>
    </row>
    <row r="15" spans="2:7">
      <c r="B15" s="106" t="s">
        <v>106</v>
      </c>
      <c r="C15" s="194" t="s">
        <v>11</v>
      </c>
      <c r="D15" s="237"/>
      <c r="E15" s="246"/>
    </row>
    <row r="16" spans="2:7">
      <c r="B16" s="107" t="s">
        <v>107</v>
      </c>
      <c r="C16" s="195" t="s">
        <v>12</v>
      </c>
      <c r="D16" s="239"/>
      <c r="E16" s="247"/>
    </row>
    <row r="17" spans="2:6">
      <c r="B17" s="9" t="s">
        <v>13</v>
      </c>
      <c r="C17" s="196" t="s">
        <v>65</v>
      </c>
      <c r="D17" s="240"/>
      <c r="E17" s="248"/>
    </row>
    <row r="18" spans="2:6">
      <c r="B18" s="106" t="s">
        <v>4</v>
      </c>
      <c r="C18" s="194" t="s">
        <v>11</v>
      </c>
      <c r="D18" s="239"/>
      <c r="E18" s="247"/>
    </row>
    <row r="19" spans="2:6" ht="15" customHeight="1">
      <c r="B19" s="106" t="s">
        <v>6</v>
      </c>
      <c r="C19" s="194" t="s">
        <v>108</v>
      </c>
      <c r="D19" s="237"/>
      <c r="E19" s="246"/>
    </row>
    <row r="20" spans="2:6" ht="13.5" thickBot="1">
      <c r="B20" s="108" t="s">
        <v>8</v>
      </c>
      <c r="C20" s="69" t="s">
        <v>14</v>
      </c>
      <c r="D20" s="229"/>
      <c r="E20" s="230"/>
    </row>
    <row r="21" spans="2:6" ht="13.5" thickBot="1">
      <c r="B21" s="361" t="s">
        <v>110</v>
      </c>
      <c r="C21" s="362"/>
      <c r="D21" s="231"/>
      <c r="E21" s="148"/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3"/>
      <c r="D23" s="363"/>
      <c r="E23" s="363"/>
    </row>
    <row r="24" spans="2:6" ht="15.75" customHeight="1" thickBot="1">
      <c r="B24" s="354" t="s">
        <v>105</v>
      </c>
      <c r="C24" s="364"/>
      <c r="D24" s="364"/>
      <c r="E24" s="364"/>
    </row>
    <row r="25" spans="2:6" ht="13.5" thickBot="1">
      <c r="B25" s="252"/>
      <c r="C25" s="5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3734.46</v>
      </c>
      <c r="E26" s="217"/>
    </row>
    <row r="27" spans="2:6">
      <c r="B27" s="9" t="s">
        <v>17</v>
      </c>
      <c r="C27" s="10" t="s">
        <v>111</v>
      </c>
      <c r="D27" s="323">
        <v>-3912.35</v>
      </c>
      <c r="E27" s="274"/>
      <c r="F27" s="71"/>
    </row>
    <row r="28" spans="2:6">
      <c r="B28" s="9" t="s">
        <v>18</v>
      </c>
      <c r="C28" s="10" t="s">
        <v>19</v>
      </c>
      <c r="D28" s="323"/>
      <c r="E28" s="275"/>
      <c r="F28" s="71"/>
    </row>
    <row r="29" spans="2:6">
      <c r="B29" s="104" t="s">
        <v>4</v>
      </c>
      <c r="C29" s="6" t="s">
        <v>20</v>
      </c>
      <c r="D29" s="324"/>
      <c r="E29" s="276"/>
      <c r="F29" s="71"/>
    </row>
    <row r="30" spans="2:6">
      <c r="B30" s="104" t="s">
        <v>6</v>
      </c>
      <c r="C30" s="6" t="s">
        <v>21</v>
      </c>
      <c r="D30" s="324"/>
      <c r="E30" s="276"/>
      <c r="F30" s="71"/>
    </row>
    <row r="31" spans="2:6">
      <c r="B31" s="104" t="s">
        <v>8</v>
      </c>
      <c r="C31" s="6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3912.35</v>
      </c>
      <c r="E32" s="275"/>
      <c r="F32" s="71"/>
    </row>
    <row r="33" spans="2:6">
      <c r="B33" s="104" t="s">
        <v>4</v>
      </c>
      <c r="C33" s="6" t="s">
        <v>25</v>
      </c>
      <c r="D33" s="324">
        <v>3850</v>
      </c>
      <c r="E33" s="276"/>
      <c r="F33" s="71"/>
    </row>
    <row r="34" spans="2:6">
      <c r="B34" s="104" t="s">
        <v>6</v>
      </c>
      <c r="C34" s="6" t="s">
        <v>26</v>
      </c>
      <c r="D34" s="324"/>
      <c r="E34" s="276"/>
      <c r="F34" s="71"/>
    </row>
    <row r="35" spans="2:6">
      <c r="B35" s="104" t="s">
        <v>8</v>
      </c>
      <c r="C35" s="6" t="s">
        <v>27</v>
      </c>
      <c r="D35" s="324">
        <v>9.84</v>
      </c>
      <c r="E35" s="276"/>
      <c r="F35" s="71"/>
    </row>
    <row r="36" spans="2:6">
      <c r="B36" s="104" t="s">
        <v>9</v>
      </c>
      <c r="C36" s="6" t="s">
        <v>28</v>
      </c>
      <c r="D36" s="324"/>
      <c r="E36" s="276"/>
      <c r="F36" s="71"/>
    </row>
    <row r="37" spans="2:6" ht="25.5">
      <c r="B37" s="104" t="s">
        <v>29</v>
      </c>
      <c r="C37" s="6" t="s">
        <v>30</v>
      </c>
      <c r="D37" s="324">
        <v>52.51</v>
      </c>
      <c r="E37" s="276"/>
      <c r="F37" s="71"/>
    </row>
    <row r="38" spans="2:6">
      <c r="B38" s="104" t="s">
        <v>31</v>
      </c>
      <c r="C38" s="6" t="s">
        <v>32</v>
      </c>
      <c r="D38" s="324"/>
      <c r="E38" s="276"/>
      <c r="F38" s="71"/>
    </row>
    <row r="39" spans="2:6">
      <c r="B39" s="105" t="s">
        <v>33</v>
      </c>
      <c r="C39" s="12" t="s">
        <v>34</v>
      </c>
      <c r="D39" s="325"/>
      <c r="E39" s="277"/>
      <c r="F39" s="71"/>
    </row>
    <row r="40" spans="2:6" ht="13.5" thickBot="1">
      <c r="B40" s="97" t="s">
        <v>35</v>
      </c>
      <c r="C40" s="98" t="s">
        <v>36</v>
      </c>
      <c r="D40" s="326">
        <v>177.89</v>
      </c>
      <c r="E40" s="279"/>
    </row>
    <row r="41" spans="2:6" ht="13.5" thickBot="1">
      <c r="B41" s="99" t="s">
        <v>37</v>
      </c>
      <c r="C41" s="100" t="s">
        <v>38</v>
      </c>
      <c r="D41" s="327">
        <v>0</v>
      </c>
      <c r="E41" s="261"/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8" customHeight="1" thickBot="1">
      <c r="B44" s="354" t="s">
        <v>121</v>
      </c>
      <c r="C44" s="358"/>
      <c r="D44" s="358"/>
      <c r="E44" s="358"/>
    </row>
    <row r="45" spans="2:6" ht="13.5" thickBot="1">
      <c r="B45" s="252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35.647799999999997</v>
      </c>
      <c r="E47" s="73"/>
    </row>
    <row r="48" spans="2:6">
      <c r="B48" s="123" t="s">
        <v>6</v>
      </c>
      <c r="C48" s="22" t="s">
        <v>41</v>
      </c>
      <c r="D48" s="200"/>
      <c r="E48" s="288"/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02" t="s">
        <v>4</v>
      </c>
      <c r="C50" s="15" t="s">
        <v>40</v>
      </c>
      <c r="D50" s="200">
        <v>104.76</v>
      </c>
      <c r="E50" s="75"/>
    </row>
    <row r="51" spans="2:5">
      <c r="B51" s="102" t="s">
        <v>6</v>
      </c>
      <c r="C51" s="15" t="s">
        <v>114</v>
      </c>
      <c r="D51" s="200">
        <v>104.76</v>
      </c>
      <c r="E51" s="75"/>
    </row>
    <row r="52" spans="2:5">
      <c r="B52" s="102" t="s">
        <v>8</v>
      </c>
      <c r="C52" s="15" t="s">
        <v>115</v>
      </c>
      <c r="D52" s="200">
        <v>110.9</v>
      </c>
      <c r="E52" s="75"/>
    </row>
    <row r="53" spans="2:5" ht="13.5" thickBot="1">
      <c r="B53" s="103" t="s">
        <v>9</v>
      </c>
      <c r="C53" s="17" t="s">
        <v>41</v>
      </c>
      <c r="D53" s="202"/>
      <c r="E53" s="292"/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4.25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0</v>
      </c>
      <c r="E58" s="31">
        <v>0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0</v>
      </c>
      <c r="E64" s="81">
        <v>0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0</v>
      </c>
      <c r="E74" s="66">
        <f>E58+E72-E73</f>
        <v>0</v>
      </c>
    </row>
    <row r="75" spans="2:5">
      <c r="B75" s="102" t="s">
        <v>4</v>
      </c>
      <c r="C75" s="15" t="s">
        <v>67</v>
      </c>
      <c r="D75" s="78">
        <f>D74</f>
        <v>0</v>
      </c>
      <c r="E75" s="79">
        <f>E74</f>
        <v>0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9:E9"/>
    <mergeCell ref="B2:E2"/>
    <mergeCell ref="B3:E3"/>
    <mergeCell ref="B5:E5"/>
    <mergeCell ref="B6:E6"/>
    <mergeCell ref="B8:E8"/>
    <mergeCell ref="B56:E56"/>
    <mergeCell ref="B57:C57"/>
    <mergeCell ref="B21:C21"/>
    <mergeCell ref="B23:E23"/>
    <mergeCell ref="B24:E24"/>
    <mergeCell ref="B43:E43"/>
    <mergeCell ref="B44:E44"/>
    <mergeCell ref="B55:E55"/>
  </mergeCells>
  <pageMargins left="0.7" right="0.7" top="0.75" bottom="0.75" header="0.3" footer="0.3"/>
  <pageSetup paperSize="9" orientation="portrait" horizontalDpi="90" verticalDpi="9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9"/>
  <dimension ref="A1:G81"/>
  <sheetViews>
    <sheetView zoomScale="80" zoomScaleNormal="80" workbookViewId="0">
      <selection activeCell="D28" sqref="D28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87"/>
      <c r="C4" s="87"/>
      <c r="D4" s="87"/>
      <c r="E4" s="87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161</v>
      </c>
      <c r="C6" s="353"/>
      <c r="D6" s="353"/>
      <c r="E6" s="353"/>
    </row>
    <row r="7" spans="2:7" ht="14.25">
      <c r="B7" s="89"/>
      <c r="C7" s="89"/>
      <c r="D7" s="89"/>
      <c r="E7" s="8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88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/>
      <c r="E11" s="228"/>
    </row>
    <row r="12" spans="2:7">
      <c r="B12" s="106" t="s">
        <v>4</v>
      </c>
      <c r="C12" s="6" t="s">
        <v>5</v>
      </c>
      <c r="D12" s="241"/>
      <c r="E12" s="245"/>
    </row>
    <row r="13" spans="2:7">
      <c r="B13" s="106" t="s">
        <v>6</v>
      </c>
      <c r="C13" s="68" t="s">
        <v>7</v>
      </c>
      <c r="D13" s="237"/>
      <c r="E13" s="246"/>
    </row>
    <row r="14" spans="2:7">
      <c r="B14" s="106" t="s">
        <v>8</v>
      </c>
      <c r="C14" s="68" t="s">
        <v>10</v>
      </c>
      <c r="D14" s="237"/>
      <c r="E14" s="246"/>
    </row>
    <row r="15" spans="2:7">
      <c r="B15" s="106" t="s">
        <v>106</v>
      </c>
      <c r="C15" s="68" t="s">
        <v>11</v>
      </c>
      <c r="D15" s="237"/>
      <c r="E15" s="246"/>
    </row>
    <row r="16" spans="2:7">
      <c r="B16" s="107" t="s">
        <v>107</v>
      </c>
      <c r="C16" s="91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06" t="s">
        <v>4</v>
      </c>
      <c r="C18" s="6" t="s">
        <v>11</v>
      </c>
      <c r="D18" s="239"/>
      <c r="E18" s="247"/>
    </row>
    <row r="19" spans="2:6" ht="15" customHeight="1">
      <c r="B19" s="106" t="s">
        <v>6</v>
      </c>
      <c r="C19" s="68" t="s">
        <v>108</v>
      </c>
      <c r="D19" s="237"/>
      <c r="E19" s="246"/>
    </row>
    <row r="20" spans="2:6" ht="13.5" thickBot="1">
      <c r="B20" s="108" t="s">
        <v>8</v>
      </c>
      <c r="C20" s="69" t="s">
        <v>14</v>
      </c>
      <c r="D20" s="229"/>
      <c r="E20" s="230"/>
    </row>
    <row r="21" spans="2:6" ht="13.5" thickBot="1">
      <c r="B21" s="361" t="s">
        <v>110</v>
      </c>
      <c r="C21" s="362"/>
      <c r="D21" s="231"/>
      <c r="E21" s="148"/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3"/>
      <c r="D23" s="363"/>
      <c r="E23" s="363"/>
    </row>
    <row r="24" spans="2:6" ht="15.75" customHeight="1" thickBot="1">
      <c r="B24" s="354" t="s">
        <v>105</v>
      </c>
      <c r="C24" s="364"/>
      <c r="D24" s="364"/>
      <c r="E24" s="364"/>
    </row>
    <row r="25" spans="2:6" ht="13.5" thickBot="1">
      <c r="B25" s="88"/>
      <c r="C25" s="5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13171.68</v>
      </c>
      <c r="E26" s="217"/>
    </row>
    <row r="27" spans="2:6">
      <c r="B27" s="9" t="s">
        <v>17</v>
      </c>
      <c r="C27" s="10" t="s">
        <v>111</v>
      </c>
      <c r="D27" s="323">
        <v>-13024.19</v>
      </c>
      <c r="E27" s="274"/>
      <c r="F27" s="71"/>
    </row>
    <row r="28" spans="2:6">
      <c r="B28" s="9" t="s">
        <v>18</v>
      </c>
      <c r="C28" s="10" t="s">
        <v>19</v>
      </c>
      <c r="D28" s="323"/>
      <c r="E28" s="275"/>
      <c r="F28" s="71"/>
    </row>
    <row r="29" spans="2:6">
      <c r="B29" s="104" t="s">
        <v>4</v>
      </c>
      <c r="C29" s="6" t="s">
        <v>20</v>
      </c>
      <c r="D29" s="324"/>
      <c r="E29" s="276"/>
      <c r="F29" s="71"/>
    </row>
    <row r="30" spans="2:6">
      <c r="B30" s="104" t="s">
        <v>6</v>
      </c>
      <c r="C30" s="6" t="s">
        <v>21</v>
      </c>
      <c r="D30" s="324"/>
      <c r="E30" s="276"/>
      <c r="F30" s="71"/>
    </row>
    <row r="31" spans="2:6">
      <c r="B31" s="104" t="s">
        <v>8</v>
      </c>
      <c r="C31" s="6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13024.19</v>
      </c>
      <c r="E32" s="275"/>
      <c r="F32" s="71"/>
    </row>
    <row r="33" spans="2:6">
      <c r="B33" s="104" t="s">
        <v>4</v>
      </c>
      <c r="C33" s="6" t="s">
        <v>25</v>
      </c>
      <c r="D33" s="324">
        <v>12885.67</v>
      </c>
      <c r="E33" s="276"/>
      <c r="F33" s="71"/>
    </row>
    <row r="34" spans="2:6">
      <c r="B34" s="104" t="s">
        <v>6</v>
      </c>
      <c r="C34" s="6" t="s">
        <v>26</v>
      </c>
      <c r="D34" s="324"/>
      <c r="E34" s="276"/>
      <c r="F34" s="71"/>
    </row>
    <row r="35" spans="2:6">
      <c r="B35" s="104" t="s">
        <v>8</v>
      </c>
      <c r="C35" s="6" t="s">
        <v>27</v>
      </c>
      <c r="D35" s="324">
        <v>11.59</v>
      </c>
      <c r="E35" s="276"/>
      <c r="F35" s="71"/>
    </row>
    <row r="36" spans="2:6">
      <c r="B36" s="104" t="s">
        <v>9</v>
      </c>
      <c r="C36" s="6" t="s">
        <v>28</v>
      </c>
      <c r="D36" s="324"/>
      <c r="E36" s="276"/>
      <c r="F36" s="71"/>
    </row>
    <row r="37" spans="2:6" ht="25.5">
      <c r="B37" s="104" t="s">
        <v>29</v>
      </c>
      <c r="C37" s="6" t="s">
        <v>30</v>
      </c>
      <c r="D37" s="324">
        <v>126.93</v>
      </c>
      <c r="E37" s="276"/>
      <c r="F37" s="71"/>
    </row>
    <row r="38" spans="2:6">
      <c r="B38" s="104" t="s">
        <v>31</v>
      </c>
      <c r="C38" s="6" t="s">
        <v>32</v>
      </c>
      <c r="D38" s="324"/>
      <c r="E38" s="276"/>
      <c r="F38" s="71"/>
    </row>
    <row r="39" spans="2:6">
      <c r="B39" s="105" t="s">
        <v>33</v>
      </c>
      <c r="C39" s="12" t="s">
        <v>34</v>
      </c>
      <c r="D39" s="325"/>
      <c r="E39" s="277"/>
      <c r="F39" s="71"/>
    </row>
    <row r="40" spans="2:6" ht="13.5" thickBot="1">
      <c r="B40" s="97" t="s">
        <v>35</v>
      </c>
      <c r="C40" s="98" t="s">
        <v>36</v>
      </c>
      <c r="D40" s="326">
        <v>-147.49</v>
      </c>
      <c r="E40" s="279"/>
    </row>
    <row r="41" spans="2:6" ht="13.5" thickBot="1">
      <c r="B41" s="99" t="s">
        <v>37</v>
      </c>
      <c r="C41" s="100" t="s">
        <v>38</v>
      </c>
      <c r="D41" s="327" t="s">
        <v>123</v>
      </c>
      <c r="E41" s="261"/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8" customHeight="1" thickBot="1">
      <c r="B44" s="354" t="s">
        <v>121</v>
      </c>
      <c r="C44" s="358"/>
      <c r="D44" s="358"/>
      <c r="E44" s="358"/>
    </row>
    <row r="45" spans="2:6" ht="13.5" thickBot="1">
      <c r="B45" s="88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108.992</v>
      </c>
      <c r="E47" s="149"/>
    </row>
    <row r="48" spans="2:6">
      <c r="B48" s="123" t="s">
        <v>6</v>
      </c>
      <c r="C48" s="22" t="s">
        <v>41</v>
      </c>
      <c r="D48" s="200"/>
      <c r="E48" s="285"/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02" t="s">
        <v>4</v>
      </c>
      <c r="C50" s="15" t="s">
        <v>40</v>
      </c>
      <c r="D50" s="200">
        <v>120.85</v>
      </c>
      <c r="E50" s="149"/>
    </row>
    <row r="51" spans="2:5">
      <c r="B51" s="102" t="s">
        <v>6</v>
      </c>
      <c r="C51" s="15" t="s">
        <v>114</v>
      </c>
      <c r="D51" s="200">
        <v>117.39</v>
      </c>
      <c r="E51" s="75"/>
    </row>
    <row r="52" spans="2:5">
      <c r="B52" s="102" t="s">
        <v>8</v>
      </c>
      <c r="C52" s="15" t="s">
        <v>115</v>
      </c>
      <c r="D52" s="200">
        <v>120.85</v>
      </c>
      <c r="E52" s="75"/>
    </row>
    <row r="53" spans="2:5" ht="12.75" customHeight="1" thickBot="1">
      <c r="B53" s="103" t="s">
        <v>9</v>
      </c>
      <c r="C53" s="17" t="s">
        <v>41</v>
      </c>
      <c r="D53" s="202"/>
      <c r="E53" s="292"/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6.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0</v>
      </c>
      <c r="E58" s="31">
        <v>0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0</v>
      </c>
      <c r="E64" s="81">
        <v>0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0</v>
      </c>
      <c r="E74" s="66">
        <f>E58+E72-E73</f>
        <v>0</v>
      </c>
    </row>
    <row r="75" spans="2:5">
      <c r="B75" s="102" t="s">
        <v>4</v>
      </c>
      <c r="C75" s="15" t="s">
        <v>67</v>
      </c>
      <c r="D75" s="78">
        <f>D74</f>
        <v>0</v>
      </c>
      <c r="E75" s="79">
        <f>E74</f>
        <v>0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1">
    <pageSetUpPr fitToPage="1"/>
  </sheetPr>
  <dimension ref="A1:G81"/>
  <sheetViews>
    <sheetView zoomScale="80" zoomScaleNormal="80" workbookViewId="0">
      <selection activeCell="G16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87"/>
      <c r="C4" s="87"/>
      <c r="D4" s="87"/>
      <c r="E4" s="87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162</v>
      </c>
      <c r="C6" s="353"/>
      <c r="D6" s="353"/>
      <c r="E6" s="353"/>
    </row>
    <row r="7" spans="2:7" ht="14.25">
      <c r="B7" s="89"/>
      <c r="C7" s="89"/>
      <c r="D7" s="89"/>
      <c r="E7" s="8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88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90036.59</v>
      </c>
      <c r="E11" s="228">
        <f>SUM(E12:E14)</f>
        <v>38507.75</v>
      </c>
    </row>
    <row r="12" spans="2:7">
      <c r="B12" s="173" t="s">
        <v>4</v>
      </c>
      <c r="C12" s="174" t="s">
        <v>5</v>
      </c>
      <c r="D12" s="241">
        <v>90036.59</v>
      </c>
      <c r="E12" s="245">
        <v>38507.75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90036.59</v>
      </c>
      <c r="E21" s="148">
        <f>E11-E17</f>
        <v>38507.75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49934.87</v>
      </c>
      <c r="E26" s="217">
        <f>D21</f>
        <v>90036.59</v>
      </c>
    </row>
    <row r="27" spans="2:6">
      <c r="B27" s="9" t="s">
        <v>17</v>
      </c>
      <c r="C27" s="10" t="s">
        <v>111</v>
      </c>
      <c r="D27" s="323">
        <v>38032.17</v>
      </c>
      <c r="E27" s="274">
        <v>-52277.86</v>
      </c>
      <c r="F27" s="71"/>
    </row>
    <row r="28" spans="2:6">
      <c r="B28" s="9" t="s">
        <v>18</v>
      </c>
      <c r="C28" s="10" t="s">
        <v>19</v>
      </c>
      <c r="D28" s="323">
        <v>51283.839999999997</v>
      </c>
      <c r="E28" s="275">
        <v>0</v>
      </c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>
        <v>51283.839999999997</v>
      </c>
      <c r="E31" s="276"/>
      <c r="F31" s="71"/>
    </row>
    <row r="32" spans="2:6">
      <c r="B32" s="92" t="s">
        <v>23</v>
      </c>
      <c r="C32" s="11" t="s">
        <v>24</v>
      </c>
      <c r="D32" s="323">
        <v>13251.67</v>
      </c>
      <c r="E32" s="275">
        <v>52277.86</v>
      </c>
      <c r="F32" s="71"/>
    </row>
    <row r="33" spans="2:6">
      <c r="B33" s="181" t="s">
        <v>4</v>
      </c>
      <c r="C33" s="174" t="s">
        <v>25</v>
      </c>
      <c r="D33" s="324">
        <v>12349.03</v>
      </c>
      <c r="E33" s="276">
        <v>51297.48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38.76</v>
      </c>
      <c r="E35" s="276">
        <v>35.64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863.88</v>
      </c>
      <c r="E37" s="276">
        <v>944.74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/>
      <c r="F39" s="71"/>
    </row>
    <row r="40" spans="2:6" ht="13.5" thickBot="1">
      <c r="B40" s="97" t="s">
        <v>35</v>
      </c>
      <c r="C40" s="98" t="s">
        <v>36</v>
      </c>
      <c r="D40" s="326">
        <v>2069.5500000000002</v>
      </c>
      <c r="E40" s="279">
        <v>749.02</v>
      </c>
    </row>
    <row r="41" spans="2:6" ht="13.5" thickBot="1">
      <c r="B41" s="99" t="s">
        <v>37</v>
      </c>
      <c r="C41" s="100" t="s">
        <v>38</v>
      </c>
      <c r="D41" s="327">
        <v>90036.590000000011</v>
      </c>
      <c r="E41" s="148">
        <f>E26+E27+E40</f>
        <v>38507.749999999993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379.58850000000001</v>
      </c>
      <c r="E47" s="149">
        <v>653.95550000000003</v>
      </c>
    </row>
    <row r="48" spans="2:6">
      <c r="B48" s="186" t="s">
        <v>6</v>
      </c>
      <c r="C48" s="187" t="s">
        <v>41</v>
      </c>
      <c r="D48" s="200">
        <v>653.95550000000003</v>
      </c>
      <c r="E48" s="286">
        <v>274.80020000000002</v>
      </c>
    </row>
    <row r="49" spans="2:5">
      <c r="B49" s="120" t="s">
        <v>23</v>
      </c>
      <c r="C49" s="124" t="s">
        <v>113</v>
      </c>
      <c r="D49" s="201"/>
      <c r="E49" s="218"/>
    </row>
    <row r="50" spans="2:5">
      <c r="B50" s="184" t="s">
        <v>4</v>
      </c>
      <c r="C50" s="185" t="s">
        <v>40</v>
      </c>
      <c r="D50" s="200">
        <v>131.55000000000001</v>
      </c>
      <c r="E50" s="218">
        <v>137.68</v>
      </c>
    </row>
    <row r="51" spans="2:5">
      <c r="B51" s="184" t="s">
        <v>6</v>
      </c>
      <c r="C51" s="185" t="s">
        <v>114</v>
      </c>
      <c r="D51" s="200">
        <v>131.44</v>
      </c>
      <c r="E51" s="219">
        <v>129.96</v>
      </c>
    </row>
    <row r="52" spans="2:5">
      <c r="B52" s="184" t="s">
        <v>8</v>
      </c>
      <c r="C52" s="185" t="s">
        <v>115</v>
      </c>
      <c r="D52" s="200">
        <v>137.68</v>
      </c>
      <c r="E52" s="219">
        <v>140.13</v>
      </c>
    </row>
    <row r="53" spans="2:5" ht="13.5" customHeight="1" thickBot="1">
      <c r="B53" s="188" t="s">
        <v>9</v>
      </c>
      <c r="C53" s="189" t="s">
        <v>41</v>
      </c>
      <c r="D53" s="202">
        <v>137.68</v>
      </c>
      <c r="E53" s="290">
        <v>140.13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6.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38507.75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2.7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38507.75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38507.75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38507.75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3"/>
  <dimension ref="A1:F81"/>
  <sheetViews>
    <sheetView zoomScale="80" zoomScaleNormal="80" workbookViewId="0">
      <selection activeCell="G13" sqref="G1:L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1" t="s">
        <v>0</v>
      </c>
      <c r="C2" s="351"/>
      <c r="D2" s="351"/>
      <c r="E2" s="351"/>
    </row>
    <row r="3" spans="2:5" ht="15.75">
      <c r="B3" s="351" t="s">
        <v>271</v>
      </c>
      <c r="C3" s="351"/>
      <c r="D3" s="351"/>
      <c r="E3" s="351"/>
    </row>
    <row r="4" spans="2:5" ht="15">
      <c r="B4" s="134"/>
      <c r="C4" s="134"/>
      <c r="D4" s="134"/>
      <c r="E4" s="134"/>
    </row>
    <row r="5" spans="2:5" ht="21" customHeight="1">
      <c r="B5" s="352" t="s">
        <v>1</v>
      </c>
      <c r="C5" s="352"/>
      <c r="D5" s="352"/>
      <c r="E5" s="352"/>
    </row>
    <row r="6" spans="2:5" ht="14.25">
      <c r="B6" s="353" t="s">
        <v>163</v>
      </c>
      <c r="C6" s="353"/>
      <c r="D6" s="353"/>
      <c r="E6" s="353"/>
    </row>
    <row r="7" spans="2:5" ht="14.25">
      <c r="B7" s="133"/>
      <c r="C7" s="133"/>
      <c r="D7" s="133"/>
      <c r="E7" s="133"/>
    </row>
    <row r="8" spans="2:5" ht="13.5">
      <c r="B8" s="355" t="s">
        <v>18</v>
      </c>
      <c r="C8" s="357"/>
      <c r="D8" s="357"/>
      <c r="E8" s="357"/>
    </row>
    <row r="9" spans="2:5" ht="16.5" thickBot="1">
      <c r="B9" s="354" t="s">
        <v>103</v>
      </c>
      <c r="C9" s="354"/>
      <c r="D9" s="354"/>
      <c r="E9" s="354"/>
    </row>
    <row r="10" spans="2:5" ht="13.5" thickBot="1">
      <c r="B10" s="135"/>
      <c r="C10" s="76" t="s">
        <v>2</v>
      </c>
      <c r="D10" s="70" t="s">
        <v>245</v>
      </c>
      <c r="E10" s="255" t="s">
        <v>265</v>
      </c>
    </row>
    <row r="11" spans="2:5">
      <c r="B11" s="90" t="s">
        <v>3</v>
      </c>
      <c r="C11" s="128" t="s">
        <v>109</v>
      </c>
      <c r="D11" s="227">
        <v>480395.92</v>
      </c>
      <c r="E11" s="228">
        <f>SUM(E12:E14)</f>
        <v>388374.22</v>
      </c>
    </row>
    <row r="12" spans="2:5">
      <c r="B12" s="173" t="s">
        <v>4</v>
      </c>
      <c r="C12" s="174" t="s">
        <v>5</v>
      </c>
      <c r="D12" s="241">
        <v>480395.92</v>
      </c>
      <c r="E12" s="245">
        <v>388374.22</v>
      </c>
    </row>
    <row r="13" spans="2:5">
      <c r="B13" s="173" t="s">
        <v>6</v>
      </c>
      <c r="C13" s="175" t="s">
        <v>7</v>
      </c>
      <c r="D13" s="237"/>
      <c r="E13" s="246"/>
    </row>
    <row r="14" spans="2:5">
      <c r="B14" s="173" t="s">
        <v>8</v>
      </c>
      <c r="C14" s="175" t="s">
        <v>10</v>
      </c>
      <c r="D14" s="237"/>
      <c r="E14" s="246"/>
    </row>
    <row r="15" spans="2:5">
      <c r="B15" s="173" t="s">
        <v>106</v>
      </c>
      <c r="C15" s="175" t="s">
        <v>11</v>
      </c>
      <c r="D15" s="237"/>
      <c r="E15" s="246"/>
    </row>
    <row r="16" spans="2:5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480395.92</v>
      </c>
      <c r="E21" s="148">
        <f>E11-E17</f>
        <v>388374.22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464283.27</v>
      </c>
      <c r="E26" s="217">
        <f>D21</f>
        <v>480395.92</v>
      </c>
    </row>
    <row r="27" spans="2:6">
      <c r="B27" s="9" t="s">
        <v>17</v>
      </c>
      <c r="C27" s="10" t="s">
        <v>111</v>
      </c>
      <c r="D27" s="323">
        <v>-77126.62</v>
      </c>
      <c r="E27" s="274">
        <v>-10058.67</v>
      </c>
      <c r="F27" s="71"/>
    </row>
    <row r="28" spans="2:6">
      <c r="B28" s="9" t="s">
        <v>18</v>
      </c>
      <c r="C28" s="10" t="s">
        <v>19</v>
      </c>
      <c r="D28" s="323"/>
      <c r="E28" s="275"/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77126.62</v>
      </c>
      <c r="E32" s="275">
        <v>10058.67</v>
      </c>
      <c r="F32" s="71"/>
    </row>
    <row r="33" spans="2:6">
      <c r="B33" s="181" t="s">
        <v>4</v>
      </c>
      <c r="C33" s="174" t="s">
        <v>25</v>
      </c>
      <c r="D33" s="324">
        <v>450.66</v>
      </c>
      <c r="E33" s="276"/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5537.67</v>
      </c>
      <c r="E35" s="276">
        <v>4272.83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7374.28</v>
      </c>
      <c r="E37" s="276">
        <v>5785.84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>
        <v>63764.01</v>
      </c>
      <c r="E39" s="277"/>
      <c r="F39" s="71"/>
    </row>
    <row r="40" spans="2:6" ht="13.5" thickBot="1">
      <c r="B40" s="97" t="s">
        <v>35</v>
      </c>
      <c r="C40" s="98" t="s">
        <v>36</v>
      </c>
      <c r="D40" s="326">
        <v>93239.27</v>
      </c>
      <c r="E40" s="279">
        <v>-81963.03</v>
      </c>
    </row>
    <row r="41" spans="2:6" ht="13.5" thickBot="1">
      <c r="B41" s="99" t="s">
        <v>37</v>
      </c>
      <c r="C41" s="100" t="s">
        <v>38</v>
      </c>
      <c r="D41" s="327">
        <v>480395.92000000004</v>
      </c>
      <c r="E41" s="148">
        <f>E26+E27+E40</f>
        <v>388374.22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42949.423999999999</v>
      </c>
      <c r="E47" s="149">
        <v>36338.572</v>
      </c>
    </row>
    <row r="48" spans="2:6">
      <c r="B48" s="186" t="s">
        <v>6</v>
      </c>
      <c r="C48" s="187" t="s">
        <v>41</v>
      </c>
      <c r="D48" s="200">
        <v>36338.572</v>
      </c>
      <c r="E48" s="286">
        <v>35371.057999999997</v>
      </c>
    </row>
    <row r="49" spans="2:5">
      <c r="B49" s="120" t="s">
        <v>23</v>
      </c>
      <c r="C49" s="124" t="s">
        <v>113</v>
      </c>
      <c r="D49" s="201"/>
      <c r="E49" s="218"/>
    </row>
    <row r="50" spans="2:5">
      <c r="B50" s="184" t="s">
        <v>4</v>
      </c>
      <c r="C50" s="185" t="s">
        <v>40</v>
      </c>
      <c r="D50" s="200">
        <v>10.81</v>
      </c>
      <c r="E50" s="218">
        <v>13.22</v>
      </c>
    </row>
    <row r="51" spans="2:5">
      <c r="B51" s="184" t="s">
        <v>6</v>
      </c>
      <c r="C51" s="185" t="s">
        <v>114</v>
      </c>
      <c r="D51" s="200">
        <v>10.81</v>
      </c>
      <c r="E51" s="219">
        <v>8.1300000000000008</v>
      </c>
    </row>
    <row r="52" spans="2:5">
      <c r="B52" s="184" t="s">
        <v>8</v>
      </c>
      <c r="C52" s="185" t="s">
        <v>115</v>
      </c>
      <c r="D52" s="200">
        <v>13.3</v>
      </c>
      <c r="E52" s="219">
        <v>13.56</v>
      </c>
    </row>
    <row r="53" spans="2:5" ht="13.5" customHeight="1" thickBot="1">
      <c r="B53" s="188" t="s">
        <v>9</v>
      </c>
      <c r="C53" s="189" t="s">
        <v>41</v>
      </c>
      <c r="D53" s="202">
        <v>13.22</v>
      </c>
      <c r="E53" s="290">
        <v>10.98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4.25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388374.22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2.7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388374.22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388374.22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v>0</v>
      </c>
      <c r="E75" s="79">
        <v>0</v>
      </c>
    </row>
    <row r="76" spans="2:5">
      <c r="B76" s="102" t="s">
        <v>6</v>
      </c>
      <c r="C76" s="15" t="s">
        <v>119</v>
      </c>
      <c r="D76" s="78">
        <f>D74</f>
        <v>388374.22</v>
      </c>
      <c r="E76" s="79">
        <f>E74</f>
        <v>1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G81"/>
  <sheetViews>
    <sheetView zoomScale="80" zoomScaleNormal="80" workbookViewId="0">
      <selection activeCell="G13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85"/>
      <c r="C4" s="85"/>
      <c r="D4" s="85"/>
      <c r="E4" s="85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87</v>
      </c>
      <c r="C6" s="353"/>
      <c r="D6" s="353"/>
      <c r="E6" s="353"/>
    </row>
    <row r="7" spans="2:7" ht="14.25">
      <c r="B7" s="89"/>
      <c r="C7" s="89"/>
      <c r="D7" s="89"/>
      <c r="E7" s="8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86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108062521.65000001</v>
      </c>
      <c r="E11" s="228">
        <f>SUM(E12:E14)</f>
        <v>133663744.78</v>
      </c>
    </row>
    <row r="12" spans="2:7">
      <c r="B12" s="106" t="s">
        <v>4</v>
      </c>
      <c r="C12" s="6" t="s">
        <v>5</v>
      </c>
      <c r="D12" s="241">
        <v>107682251.61</v>
      </c>
      <c r="E12" s="245">
        <f>136342555.03+290521.35-2969331.6</f>
        <v>133663744.78</v>
      </c>
    </row>
    <row r="13" spans="2:7">
      <c r="B13" s="106" t="s">
        <v>6</v>
      </c>
      <c r="C13" s="68" t="s">
        <v>7</v>
      </c>
      <c r="D13" s="237"/>
      <c r="E13" s="246"/>
    </row>
    <row r="14" spans="2:7">
      <c r="B14" s="106" t="s">
        <v>8</v>
      </c>
      <c r="C14" s="68" t="s">
        <v>10</v>
      </c>
      <c r="D14" s="237">
        <v>380270.04</v>
      </c>
      <c r="E14" s="246"/>
    </row>
    <row r="15" spans="2:7">
      <c r="B15" s="106" t="s">
        <v>106</v>
      </c>
      <c r="C15" s="68" t="s">
        <v>11</v>
      </c>
      <c r="D15" s="237">
        <v>380270.04</v>
      </c>
      <c r="E15" s="246"/>
    </row>
    <row r="16" spans="2:7">
      <c r="B16" s="107" t="s">
        <v>107</v>
      </c>
      <c r="C16" s="91" t="s">
        <v>12</v>
      </c>
      <c r="D16" s="239"/>
      <c r="E16" s="247"/>
    </row>
    <row r="17" spans="2:6">
      <c r="B17" s="9" t="s">
        <v>13</v>
      </c>
      <c r="C17" s="11" t="s">
        <v>65</v>
      </c>
      <c r="D17" s="240">
        <v>152156.49</v>
      </c>
      <c r="E17" s="248">
        <f>E18</f>
        <v>216641.77</v>
      </c>
    </row>
    <row r="18" spans="2:6">
      <c r="B18" s="106" t="s">
        <v>4</v>
      </c>
      <c r="C18" s="6" t="s">
        <v>11</v>
      </c>
      <c r="D18" s="239">
        <v>152156.49</v>
      </c>
      <c r="E18" s="247">
        <v>216641.77</v>
      </c>
    </row>
    <row r="19" spans="2:6" ht="15" customHeight="1">
      <c r="B19" s="106" t="s">
        <v>6</v>
      </c>
      <c r="C19" s="68" t="s">
        <v>108</v>
      </c>
      <c r="D19" s="237"/>
      <c r="E19" s="246"/>
    </row>
    <row r="20" spans="2:6" ht="13.5" thickBot="1">
      <c r="B20" s="108" t="s">
        <v>8</v>
      </c>
      <c r="C20" s="6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107910365.16000001</v>
      </c>
      <c r="E21" s="148">
        <f>E11-E17</f>
        <v>133447103.01000001</v>
      </c>
      <c r="F21" s="77"/>
    </row>
    <row r="22" spans="2:6">
      <c r="B22" s="3"/>
      <c r="C22" s="7"/>
      <c r="D22" s="8"/>
      <c r="E22" s="8"/>
    </row>
    <row r="23" spans="2:6" ht="15.75">
      <c r="B23" s="355"/>
      <c r="C23" s="363"/>
      <c r="D23" s="363"/>
      <c r="E23" s="363"/>
    </row>
    <row r="24" spans="2:6" ht="16.5" customHeight="1" thickBot="1">
      <c r="B24" s="354" t="s">
        <v>105</v>
      </c>
      <c r="C24" s="364"/>
      <c r="D24" s="364"/>
      <c r="E24" s="364"/>
    </row>
    <row r="25" spans="2:6" ht="13.5" thickBot="1">
      <c r="B25" s="86"/>
      <c r="C25" s="5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106012834.63</v>
      </c>
      <c r="E26" s="217">
        <f>D21</f>
        <v>107910365.16000001</v>
      </c>
    </row>
    <row r="27" spans="2:6">
      <c r="B27" s="9" t="s">
        <v>17</v>
      </c>
      <c r="C27" s="10" t="s">
        <v>111</v>
      </c>
      <c r="D27" s="323">
        <v>-1567659.8599999864</v>
      </c>
      <c r="E27" s="274">
        <f>E28-E32</f>
        <v>-5168616.6400000006</v>
      </c>
      <c r="F27" s="71"/>
    </row>
    <row r="28" spans="2:6">
      <c r="B28" s="9" t="s">
        <v>18</v>
      </c>
      <c r="C28" s="10" t="s">
        <v>19</v>
      </c>
      <c r="D28" s="323">
        <v>14812541.690000001</v>
      </c>
      <c r="E28" s="275">
        <v>13798459.800000001</v>
      </c>
      <c r="F28" s="71"/>
    </row>
    <row r="29" spans="2:6">
      <c r="B29" s="104" t="s">
        <v>4</v>
      </c>
      <c r="C29" s="6" t="s">
        <v>20</v>
      </c>
      <c r="D29" s="324">
        <v>14521367.25</v>
      </c>
      <c r="E29" s="276">
        <v>13351389.560000001</v>
      </c>
      <c r="F29" s="71"/>
    </row>
    <row r="30" spans="2:6">
      <c r="B30" s="104" t="s">
        <v>6</v>
      </c>
      <c r="C30" s="6" t="s">
        <v>21</v>
      </c>
      <c r="D30" s="324"/>
      <c r="E30" s="276"/>
      <c r="F30" s="71"/>
    </row>
    <row r="31" spans="2:6">
      <c r="B31" s="104" t="s">
        <v>8</v>
      </c>
      <c r="C31" s="6" t="s">
        <v>22</v>
      </c>
      <c r="D31" s="324">
        <v>291174.44</v>
      </c>
      <c r="E31" s="276">
        <v>447070.24</v>
      </c>
      <c r="F31" s="71"/>
    </row>
    <row r="32" spans="2:6">
      <c r="B32" s="92" t="s">
        <v>23</v>
      </c>
      <c r="C32" s="11" t="s">
        <v>24</v>
      </c>
      <c r="D32" s="323">
        <v>16380201.549999988</v>
      </c>
      <c r="E32" s="275">
        <f>SUM(E33:E39)</f>
        <v>18967076.440000001</v>
      </c>
      <c r="F32" s="71"/>
    </row>
    <row r="33" spans="2:6">
      <c r="B33" s="104" t="s">
        <v>4</v>
      </c>
      <c r="C33" s="6" t="s">
        <v>25</v>
      </c>
      <c r="D33" s="324">
        <v>11597130.360000001</v>
      </c>
      <c r="E33" s="276">
        <f>12306949.42+754548.38</f>
        <v>13061497.800000001</v>
      </c>
      <c r="F33" s="71"/>
    </row>
    <row r="34" spans="2:6">
      <c r="B34" s="104" t="s">
        <v>6</v>
      </c>
      <c r="C34" s="6" t="s">
        <v>26</v>
      </c>
      <c r="D34" s="324"/>
      <c r="E34" s="276"/>
      <c r="F34" s="71"/>
    </row>
    <row r="35" spans="2:6">
      <c r="B35" s="104" t="s">
        <v>8</v>
      </c>
      <c r="C35" s="6" t="s">
        <v>27</v>
      </c>
      <c r="D35" s="324">
        <v>2857515.7800000003</v>
      </c>
      <c r="E35" s="276">
        <v>2781767.9099999997</v>
      </c>
      <c r="F35" s="71"/>
    </row>
    <row r="36" spans="2:6">
      <c r="B36" s="104" t="s">
        <v>9</v>
      </c>
      <c r="C36" s="6" t="s">
        <v>28</v>
      </c>
      <c r="D36" s="324"/>
      <c r="E36" s="276"/>
      <c r="F36" s="71"/>
    </row>
    <row r="37" spans="2:6" ht="25.5">
      <c r="B37" s="104" t="s">
        <v>29</v>
      </c>
      <c r="C37" s="6" t="s">
        <v>30</v>
      </c>
      <c r="D37" s="324"/>
      <c r="E37" s="276"/>
      <c r="F37" s="71"/>
    </row>
    <row r="38" spans="2:6">
      <c r="B38" s="104" t="s">
        <v>31</v>
      </c>
      <c r="C38" s="6" t="s">
        <v>32</v>
      </c>
      <c r="D38" s="324"/>
      <c r="E38" s="276"/>
      <c r="F38" s="71"/>
    </row>
    <row r="39" spans="2:6">
      <c r="B39" s="105" t="s">
        <v>33</v>
      </c>
      <c r="C39" s="12" t="s">
        <v>34</v>
      </c>
      <c r="D39" s="325">
        <v>1925555.4099999876</v>
      </c>
      <c r="E39" s="277">
        <v>3123810.73</v>
      </c>
      <c r="F39" s="71"/>
    </row>
    <row r="40" spans="2:6" ht="13.5" thickBot="1">
      <c r="B40" s="97" t="s">
        <v>35</v>
      </c>
      <c r="C40" s="98" t="s">
        <v>36</v>
      </c>
      <c r="D40" s="326">
        <v>3465190.39</v>
      </c>
      <c r="E40" s="279">
        <v>30705354.489999998</v>
      </c>
    </row>
    <row r="41" spans="2:6" ht="13.5" thickBot="1">
      <c r="B41" s="99" t="s">
        <v>37</v>
      </c>
      <c r="C41" s="100" t="s">
        <v>38</v>
      </c>
      <c r="D41" s="327">
        <v>107910365.16000001</v>
      </c>
      <c r="E41" s="148">
        <f>E26+E27+E40</f>
        <v>133447103.01000001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5.75" customHeight="1" thickBot="1">
      <c r="B44" s="354" t="s">
        <v>121</v>
      </c>
      <c r="C44" s="358"/>
      <c r="D44" s="358"/>
      <c r="E44" s="358"/>
    </row>
    <row r="45" spans="2:6" ht="13.5" thickBot="1">
      <c r="B45" s="86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210"/>
      <c r="E46" s="28"/>
    </row>
    <row r="47" spans="2:6">
      <c r="B47" s="102" t="s">
        <v>4</v>
      </c>
      <c r="C47" s="15" t="s">
        <v>40</v>
      </c>
      <c r="D47" s="200">
        <v>9785822.5662600007</v>
      </c>
      <c r="E47" s="73">
        <v>9651130.4149999991</v>
      </c>
    </row>
    <row r="48" spans="2:6">
      <c r="B48" s="123" t="s">
        <v>6</v>
      </c>
      <c r="C48" s="22" t="s">
        <v>41</v>
      </c>
      <c r="D48" s="200">
        <v>9651130.4149999991</v>
      </c>
      <c r="E48" s="334">
        <v>9286406.0077999998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02" t="s">
        <v>4</v>
      </c>
      <c r="C50" s="15" t="s">
        <v>40</v>
      </c>
      <c r="D50" s="200">
        <v>10.8333084840013</v>
      </c>
      <c r="E50" s="149">
        <v>11.181100000000001</v>
      </c>
    </row>
    <row r="51" spans="2:5">
      <c r="B51" s="102" t="s">
        <v>6</v>
      </c>
      <c r="C51" s="15" t="s">
        <v>114</v>
      </c>
      <c r="D51" s="200">
        <v>10.7829</v>
      </c>
      <c r="E51" s="295">
        <v>9.1016999999999992</v>
      </c>
    </row>
    <row r="52" spans="2:5" ht="12.75" customHeight="1">
      <c r="B52" s="102" t="s">
        <v>8</v>
      </c>
      <c r="C52" s="15" t="s">
        <v>115</v>
      </c>
      <c r="D52" s="200">
        <v>11.731</v>
      </c>
      <c r="E52" s="295">
        <v>14.447699999999999</v>
      </c>
    </row>
    <row r="53" spans="2:5" ht="13.5" thickBot="1">
      <c r="B53" s="103" t="s">
        <v>9</v>
      </c>
      <c r="C53" s="17" t="s">
        <v>41</v>
      </c>
      <c r="D53" s="202">
        <v>11.181100000000001</v>
      </c>
      <c r="E53" s="283">
        <v>14.370200000000001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5.7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SUM(D59:D70)</f>
        <v>133663744.78</v>
      </c>
      <c r="E58" s="31">
        <f>D58/E21</f>
        <v>1.0016234280483689</v>
      </c>
    </row>
    <row r="59" spans="2:5" ht="25.5">
      <c r="B59" s="21" t="s">
        <v>4</v>
      </c>
      <c r="C59" s="22" t="s">
        <v>44</v>
      </c>
      <c r="D59" s="80">
        <v>0</v>
      </c>
      <c r="E59" s="81">
        <v>0</v>
      </c>
    </row>
    <row r="60" spans="2:5" ht="24" customHeight="1">
      <c r="B60" s="14" t="s">
        <v>6</v>
      </c>
      <c r="C60" s="15" t="s">
        <v>45</v>
      </c>
      <c r="D60" s="78">
        <v>0</v>
      </c>
      <c r="E60" s="79">
        <v>0</v>
      </c>
    </row>
    <row r="61" spans="2:5">
      <c r="B61" s="14" t="s">
        <v>8</v>
      </c>
      <c r="C61" s="15" t="s">
        <v>46</v>
      </c>
      <c r="D61" s="78">
        <v>0</v>
      </c>
      <c r="E61" s="79">
        <v>0</v>
      </c>
    </row>
    <row r="62" spans="2:5">
      <c r="B62" s="14" t="s">
        <v>9</v>
      </c>
      <c r="C62" s="15" t="s">
        <v>47</v>
      </c>
      <c r="D62" s="78">
        <v>0</v>
      </c>
      <c r="E62" s="79">
        <v>0</v>
      </c>
    </row>
    <row r="63" spans="2:5">
      <c r="B63" s="14" t="s">
        <v>29</v>
      </c>
      <c r="C63" s="15" t="s">
        <v>48</v>
      </c>
      <c r="D63" s="78">
        <v>0</v>
      </c>
      <c r="E63" s="79">
        <v>0</v>
      </c>
    </row>
    <row r="64" spans="2:5">
      <c r="B64" s="21" t="s">
        <v>31</v>
      </c>
      <c r="C64" s="22" t="s">
        <v>49</v>
      </c>
      <c r="D64" s="234">
        <v>133373223.43000001</v>
      </c>
      <c r="E64" s="81">
        <f>D64/E21</f>
        <v>0.99944637554256643</v>
      </c>
    </row>
    <row r="65" spans="2:5">
      <c r="B65" s="21" t="s">
        <v>33</v>
      </c>
      <c r="C65" s="22" t="s">
        <v>118</v>
      </c>
      <c r="D65" s="80">
        <v>0</v>
      </c>
      <c r="E65" s="81">
        <v>0</v>
      </c>
    </row>
    <row r="66" spans="2:5">
      <c r="B66" s="21" t="s">
        <v>50</v>
      </c>
      <c r="C66" s="22" t="s">
        <v>51</v>
      </c>
      <c r="D66" s="80">
        <v>0</v>
      </c>
      <c r="E66" s="81">
        <v>0</v>
      </c>
    </row>
    <row r="67" spans="2:5">
      <c r="B67" s="14" t="s">
        <v>52</v>
      </c>
      <c r="C67" s="15" t="s">
        <v>53</v>
      </c>
      <c r="D67" s="78">
        <v>0</v>
      </c>
      <c r="E67" s="79">
        <v>0</v>
      </c>
    </row>
    <row r="68" spans="2:5">
      <c r="B68" s="14" t="s">
        <v>54</v>
      </c>
      <c r="C68" s="15" t="s">
        <v>55</v>
      </c>
      <c r="D68" s="78">
        <v>0</v>
      </c>
      <c r="E68" s="79">
        <v>0</v>
      </c>
    </row>
    <row r="69" spans="2:5">
      <c r="B69" s="14" t="s">
        <v>56</v>
      </c>
      <c r="C69" s="15" t="s">
        <v>57</v>
      </c>
      <c r="D69" s="302">
        <v>290521.34999999998</v>
      </c>
      <c r="E69" s="79">
        <f>D69/E21</f>
        <v>2.1770525058024633E-3</v>
      </c>
    </row>
    <row r="70" spans="2:5">
      <c r="B70" s="112" t="s">
        <v>58</v>
      </c>
      <c r="C70" s="113" t="s">
        <v>59</v>
      </c>
      <c r="D70" s="114">
        <v>0</v>
      </c>
      <c r="E70" s="115">
        <v>0</v>
      </c>
    </row>
    <row r="71" spans="2:5">
      <c r="B71" s="120" t="s">
        <v>23</v>
      </c>
      <c r="C71" s="121" t="s">
        <v>61</v>
      </c>
      <c r="D71" s="122">
        <f>E13</f>
        <v>0</v>
      </c>
      <c r="E71" s="66">
        <v>0</v>
      </c>
    </row>
    <row r="72" spans="2:5">
      <c r="B72" s="116" t="s">
        <v>60</v>
      </c>
      <c r="C72" s="117" t="s">
        <v>63</v>
      </c>
      <c r="D72" s="118">
        <f>E14</f>
        <v>0</v>
      </c>
      <c r="E72" s="119">
        <f>D72/E21</f>
        <v>0</v>
      </c>
    </row>
    <row r="73" spans="2:5">
      <c r="B73" s="23" t="s">
        <v>62</v>
      </c>
      <c r="C73" s="24" t="s">
        <v>65</v>
      </c>
      <c r="D73" s="25">
        <f>E17</f>
        <v>216641.77</v>
      </c>
      <c r="E73" s="26">
        <f>D73/E21</f>
        <v>1.6234280483688409E-3</v>
      </c>
    </row>
    <row r="74" spans="2:5">
      <c r="B74" s="120" t="s">
        <v>64</v>
      </c>
      <c r="C74" s="121" t="s">
        <v>66</v>
      </c>
      <c r="D74" s="122">
        <f>D58+D71+D72-D73</f>
        <v>133447103.01000001</v>
      </c>
      <c r="E74" s="66">
        <f>E58+E72-E73</f>
        <v>1</v>
      </c>
    </row>
    <row r="75" spans="2:5">
      <c r="B75" s="14" t="s">
        <v>4</v>
      </c>
      <c r="C75" s="15" t="s">
        <v>67</v>
      </c>
      <c r="D75" s="78">
        <f>D74</f>
        <v>133447103.01000001</v>
      </c>
      <c r="E75" s="79">
        <f>E74</f>
        <v>1</v>
      </c>
    </row>
    <row r="76" spans="2:5">
      <c r="B76" s="14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6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9" right="0.75" top="0.59" bottom="0.4" header="0.5" footer="0.5"/>
  <pageSetup paperSize="9" scale="70" orientation="portrait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4"/>
  <dimension ref="A1:G81"/>
  <sheetViews>
    <sheetView zoomScale="80" zoomScaleNormal="80" workbookViewId="0">
      <selection activeCell="H34" sqref="H34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34"/>
      <c r="C4" s="134"/>
      <c r="D4" s="134"/>
      <c r="E4" s="134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164</v>
      </c>
      <c r="C6" s="353"/>
      <c r="D6" s="353"/>
      <c r="E6" s="353"/>
    </row>
    <row r="7" spans="2:7" ht="14.25">
      <c r="B7" s="133"/>
      <c r="C7" s="133"/>
      <c r="D7" s="133"/>
      <c r="E7" s="133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35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1521760.02</v>
      </c>
      <c r="E11" s="228">
        <f>SUM(E12:E14)</f>
        <v>1283334.55</v>
      </c>
    </row>
    <row r="12" spans="2:7">
      <c r="B12" s="173" t="s">
        <v>4</v>
      </c>
      <c r="C12" s="174" t="s">
        <v>5</v>
      </c>
      <c r="D12" s="241">
        <v>1521760.02</v>
      </c>
      <c r="E12" s="245">
        <v>1283334.55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1521760.02</v>
      </c>
      <c r="E21" s="148">
        <f>E11-E17</f>
        <v>1283334.55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1587442.79</v>
      </c>
      <c r="E26" s="217">
        <f>D21</f>
        <v>1521760.02</v>
      </c>
    </row>
    <row r="27" spans="2:6">
      <c r="B27" s="9" t="s">
        <v>17</v>
      </c>
      <c r="C27" s="10" t="s">
        <v>111</v>
      </c>
      <c r="D27" s="323">
        <v>-206917.84</v>
      </c>
      <c r="E27" s="274">
        <v>-186980.36</v>
      </c>
      <c r="F27" s="71"/>
    </row>
    <row r="28" spans="2:6">
      <c r="B28" s="9" t="s">
        <v>18</v>
      </c>
      <c r="C28" s="10" t="s">
        <v>19</v>
      </c>
      <c r="D28" s="323"/>
      <c r="E28" s="275">
        <v>22274.44</v>
      </c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>
        <v>22274.44</v>
      </c>
      <c r="F31" s="71"/>
    </row>
    <row r="32" spans="2:6">
      <c r="B32" s="92" t="s">
        <v>23</v>
      </c>
      <c r="C32" s="11" t="s">
        <v>24</v>
      </c>
      <c r="D32" s="323">
        <v>206917.84</v>
      </c>
      <c r="E32" s="275">
        <v>209254.80000000002</v>
      </c>
      <c r="F32" s="71"/>
    </row>
    <row r="33" spans="2:6">
      <c r="B33" s="181" t="s">
        <v>4</v>
      </c>
      <c r="C33" s="174" t="s">
        <v>25</v>
      </c>
      <c r="D33" s="324">
        <v>175660.27</v>
      </c>
      <c r="E33" s="276">
        <v>170027.67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2147.37</v>
      </c>
      <c r="E35" s="276">
        <v>1982.72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25547.8</v>
      </c>
      <c r="E37" s="276">
        <v>20142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>
        <v>3562.4000000000465</v>
      </c>
      <c r="E39" s="277">
        <v>17102.41</v>
      </c>
      <c r="F39" s="71"/>
    </row>
    <row r="40" spans="2:6" ht="13.5" thickBot="1">
      <c r="B40" s="97" t="s">
        <v>35</v>
      </c>
      <c r="C40" s="98" t="s">
        <v>36</v>
      </c>
      <c r="D40" s="326">
        <v>141235.07</v>
      </c>
      <c r="E40" s="279">
        <v>-51445.11</v>
      </c>
    </row>
    <row r="41" spans="2:6" ht="13.5" thickBot="1">
      <c r="B41" s="99" t="s">
        <v>37</v>
      </c>
      <c r="C41" s="100" t="s">
        <v>38</v>
      </c>
      <c r="D41" s="327">
        <v>1521760.02</v>
      </c>
      <c r="E41" s="148">
        <f>E26+E27+E40</f>
        <v>1283334.55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108580.21799999999</v>
      </c>
      <c r="E47" s="149">
        <v>94872.819000000003</v>
      </c>
    </row>
    <row r="48" spans="2:6">
      <c r="B48" s="186" t="s">
        <v>6</v>
      </c>
      <c r="C48" s="187" t="s">
        <v>41</v>
      </c>
      <c r="D48" s="200">
        <v>94872.819000000003</v>
      </c>
      <c r="E48" s="286">
        <v>82212.335000000006</v>
      </c>
    </row>
    <row r="49" spans="2:5">
      <c r="B49" s="120" t="s">
        <v>23</v>
      </c>
      <c r="C49" s="124" t="s">
        <v>113</v>
      </c>
      <c r="D49" s="201"/>
      <c r="E49" s="218"/>
    </row>
    <row r="50" spans="2:5">
      <c r="B50" s="184" t="s">
        <v>4</v>
      </c>
      <c r="C50" s="185" t="s">
        <v>40</v>
      </c>
      <c r="D50" s="200">
        <v>14.62</v>
      </c>
      <c r="E50" s="218">
        <v>16.04</v>
      </c>
    </row>
    <row r="51" spans="2:5">
      <c r="B51" s="184" t="s">
        <v>6</v>
      </c>
      <c r="C51" s="185" t="s">
        <v>114</v>
      </c>
      <c r="D51" s="200">
        <v>14.55</v>
      </c>
      <c r="E51" s="218">
        <v>11.9</v>
      </c>
    </row>
    <row r="52" spans="2:5">
      <c r="B52" s="184" t="s">
        <v>8</v>
      </c>
      <c r="C52" s="185" t="s">
        <v>115</v>
      </c>
      <c r="D52" s="200">
        <v>16.04</v>
      </c>
      <c r="E52" s="219">
        <v>16.100000000000001</v>
      </c>
    </row>
    <row r="53" spans="2:5" ht="12.75" customHeight="1" thickBot="1">
      <c r="B53" s="188" t="s">
        <v>9</v>
      </c>
      <c r="C53" s="189" t="s">
        <v>41</v>
      </c>
      <c r="D53" s="202">
        <v>16.04</v>
      </c>
      <c r="E53" s="290">
        <v>15.61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6.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1283334.55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1283334.55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1283334.55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v>0</v>
      </c>
      <c r="E75" s="79">
        <v>0</v>
      </c>
    </row>
    <row r="76" spans="2:5">
      <c r="B76" s="102" t="s">
        <v>6</v>
      </c>
      <c r="C76" s="15" t="s">
        <v>119</v>
      </c>
      <c r="D76" s="78">
        <f>D74</f>
        <v>1283334.55</v>
      </c>
      <c r="E76" s="79">
        <f>E74</f>
        <v>1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6"/>
  <dimension ref="A1:G81"/>
  <sheetViews>
    <sheetView zoomScale="80" zoomScaleNormal="80" workbookViewId="0">
      <selection activeCell="G10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34"/>
      <c r="C4" s="134"/>
      <c r="D4" s="134"/>
      <c r="E4" s="134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165</v>
      </c>
      <c r="C6" s="353"/>
      <c r="D6" s="353"/>
      <c r="E6" s="353"/>
    </row>
    <row r="7" spans="2:7" ht="14.25">
      <c r="B7" s="133"/>
      <c r="C7" s="133"/>
      <c r="D7" s="133"/>
      <c r="E7" s="133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35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2630051.5</v>
      </c>
      <c r="E11" s="228">
        <f>SUM(E12:E14)</f>
        <v>3108920.1</v>
      </c>
    </row>
    <row r="12" spans="2:7">
      <c r="B12" s="173" t="s">
        <v>4</v>
      </c>
      <c r="C12" s="253" t="s">
        <v>5</v>
      </c>
      <c r="D12" s="241">
        <v>2630051.5</v>
      </c>
      <c r="E12" s="245">
        <v>3108920.1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2630051.5</v>
      </c>
      <c r="E21" s="148">
        <f>E11-E17</f>
        <v>3108920.1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5708222.1600000001</v>
      </c>
      <c r="E26" s="217">
        <f>D21</f>
        <v>2630051.5</v>
      </c>
    </row>
    <row r="27" spans="2:6">
      <c r="B27" s="9" t="s">
        <v>17</v>
      </c>
      <c r="C27" s="10" t="s">
        <v>111</v>
      </c>
      <c r="D27" s="323">
        <v>-4264055.38</v>
      </c>
      <c r="E27" s="274">
        <v>-340840.94</v>
      </c>
      <c r="F27" s="71"/>
    </row>
    <row r="28" spans="2:6">
      <c r="B28" s="9" t="s">
        <v>18</v>
      </c>
      <c r="C28" s="10" t="s">
        <v>19</v>
      </c>
      <c r="D28" s="323">
        <v>50353.95</v>
      </c>
      <c r="E28" s="275">
        <v>352037.19</v>
      </c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>
        <v>50353.95</v>
      </c>
      <c r="E31" s="276">
        <v>352037.19</v>
      </c>
      <c r="F31" s="71"/>
    </row>
    <row r="32" spans="2:6">
      <c r="B32" s="92" t="s">
        <v>23</v>
      </c>
      <c r="C32" s="11" t="s">
        <v>24</v>
      </c>
      <c r="D32" s="323">
        <v>4314409.33</v>
      </c>
      <c r="E32" s="275">
        <v>692878.13</v>
      </c>
      <c r="F32" s="71"/>
    </row>
    <row r="33" spans="2:7">
      <c r="B33" s="181" t="s">
        <v>4</v>
      </c>
      <c r="C33" s="253" t="s">
        <v>25</v>
      </c>
      <c r="D33" s="309">
        <v>657909.77</v>
      </c>
      <c r="E33" s="276">
        <v>629216.99</v>
      </c>
      <c r="F33" s="71"/>
    </row>
    <row r="34" spans="2:7">
      <c r="B34" s="181" t="s">
        <v>6</v>
      </c>
      <c r="C34" s="174" t="s">
        <v>26</v>
      </c>
      <c r="D34" s="324"/>
      <c r="E34" s="276"/>
      <c r="F34" s="71"/>
    </row>
    <row r="35" spans="2:7">
      <c r="B35" s="181" t="s">
        <v>8</v>
      </c>
      <c r="C35" s="174" t="s">
        <v>27</v>
      </c>
      <c r="D35" s="324">
        <v>13559.75</v>
      </c>
      <c r="E35" s="276">
        <v>3123.7</v>
      </c>
      <c r="F35" s="71"/>
    </row>
    <row r="36" spans="2:7">
      <c r="B36" s="181" t="s">
        <v>9</v>
      </c>
      <c r="C36" s="174" t="s">
        <v>28</v>
      </c>
      <c r="D36" s="324"/>
      <c r="E36" s="276"/>
      <c r="F36" s="71"/>
    </row>
    <row r="37" spans="2:7" ht="25.5">
      <c r="B37" s="181" t="s">
        <v>29</v>
      </c>
      <c r="C37" s="174" t="s">
        <v>30</v>
      </c>
      <c r="D37" s="324">
        <v>55745.8</v>
      </c>
      <c r="E37" s="276">
        <v>40897.03</v>
      </c>
      <c r="F37" s="71"/>
    </row>
    <row r="38" spans="2:7">
      <c r="B38" s="181" t="s">
        <v>31</v>
      </c>
      <c r="C38" s="174" t="s">
        <v>32</v>
      </c>
      <c r="D38" s="324"/>
      <c r="E38" s="276"/>
      <c r="F38" s="71"/>
    </row>
    <row r="39" spans="2:7">
      <c r="B39" s="182" t="s">
        <v>33</v>
      </c>
      <c r="C39" s="183" t="s">
        <v>34</v>
      </c>
      <c r="D39" s="325">
        <v>3587194.01</v>
      </c>
      <c r="E39" s="277">
        <v>19640.41</v>
      </c>
      <c r="F39" s="71"/>
    </row>
    <row r="40" spans="2:7" ht="13.5" thickBot="1">
      <c r="B40" s="97" t="s">
        <v>35</v>
      </c>
      <c r="C40" s="98" t="s">
        <v>36</v>
      </c>
      <c r="D40" s="326">
        <v>1185884.72</v>
      </c>
      <c r="E40" s="279">
        <v>819709.54</v>
      </c>
    </row>
    <row r="41" spans="2:7" ht="13.5" thickBot="1">
      <c r="B41" s="99" t="s">
        <v>37</v>
      </c>
      <c r="C41" s="100" t="s">
        <v>38</v>
      </c>
      <c r="D41" s="327">
        <v>2630051.5</v>
      </c>
      <c r="E41" s="148">
        <f>E26+E27+E40</f>
        <v>3108920.1</v>
      </c>
      <c r="F41" s="77"/>
    </row>
    <row r="42" spans="2:7">
      <c r="B42" s="93"/>
      <c r="C42" s="93"/>
      <c r="D42" s="94"/>
      <c r="E42" s="94"/>
      <c r="F42" s="77"/>
    </row>
    <row r="43" spans="2:7" ht="13.5">
      <c r="B43" s="356" t="s">
        <v>60</v>
      </c>
      <c r="C43" s="365"/>
      <c r="D43" s="365"/>
      <c r="E43" s="365"/>
    </row>
    <row r="44" spans="2:7" ht="18" customHeight="1" thickBot="1">
      <c r="B44" s="354" t="s">
        <v>121</v>
      </c>
      <c r="C44" s="366"/>
      <c r="D44" s="366"/>
      <c r="E44" s="366"/>
    </row>
    <row r="45" spans="2:7" ht="13.5" thickBot="1">
      <c r="B45" s="207"/>
      <c r="C45" s="29" t="s">
        <v>39</v>
      </c>
      <c r="D45" s="70" t="s">
        <v>245</v>
      </c>
      <c r="E45" s="255" t="s">
        <v>265</v>
      </c>
    </row>
    <row r="46" spans="2:7">
      <c r="B46" s="13" t="s">
        <v>18</v>
      </c>
      <c r="C46" s="30" t="s">
        <v>112</v>
      </c>
      <c r="D46" s="101"/>
      <c r="E46" s="28"/>
    </row>
    <row r="47" spans="2:7">
      <c r="B47" s="184" t="s">
        <v>4</v>
      </c>
      <c r="C47" s="185" t="s">
        <v>40</v>
      </c>
      <c r="D47" s="200">
        <v>218957.505</v>
      </c>
      <c r="E47" s="149">
        <v>77904.369000000006</v>
      </c>
    </row>
    <row r="48" spans="2:7">
      <c r="B48" s="186" t="s">
        <v>6</v>
      </c>
      <c r="C48" s="187" t="s">
        <v>41</v>
      </c>
      <c r="D48" s="200">
        <v>77904.369000000006</v>
      </c>
      <c r="E48" s="287">
        <v>65922.817999999999</v>
      </c>
      <c r="G48" s="156"/>
    </row>
    <row r="49" spans="2:5">
      <c r="B49" s="120" t="s">
        <v>23</v>
      </c>
      <c r="C49" s="124" t="s">
        <v>113</v>
      </c>
      <c r="D49" s="201"/>
      <c r="E49" s="254"/>
    </row>
    <row r="50" spans="2:5">
      <c r="B50" s="184" t="s">
        <v>4</v>
      </c>
      <c r="C50" s="185" t="s">
        <v>40</v>
      </c>
      <c r="D50" s="200">
        <v>26.07</v>
      </c>
      <c r="E50" s="254">
        <v>33.76</v>
      </c>
    </row>
    <row r="51" spans="2:5">
      <c r="B51" s="184" t="s">
        <v>6</v>
      </c>
      <c r="C51" s="185" t="s">
        <v>114</v>
      </c>
      <c r="D51" s="200">
        <v>25.310000000000002</v>
      </c>
      <c r="E51" s="298">
        <v>25.65</v>
      </c>
    </row>
    <row r="52" spans="2:5">
      <c r="B52" s="184" t="s">
        <v>8</v>
      </c>
      <c r="C52" s="185" t="s">
        <v>115</v>
      </c>
      <c r="D52" s="200">
        <v>33.97</v>
      </c>
      <c r="E52" s="298">
        <v>47.17</v>
      </c>
    </row>
    <row r="53" spans="2:5" ht="13.5" customHeight="1" thickBot="1">
      <c r="B53" s="188" t="s">
        <v>9</v>
      </c>
      <c r="C53" s="189" t="s">
        <v>41</v>
      </c>
      <c r="D53" s="202">
        <v>33.76</v>
      </c>
      <c r="E53" s="290">
        <v>47.16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6.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3108920.1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3108920.1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3108920.1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v>0</v>
      </c>
      <c r="E75" s="79">
        <v>0</v>
      </c>
    </row>
    <row r="76" spans="2:5">
      <c r="B76" s="102" t="s">
        <v>6</v>
      </c>
      <c r="C76" s="15" t="s">
        <v>119</v>
      </c>
      <c r="D76" s="78">
        <f>D74</f>
        <v>3108920.1</v>
      </c>
      <c r="E76" s="79">
        <f>E74</f>
        <v>1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7"/>
  <dimension ref="A1:G81"/>
  <sheetViews>
    <sheetView zoomScale="80" zoomScaleNormal="80" workbookViewId="0">
      <selection activeCell="G13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7"/>
      <c r="C4" s="147"/>
      <c r="D4" s="147"/>
      <c r="E4" s="147"/>
    </row>
    <row r="5" spans="2:7" ht="14.25">
      <c r="B5" s="352" t="s">
        <v>1</v>
      </c>
      <c r="C5" s="352"/>
      <c r="D5" s="352"/>
      <c r="E5" s="352"/>
    </row>
    <row r="6" spans="2:7" ht="14.25">
      <c r="B6" s="353" t="s">
        <v>166</v>
      </c>
      <c r="C6" s="353"/>
      <c r="D6" s="353"/>
      <c r="E6" s="353"/>
    </row>
    <row r="7" spans="2:7" ht="14.25">
      <c r="B7" s="164"/>
      <c r="C7" s="164"/>
      <c r="D7" s="164"/>
      <c r="E7" s="164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65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374575.96</v>
      </c>
      <c r="E11" s="228">
        <f>SUM(E12:E14)</f>
        <v>262596.26</v>
      </c>
    </row>
    <row r="12" spans="2:7">
      <c r="B12" s="173" t="s">
        <v>4</v>
      </c>
      <c r="C12" s="174" t="s">
        <v>5</v>
      </c>
      <c r="D12" s="241">
        <v>374575.96</v>
      </c>
      <c r="E12" s="245">
        <v>262596.26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374575.96</v>
      </c>
      <c r="E21" s="148">
        <f>E11-E17</f>
        <v>262596.26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237494.78</v>
      </c>
      <c r="E26" s="217">
        <f>D21</f>
        <v>374575.96</v>
      </c>
    </row>
    <row r="27" spans="2:6">
      <c r="B27" s="9" t="s">
        <v>17</v>
      </c>
      <c r="C27" s="10" t="s">
        <v>111</v>
      </c>
      <c r="D27" s="323">
        <v>100510.47</v>
      </c>
      <c r="E27" s="274">
        <v>-124470.81</v>
      </c>
      <c r="F27" s="71"/>
    </row>
    <row r="28" spans="2:6">
      <c r="B28" s="9" t="s">
        <v>18</v>
      </c>
      <c r="C28" s="10" t="s">
        <v>19</v>
      </c>
      <c r="D28" s="323">
        <v>109010.55</v>
      </c>
      <c r="E28" s="275"/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>
        <v>109010.55</v>
      </c>
      <c r="E31" s="276"/>
      <c r="F31" s="71"/>
    </row>
    <row r="32" spans="2:6">
      <c r="B32" s="92" t="s">
        <v>23</v>
      </c>
      <c r="C32" s="11" t="s">
        <v>24</v>
      </c>
      <c r="D32" s="323">
        <v>8500.08</v>
      </c>
      <c r="E32" s="275">
        <v>124470.81</v>
      </c>
      <c r="F32" s="71"/>
    </row>
    <row r="33" spans="2:6">
      <c r="B33" s="181" t="s">
        <v>4</v>
      </c>
      <c r="C33" s="174" t="s">
        <v>25</v>
      </c>
      <c r="D33" s="324"/>
      <c r="E33" s="276">
        <v>116524.93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2785.93</v>
      </c>
      <c r="E35" s="276">
        <v>3754.13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5714.15</v>
      </c>
      <c r="E37" s="276">
        <v>4191.75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/>
      <c r="F39" s="71"/>
    </row>
    <row r="40" spans="2:6" ht="13.5" thickBot="1">
      <c r="B40" s="97" t="s">
        <v>35</v>
      </c>
      <c r="C40" s="98" t="s">
        <v>36</v>
      </c>
      <c r="D40" s="326">
        <v>36570.71</v>
      </c>
      <c r="E40" s="279">
        <v>12491.11</v>
      </c>
    </row>
    <row r="41" spans="2:6" ht="13.5" thickBot="1">
      <c r="B41" s="99" t="s">
        <v>37</v>
      </c>
      <c r="C41" s="100" t="s">
        <v>38</v>
      </c>
      <c r="D41" s="327">
        <v>374575.96</v>
      </c>
      <c r="E41" s="261">
        <f>E26+E27+E40</f>
        <v>262596.26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23125.1</v>
      </c>
      <c r="E47" s="149">
        <v>32487.074000000001</v>
      </c>
    </row>
    <row r="48" spans="2:6">
      <c r="B48" s="186" t="s">
        <v>6</v>
      </c>
      <c r="C48" s="187" t="s">
        <v>41</v>
      </c>
      <c r="D48" s="200">
        <v>32487.074000000001</v>
      </c>
      <c r="E48" s="286">
        <v>21792.221000000001</v>
      </c>
    </row>
    <row r="49" spans="2:5">
      <c r="B49" s="120" t="s">
        <v>23</v>
      </c>
      <c r="C49" s="124" t="s">
        <v>113</v>
      </c>
      <c r="D49" s="201"/>
      <c r="E49" s="218"/>
    </row>
    <row r="50" spans="2:5">
      <c r="B50" s="184" t="s">
        <v>4</v>
      </c>
      <c r="C50" s="185" t="s">
        <v>40</v>
      </c>
      <c r="D50" s="200">
        <v>10.27</v>
      </c>
      <c r="E50" s="218">
        <v>11.53</v>
      </c>
    </row>
    <row r="51" spans="2:5">
      <c r="B51" s="184" t="s">
        <v>6</v>
      </c>
      <c r="C51" s="185" t="s">
        <v>114</v>
      </c>
      <c r="D51" s="200">
        <v>10.27</v>
      </c>
      <c r="E51" s="219">
        <v>9.14</v>
      </c>
    </row>
    <row r="52" spans="2:5">
      <c r="B52" s="184" t="s">
        <v>8</v>
      </c>
      <c r="C52" s="185" t="s">
        <v>115</v>
      </c>
      <c r="D52" s="200">
        <v>11.58</v>
      </c>
      <c r="E52" s="244">
        <v>12.05</v>
      </c>
    </row>
    <row r="53" spans="2:5" ht="13.5" thickBot="1">
      <c r="B53" s="188" t="s">
        <v>9</v>
      </c>
      <c r="C53" s="189" t="s">
        <v>41</v>
      </c>
      <c r="D53" s="202">
        <v>11.53</v>
      </c>
      <c r="E53" s="293">
        <v>12.05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4.25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262596.26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262596.26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262596.26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v>0</v>
      </c>
      <c r="E75" s="79">
        <v>0</v>
      </c>
    </row>
    <row r="76" spans="2:5">
      <c r="B76" s="102" t="s">
        <v>6</v>
      </c>
      <c r="C76" s="15" t="s">
        <v>119</v>
      </c>
      <c r="D76" s="78">
        <f>D74</f>
        <v>262596.26</v>
      </c>
      <c r="E76" s="79">
        <f>E74</f>
        <v>1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6:E56"/>
    <mergeCell ref="B57:C57"/>
    <mergeCell ref="B21:C21"/>
    <mergeCell ref="B23:E23"/>
    <mergeCell ref="B24:E24"/>
    <mergeCell ref="B43:E43"/>
    <mergeCell ref="B44:E44"/>
    <mergeCell ref="B55:E55"/>
    <mergeCell ref="B9:E9"/>
    <mergeCell ref="B2:E2"/>
    <mergeCell ref="B3:E3"/>
    <mergeCell ref="B5:E5"/>
    <mergeCell ref="B6:E6"/>
    <mergeCell ref="B8:E8"/>
  </mergeCell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8"/>
  <dimension ref="A1:G81"/>
  <sheetViews>
    <sheetView zoomScale="80" zoomScaleNormal="80" workbookViewId="0">
      <selection activeCell="E41" sqref="E41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7"/>
      <c r="C4" s="147"/>
      <c r="D4" s="147"/>
      <c r="E4" s="147"/>
    </row>
    <row r="5" spans="2:7" ht="14.25">
      <c r="B5" s="352" t="s">
        <v>1</v>
      </c>
      <c r="C5" s="352"/>
      <c r="D5" s="352"/>
      <c r="E5" s="352"/>
    </row>
    <row r="6" spans="2:7" ht="14.25">
      <c r="B6" s="353" t="s">
        <v>167</v>
      </c>
      <c r="C6" s="353"/>
      <c r="D6" s="353"/>
      <c r="E6" s="353"/>
    </row>
    <row r="7" spans="2:7" ht="14.25">
      <c r="B7" s="197"/>
      <c r="C7" s="197"/>
      <c r="D7" s="197"/>
      <c r="E7" s="197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98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240605.07</v>
      </c>
      <c r="E11" s="228">
        <f>SUM(E12:E14)</f>
        <v>246150.22</v>
      </c>
    </row>
    <row r="12" spans="2:7">
      <c r="B12" s="173" t="s">
        <v>4</v>
      </c>
      <c r="C12" s="174" t="s">
        <v>5</v>
      </c>
      <c r="D12" s="241">
        <v>240605.07</v>
      </c>
      <c r="E12" s="245">
        <v>246150.22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240605.07</v>
      </c>
      <c r="E21" s="148">
        <f>E11-E17</f>
        <v>246150.22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237202.49</v>
      </c>
      <c r="E26" s="217">
        <f>D21</f>
        <v>240605.07</v>
      </c>
    </row>
    <row r="27" spans="2:6">
      <c r="B27" s="9" t="s">
        <v>17</v>
      </c>
      <c r="C27" s="10" t="s">
        <v>111</v>
      </c>
      <c r="D27" s="323">
        <v>-3853.5</v>
      </c>
      <c r="E27" s="274">
        <v>-3842.6</v>
      </c>
      <c r="F27" s="71"/>
    </row>
    <row r="28" spans="2:6">
      <c r="B28" s="9" t="s">
        <v>18</v>
      </c>
      <c r="C28" s="10" t="s">
        <v>19</v>
      </c>
      <c r="D28" s="323">
        <v>0</v>
      </c>
      <c r="E28" s="275">
        <v>0</v>
      </c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3853.5</v>
      </c>
      <c r="E32" s="275">
        <v>3842.6</v>
      </c>
      <c r="F32" s="71"/>
    </row>
    <row r="33" spans="2:6">
      <c r="B33" s="181" t="s">
        <v>4</v>
      </c>
      <c r="C33" s="174" t="s">
        <v>25</v>
      </c>
      <c r="D33" s="324"/>
      <c r="E33" s="276"/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/>
      <c r="E35" s="276"/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3853.5</v>
      </c>
      <c r="E37" s="276">
        <v>3842.6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/>
      <c r="F39" s="71"/>
    </row>
    <row r="40" spans="2:6" ht="13.5" thickBot="1">
      <c r="B40" s="97" t="s">
        <v>35</v>
      </c>
      <c r="C40" s="98" t="s">
        <v>36</v>
      </c>
      <c r="D40" s="326">
        <v>7256.08</v>
      </c>
      <c r="E40" s="279">
        <v>9387.75</v>
      </c>
    </row>
    <row r="41" spans="2:6" ht="13.5" thickBot="1">
      <c r="B41" s="99" t="s">
        <v>37</v>
      </c>
      <c r="C41" s="100" t="s">
        <v>38</v>
      </c>
      <c r="D41" s="327">
        <v>240605.06999999998</v>
      </c>
      <c r="E41" s="148">
        <f>E26+E27+E40</f>
        <v>246150.22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2396.7109999999998</v>
      </c>
      <c r="E47" s="149">
        <v>2358.6419999999998</v>
      </c>
    </row>
    <row r="48" spans="2:6">
      <c r="B48" s="186" t="s">
        <v>6</v>
      </c>
      <c r="C48" s="187" t="s">
        <v>41</v>
      </c>
      <c r="D48" s="200">
        <v>2358.6419999999998</v>
      </c>
      <c r="E48" s="285">
        <v>2321.0770000000002</v>
      </c>
    </row>
    <row r="49" spans="2:5">
      <c r="B49" s="120" t="s">
        <v>23</v>
      </c>
      <c r="C49" s="124" t="s">
        <v>113</v>
      </c>
      <c r="D49" s="201"/>
      <c r="E49" s="224"/>
    </row>
    <row r="50" spans="2:5">
      <c r="B50" s="184" t="s">
        <v>4</v>
      </c>
      <c r="C50" s="185" t="s">
        <v>40</v>
      </c>
      <c r="D50" s="200">
        <v>98.97</v>
      </c>
      <c r="E50" s="149">
        <v>102.01</v>
      </c>
    </row>
    <row r="51" spans="2:5">
      <c r="B51" s="184" t="s">
        <v>6</v>
      </c>
      <c r="C51" s="185" t="s">
        <v>114</v>
      </c>
      <c r="D51" s="200">
        <v>98.94</v>
      </c>
      <c r="E51" s="75">
        <v>96.3</v>
      </c>
    </row>
    <row r="52" spans="2:5">
      <c r="B52" s="184" t="s">
        <v>8</v>
      </c>
      <c r="C52" s="185" t="s">
        <v>115</v>
      </c>
      <c r="D52" s="200">
        <v>103.61</v>
      </c>
      <c r="E52" s="75">
        <v>106.05</v>
      </c>
    </row>
    <row r="53" spans="2:5" ht="13.5" thickBot="1">
      <c r="B53" s="188" t="s">
        <v>9</v>
      </c>
      <c r="C53" s="189" t="s">
        <v>41</v>
      </c>
      <c r="D53" s="202">
        <v>102.01</v>
      </c>
      <c r="E53" s="290">
        <v>106.05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4.25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246150.22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246150.22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246150.22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v>0</v>
      </c>
      <c r="E75" s="79">
        <v>0</v>
      </c>
    </row>
    <row r="76" spans="2:5">
      <c r="B76" s="102" t="s">
        <v>6</v>
      </c>
      <c r="C76" s="15" t="s">
        <v>119</v>
      </c>
      <c r="D76" s="78">
        <f>D74</f>
        <v>246150.22</v>
      </c>
      <c r="E76" s="79">
        <f>E74</f>
        <v>1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6:E56"/>
    <mergeCell ref="B57:C57"/>
    <mergeCell ref="B21:C21"/>
    <mergeCell ref="B23:E23"/>
    <mergeCell ref="B24:E24"/>
    <mergeCell ref="B43:E43"/>
    <mergeCell ref="B44:E44"/>
    <mergeCell ref="B55:E55"/>
    <mergeCell ref="B9:E9"/>
    <mergeCell ref="B2:E2"/>
    <mergeCell ref="B3:E3"/>
    <mergeCell ref="B5:E5"/>
    <mergeCell ref="B6:E6"/>
    <mergeCell ref="B8:E8"/>
  </mergeCells>
  <pageMargins left="0.7" right="0.7" top="0.75" bottom="0.75" header="0.3" footer="0.3"/>
  <pageSetup paperSize="9" orientation="portrait" horizontalDpi="90" verticalDpi="9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9"/>
  <dimension ref="A1:G81"/>
  <sheetViews>
    <sheetView zoomScale="80" zoomScaleNormal="80" workbookViewId="0">
      <selection activeCell="E41" sqref="E41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34"/>
      <c r="C4" s="134"/>
      <c r="D4" s="134"/>
      <c r="E4" s="134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168</v>
      </c>
      <c r="C6" s="353"/>
      <c r="D6" s="353"/>
      <c r="E6" s="353"/>
    </row>
    <row r="7" spans="2:7" ht="14.25">
      <c r="B7" s="133"/>
      <c r="C7" s="133"/>
      <c r="D7" s="133"/>
      <c r="E7" s="133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35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176046.98</v>
      </c>
      <c r="E11" s="228">
        <f>SUM(E12:E14)</f>
        <v>150470.92000000001</v>
      </c>
    </row>
    <row r="12" spans="2:7">
      <c r="B12" s="173" t="s">
        <v>4</v>
      </c>
      <c r="C12" s="174" t="s">
        <v>5</v>
      </c>
      <c r="D12" s="241">
        <v>176046.98</v>
      </c>
      <c r="E12" s="245">
        <v>150470.92000000001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176046.98</v>
      </c>
      <c r="E21" s="148">
        <f>E11-E17</f>
        <v>150470.92000000001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39">
        <v>495016.01</v>
      </c>
      <c r="E26" s="217">
        <f>D21</f>
        <v>176046.98</v>
      </c>
    </row>
    <row r="27" spans="2:6">
      <c r="B27" s="9" t="s">
        <v>17</v>
      </c>
      <c r="C27" s="10" t="s">
        <v>111</v>
      </c>
      <c r="D27" s="340">
        <v>-424786.99</v>
      </c>
      <c r="E27" s="274">
        <v>-65575.44</v>
      </c>
      <c r="F27" s="71"/>
    </row>
    <row r="28" spans="2:6">
      <c r="B28" s="9" t="s">
        <v>18</v>
      </c>
      <c r="C28" s="10" t="s">
        <v>19</v>
      </c>
      <c r="D28" s="340">
        <v>0</v>
      </c>
      <c r="E28" s="275">
        <v>17998.099999999999</v>
      </c>
      <c r="F28" s="71"/>
    </row>
    <row r="29" spans="2:6">
      <c r="B29" s="181" t="s">
        <v>4</v>
      </c>
      <c r="C29" s="174" t="s">
        <v>20</v>
      </c>
      <c r="D29" s="241"/>
      <c r="E29" s="276"/>
      <c r="F29" s="71"/>
    </row>
    <row r="30" spans="2:6">
      <c r="B30" s="181" t="s">
        <v>6</v>
      </c>
      <c r="C30" s="174" t="s">
        <v>21</v>
      </c>
      <c r="D30" s="241"/>
      <c r="E30" s="276"/>
      <c r="F30" s="71"/>
    </row>
    <row r="31" spans="2:6">
      <c r="B31" s="181" t="s">
        <v>8</v>
      </c>
      <c r="C31" s="174" t="s">
        <v>22</v>
      </c>
      <c r="D31" s="241"/>
      <c r="E31" s="276">
        <v>17998.099999999999</v>
      </c>
      <c r="F31" s="71"/>
    </row>
    <row r="32" spans="2:6">
      <c r="B32" s="92" t="s">
        <v>23</v>
      </c>
      <c r="C32" s="11" t="s">
        <v>24</v>
      </c>
      <c r="D32" s="340">
        <v>424786.99</v>
      </c>
      <c r="E32" s="275">
        <v>83573.540000000008</v>
      </c>
      <c r="F32" s="71"/>
    </row>
    <row r="33" spans="2:6">
      <c r="B33" s="181" t="s">
        <v>4</v>
      </c>
      <c r="C33" s="174" t="s">
        <v>25</v>
      </c>
      <c r="D33" s="241">
        <v>415657.09</v>
      </c>
      <c r="E33" s="276">
        <v>20009.310000000001</v>
      </c>
      <c r="F33" s="71"/>
    </row>
    <row r="34" spans="2:6">
      <c r="B34" s="181" t="s">
        <v>6</v>
      </c>
      <c r="C34" s="174" t="s">
        <v>26</v>
      </c>
      <c r="D34" s="241"/>
      <c r="E34" s="276"/>
      <c r="F34" s="71"/>
    </row>
    <row r="35" spans="2:6">
      <c r="B35" s="181" t="s">
        <v>8</v>
      </c>
      <c r="C35" s="174" t="s">
        <v>27</v>
      </c>
      <c r="D35" s="241">
        <v>1702.9</v>
      </c>
      <c r="E35" s="276">
        <v>89.27</v>
      </c>
      <c r="F35" s="71"/>
    </row>
    <row r="36" spans="2:6">
      <c r="B36" s="181" t="s">
        <v>9</v>
      </c>
      <c r="C36" s="174" t="s">
        <v>28</v>
      </c>
      <c r="D36" s="241"/>
      <c r="E36" s="276"/>
      <c r="F36" s="71"/>
    </row>
    <row r="37" spans="2:6" ht="25.5">
      <c r="B37" s="181" t="s">
        <v>29</v>
      </c>
      <c r="C37" s="174" t="s">
        <v>30</v>
      </c>
      <c r="D37" s="241">
        <v>7427</v>
      </c>
      <c r="E37" s="276">
        <v>3091.76</v>
      </c>
      <c r="F37" s="71"/>
    </row>
    <row r="38" spans="2:6">
      <c r="B38" s="181" t="s">
        <v>31</v>
      </c>
      <c r="C38" s="174" t="s">
        <v>32</v>
      </c>
      <c r="D38" s="241"/>
      <c r="E38" s="276"/>
      <c r="F38" s="71"/>
    </row>
    <row r="39" spans="2:6">
      <c r="B39" s="182" t="s">
        <v>33</v>
      </c>
      <c r="C39" s="183" t="s">
        <v>34</v>
      </c>
      <c r="D39" s="341"/>
      <c r="E39" s="277">
        <v>60383.199999999997</v>
      </c>
      <c r="F39" s="71"/>
    </row>
    <row r="40" spans="2:6" ht="13.5" thickBot="1">
      <c r="B40" s="97" t="s">
        <v>35</v>
      </c>
      <c r="C40" s="98" t="s">
        <v>36</v>
      </c>
      <c r="D40" s="342">
        <v>105817.96</v>
      </c>
      <c r="E40" s="279">
        <v>39999.379999999997</v>
      </c>
    </row>
    <row r="41" spans="2:6" ht="13.5" thickBot="1">
      <c r="B41" s="99" t="s">
        <v>37</v>
      </c>
      <c r="C41" s="100" t="s">
        <v>38</v>
      </c>
      <c r="D41" s="231">
        <v>176046.98000000004</v>
      </c>
      <c r="E41" s="148">
        <f>E26+E27+E40</f>
        <v>150470.92000000001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328">
        <v>1968.6459</v>
      </c>
      <c r="E47" s="149">
        <v>565.77639999999997</v>
      </c>
    </row>
    <row r="48" spans="2:6">
      <c r="B48" s="186" t="s">
        <v>6</v>
      </c>
      <c r="C48" s="187" t="s">
        <v>41</v>
      </c>
      <c r="D48" s="328">
        <v>565.77639999999997</v>
      </c>
      <c r="E48" s="286">
        <v>377.12009999999998</v>
      </c>
    </row>
    <row r="49" spans="2:5">
      <c r="B49" s="120" t="s">
        <v>23</v>
      </c>
      <c r="C49" s="124" t="s">
        <v>113</v>
      </c>
      <c r="D49" s="331"/>
      <c r="E49" s="218"/>
    </row>
    <row r="50" spans="2:5">
      <c r="B50" s="184" t="s">
        <v>4</v>
      </c>
      <c r="C50" s="185" t="s">
        <v>40</v>
      </c>
      <c r="D50" s="328">
        <v>251.45</v>
      </c>
      <c r="E50" s="218">
        <v>311.16000000000003</v>
      </c>
    </row>
    <row r="51" spans="2:5">
      <c r="B51" s="184" t="s">
        <v>6</v>
      </c>
      <c r="C51" s="185" t="s">
        <v>114</v>
      </c>
      <c r="D51" s="328">
        <v>246.9</v>
      </c>
      <c r="E51" s="218">
        <v>222.45</v>
      </c>
    </row>
    <row r="52" spans="2:5">
      <c r="B52" s="184" t="s">
        <v>8</v>
      </c>
      <c r="C52" s="185" t="s">
        <v>115</v>
      </c>
      <c r="D52" s="328">
        <v>312.02999999999997</v>
      </c>
      <c r="E52" s="219">
        <v>401</v>
      </c>
    </row>
    <row r="53" spans="2:5" ht="14.25" customHeight="1" thickBot="1">
      <c r="B53" s="188" t="s">
        <v>9</v>
      </c>
      <c r="C53" s="189" t="s">
        <v>41</v>
      </c>
      <c r="D53" s="202">
        <v>311.16000000000003</v>
      </c>
      <c r="E53" s="292">
        <v>399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6.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150470.92000000001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2.7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150470.92000000001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150470.92000000001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150470.92000000001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0">
    <pageSetUpPr fitToPage="1"/>
  </sheetPr>
  <dimension ref="A1:F81"/>
  <sheetViews>
    <sheetView zoomScale="80" zoomScaleNormal="80" workbookViewId="0">
      <selection activeCell="G1" sqref="G1:L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1" t="s">
        <v>0</v>
      </c>
      <c r="C2" s="351"/>
      <c r="D2" s="351"/>
      <c r="E2" s="351"/>
    </row>
    <row r="3" spans="2:5" ht="15.75">
      <c r="B3" s="351" t="s">
        <v>271</v>
      </c>
      <c r="C3" s="351"/>
      <c r="D3" s="351"/>
      <c r="E3" s="351"/>
    </row>
    <row r="4" spans="2:5" ht="15">
      <c r="B4" s="134"/>
      <c r="C4" s="134"/>
      <c r="D4" s="134"/>
      <c r="E4" s="134"/>
    </row>
    <row r="5" spans="2:5" ht="21" customHeight="1">
      <c r="B5" s="352" t="s">
        <v>1</v>
      </c>
      <c r="C5" s="352"/>
      <c r="D5" s="352"/>
      <c r="E5" s="352"/>
    </row>
    <row r="6" spans="2:5" ht="14.25">
      <c r="B6" s="353" t="s">
        <v>169</v>
      </c>
      <c r="C6" s="353"/>
      <c r="D6" s="353"/>
      <c r="E6" s="353"/>
    </row>
    <row r="7" spans="2:5" ht="14.25">
      <c r="B7" s="133"/>
      <c r="C7" s="133"/>
      <c r="D7" s="133"/>
      <c r="E7" s="133"/>
    </row>
    <row r="8" spans="2:5" ht="13.5">
      <c r="B8" s="355" t="s">
        <v>18</v>
      </c>
      <c r="C8" s="357"/>
      <c r="D8" s="357"/>
      <c r="E8" s="357"/>
    </row>
    <row r="9" spans="2:5" ht="16.5" thickBot="1">
      <c r="B9" s="354" t="s">
        <v>103</v>
      </c>
      <c r="C9" s="354"/>
      <c r="D9" s="354"/>
      <c r="E9" s="354"/>
    </row>
    <row r="10" spans="2:5" ht="13.5" thickBot="1">
      <c r="B10" s="135"/>
      <c r="C10" s="76" t="s">
        <v>2</v>
      </c>
      <c r="D10" s="70" t="s">
        <v>245</v>
      </c>
      <c r="E10" s="255" t="s">
        <v>265</v>
      </c>
    </row>
    <row r="11" spans="2:5">
      <c r="B11" s="90" t="s">
        <v>3</v>
      </c>
      <c r="C11" s="128" t="s">
        <v>109</v>
      </c>
      <c r="D11" s="227">
        <v>54284.9</v>
      </c>
      <c r="E11" s="228">
        <f>SUM(E12:E14)</f>
        <v>129053.06</v>
      </c>
    </row>
    <row r="12" spans="2:5">
      <c r="B12" s="173" t="s">
        <v>4</v>
      </c>
      <c r="C12" s="174" t="s">
        <v>5</v>
      </c>
      <c r="D12" s="241">
        <v>54284.9</v>
      </c>
      <c r="E12" s="245">
        <v>129053.06</v>
      </c>
    </row>
    <row r="13" spans="2:5">
      <c r="B13" s="173" t="s">
        <v>6</v>
      </c>
      <c r="C13" s="175" t="s">
        <v>7</v>
      </c>
      <c r="D13" s="237"/>
      <c r="E13" s="246"/>
    </row>
    <row r="14" spans="2:5">
      <c r="B14" s="173" t="s">
        <v>8</v>
      </c>
      <c r="C14" s="175" t="s">
        <v>10</v>
      </c>
      <c r="D14" s="237"/>
      <c r="E14" s="246"/>
    </row>
    <row r="15" spans="2:5">
      <c r="B15" s="173" t="s">
        <v>106</v>
      </c>
      <c r="C15" s="175" t="s">
        <v>11</v>
      </c>
      <c r="D15" s="237"/>
      <c r="E15" s="246"/>
    </row>
    <row r="16" spans="2:5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54284.9</v>
      </c>
      <c r="E21" s="148">
        <f>E11-E17</f>
        <v>129053.06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133581.01999999999</v>
      </c>
      <c r="E26" s="217">
        <f>D21</f>
        <v>54284.9</v>
      </c>
    </row>
    <row r="27" spans="2:6">
      <c r="B27" s="9" t="s">
        <v>17</v>
      </c>
      <c r="C27" s="10" t="s">
        <v>111</v>
      </c>
      <c r="D27" s="323">
        <v>-95176.22</v>
      </c>
      <c r="E27" s="274">
        <f>E28-E32</f>
        <v>57197.94</v>
      </c>
      <c r="F27" s="71"/>
    </row>
    <row r="28" spans="2:6">
      <c r="B28" s="9" t="s">
        <v>18</v>
      </c>
      <c r="C28" s="10" t="s">
        <v>19</v>
      </c>
      <c r="D28" s="323">
        <v>74747.83</v>
      </c>
      <c r="E28" s="275">
        <v>154524.72</v>
      </c>
      <c r="F28" s="71"/>
    </row>
    <row r="29" spans="2:6">
      <c r="B29" s="181" t="s">
        <v>4</v>
      </c>
      <c r="C29" s="174" t="s">
        <v>20</v>
      </c>
      <c r="D29" s="324">
        <v>18161.96</v>
      </c>
      <c r="E29" s="276">
        <v>27061.41</v>
      </c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>
        <v>56585.87</v>
      </c>
      <c r="E31" s="276">
        <v>127463.31</v>
      </c>
      <c r="F31" s="71"/>
    </row>
    <row r="32" spans="2:6">
      <c r="B32" s="92" t="s">
        <v>23</v>
      </c>
      <c r="C32" s="11" t="s">
        <v>24</v>
      </c>
      <c r="D32" s="323">
        <v>169924.05</v>
      </c>
      <c r="E32" s="275">
        <f>SUM(E33:E39)</f>
        <v>97326.78</v>
      </c>
      <c r="F32" s="71"/>
    </row>
    <row r="33" spans="2:6">
      <c r="B33" s="181" t="s">
        <v>4</v>
      </c>
      <c r="C33" s="174" t="s">
        <v>25</v>
      </c>
      <c r="D33" s="324">
        <v>11990.47</v>
      </c>
      <c r="E33" s="276">
        <f>33122.23+206.74</f>
        <v>33328.97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537.72</v>
      </c>
      <c r="E35" s="276">
        <v>937.29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910.68</v>
      </c>
      <c r="E37" s="276">
        <v>793.77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>
        <v>156485.18</v>
      </c>
      <c r="E39" s="277">
        <v>62266.75</v>
      </c>
      <c r="F39" s="71"/>
    </row>
    <row r="40" spans="2:6" ht="13.5" thickBot="1">
      <c r="B40" s="97" t="s">
        <v>35</v>
      </c>
      <c r="C40" s="98" t="s">
        <v>36</v>
      </c>
      <c r="D40" s="326">
        <v>15880.1</v>
      </c>
      <c r="E40" s="279">
        <v>17570.22</v>
      </c>
    </row>
    <row r="41" spans="2:6" ht="13.5" thickBot="1">
      <c r="B41" s="99" t="s">
        <v>37</v>
      </c>
      <c r="C41" s="100" t="s">
        <v>38</v>
      </c>
      <c r="D41" s="327">
        <v>54284.899999999987</v>
      </c>
      <c r="E41" s="148">
        <f>E26+E27+E40</f>
        <v>129053.06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322.20030000000003</v>
      </c>
      <c r="E47" s="149">
        <v>110.1404</v>
      </c>
    </row>
    <row r="48" spans="2:6">
      <c r="B48" s="186" t="s">
        <v>6</v>
      </c>
      <c r="C48" s="187" t="s">
        <v>41</v>
      </c>
      <c r="D48" s="200">
        <v>110.1404</v>
      </c>
      <c r="E48" s="286">
        <v>205.99379999999999</v>
      </c>
    </row>
    <row r="49" spans="2:5">
      <c r="B49" s="120" t="s">
        <v>23</v>
      </c>
      <c r="C49" s="124" t="s">
        <v>113</v>
      </c>
      <c r="D49" s="201"/>
      <c r="E49" s="218"/>
    </row>
    <row r="50" spans="2:5">
      <c r="B50" s="184" t="s">
        <v>4</v>
      </c>
      <c r="C50" s="185" t="s">
        <v>40</v>
      </c>
      <c r="D50" s="200">
        <v>414.59</v>
      </c>
      <c r="E50" s="218">
        <v>492.87</v>
      </c>
    </row>
    <row r="51" spans="2:5">
      <c r="B51" s="184" t="s">
        <v>6</v>
      </c>
      <c r="C51" s="185" t="s">
        <v>114</v>
      </c>
      <c r="D51" s="200">
        <v>410.28000000000003</v>
      </c>
      <c r="E51" s="218">
        <v>375.52</v>
      </c>
    </row>
    <row r="52" spans="2:5">
      <c r="B52" s="184" t="s">
        <v>8</v>
      </c>
      <c r="C52" s="185" t="s">
        <v>115</v>
      </c>
      <c r="D52" s="200">
        <v>494.34</v>
      </c>
      <c r="E52" s="219">
        <v>629.12</v>
      </c>
    </row>
    <row r="53" spans="2:5" ht="13.5" customHeight="1" thickBot="1">
      <c r="B53" s="188" t="s">
        <v>9</v>
      </c>
      <c r="C53" s="189" t="s">
        <v>41</v>
      </c>
      <c r="D53" s="202">
        <v>492.87</v>
      </c>
      <c r="E53" s="290">
        <v>626.49</v>
      </c>
    </row>
    <row r="54" spans="2:5">
      <c r="B54" s="109"/>
      <c r="C54" s="110"/>
      <c r="D54" s="111"/>
      <c r="E54" s="199"/>
    </row>
    <row r="55" spans="2:5" ht="13.5">
      <c r="B55" s="356" t="s">
        <v>62</v>
      </c>
      <c r="C55" s="357"/>
      <c r="D55" s="357"/>
      <c r="E55" s="357"/>
    </row>
    <row r="56" spans="2:5" ht="20.2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129053.06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3.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129053.06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129053.06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129053.06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1"/>
  <dimension ref="A1:G81"/>
  <sheetViews>
    <sheetView zoomScale="80" zoomScaleNormal="80" workbookViewId="0">
      <selection activeCell="G16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34"/>
      <c r="C4" s="134"/>
      <c r="D4" s="134"/>
      <c r="E4" s="134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170</v>
      </c>
      <c r="C6" s="353"/>
      <c r="D6" s="353"/>
      <c r="E6" s="353"/>
    </row>
    <row r="7" spans="2:7" ht="14.25">
      <c r="B7" s="133"/>
      <c r="C7" s="133"/>
      <c r="D7" s="133"/>
      <c r="E7" s="133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35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322565.65000000002</v>
      </c>
      <c r="E11" s="228">
        <f>SUM(E12:E14)</f>
        <v>241687.16</v>
      </c>
    </row>
    <row r="12" spans="2:7">
      <c r="B12" s="106" t="s">
        <v>4</v>
      </c>
      <c r="C12" s="6" t="s">
        <v>5</v>
      </c>
      <c r="D12" s="241">
        <v>322565.65000000002</v>
      </c>
      <c r="E12" s="245">
        <v>241687.16</v>
      </c>
    </row>
    <row r="13" spans="2:7">
      <c r="B13" s="106" t="s">
        <v>6</v>
      </c>
      <c r="C13" s="68" t="s">
        <v>7</v>
      </c>
      <c r="D13" s="237"/>
      <c r="E13" s="246"/>
    </row>
    <row r="14" spans="2:7">
      <c r="B14" s="106" t="s">
        <v>8</v>
      </c>
      <c r="C14" s="68" t="s">
        <v>10</v>
      </c>
      <c r="D14" s="237"/>
      <c r="E14" s="246"/>
    </row>
    <row r="15" spans="2:7">
      <c r="B15" s="106" t="s">
        <v>106</v>
      </c>
      <c r="C15" s="68" t="s">
        <v>11</v>
      </c>
      <c r="D15" s="237"/>
      <c r="E15" s="246"/>
    </row>
    <row r="16" spans="2:7">
      <c r="B16" s="107" t="s">
        <v>107</v>
      </c>
      <c r="C16" s="91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06" t="s">
        <v>4</v>
      </c>
      <c r="C18" s="6" t="s">
        <v>11</v>
      </c>
      <c r="D18" s="239"/>
      <c r="E18" s="247"/>
    </row>
    <row r="19" spans="2:6" ht="15" customHeight="1">
      <c r="B19" s="106" t="s">
        <v>6</v>
      </c>
      <c r="C19" s="68" t="s">
        <v>108</v>
      </c>
      <c r="D19" s="237"/>
      <c r="E19" s="246"/>
    </row>
    <row r="20" spans="2:6" ht="13.5" thickBot="1">
      <c r="B20" s="108" t="s">
        <v>8</v>
      </c>
      <c r="C20" s="6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322565.65000000002</v>
      </c>
      <c r="E21" s="148">
        <f>E11-E17</f>
        <v>241687.16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3"/>
      <c r="D23" s="363"/>
      <c r="E23" s="363"/>
    </row>
    <row r="24" spans="2:6" ht="15.75" customHeight="1" thickBot="1">
      <c r="B24" s="354" t="s">
        <v>105</v>
      </c>
      <c r="C24" s="364"/>
      <c r="D24" s="364"/>
      <c r="E24" s="364"/>
    </row>
    <row r="25" spans="2:6" ht="13.5" thickBot="1">
      <c r="B25" s="135"/>
      <c r="C25" s="5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184427.76</v>
      </c>
      <c r="E26" s="217">
        <f>D21</f>
        <v>322565.65000000002</v>
      </c>
    </row>
    <row r="27" spans="2:6">
      <c r="B27" s="9" t="s">
        <v>17</v>
      </c>
      <c r="C27" s="10" t="s">
        <v>111</v>
      </c>
      <c r="D27" s="323">
        <v>109536.49999999999</v>
      </c>
      <c r="E27" s="274">
        <f>E28-E32</f>
        <v>-102679.16000000002</v>
      </c>
      <c r="F27" s="71"/>
    </row>
    <row r="28" spans="2:6">
      <c r="B28" s="9" t="s">
        <v>18</v>
      </c>
      <c r="C28" s="10" t="s">
        <v>19</v>
      </c>
      <c r="D28" s="323">
        <v>144043.85999999999</v>
      </c>
      <c r="E28" s="275">
        <v>102365.64</v>
      </c>
      <c r="F28" s="71"/>
    </row>
    <row r="29" spans="2:6">
      <c r="B29" s="104" t="s">
        <v>4</v>
      </c>
      <c r="C29" s="6" t="s">
        <v>20</v>
      </c>
      <c r="D29" s="324">
        <v>114832.2</v>
      </c>
      <c r="E29" s="276">
        <v>16624.09</v>
      </c>
      <c r="F29" s="71"/>
    </row>
    <row r="30" spans="2:6">
      <c r="B30" s="104" t="s">
        <v>6</v>
      </c>
      <c r="C30" s="6" t="s">
        <v>21</v>
      </c>
      <c r="D30" s="324"/>
      <c r="E30" s="276"/>
      <c r="F30" s="71"/>
    </row>
    <row r="31" spans="2:6">
      <c r="B31" s="104" t="s">
        <v>8</v>
      </c>
      <c r="C31" s="6" t="s">
        <v>22</v>
      </c>
      <c r="D31" s="324">
        <v>29211.66</v>
      </c>
      <c r="E31" s="276">
        <v>85741.55</v>
      </c>
      <c r="F31" s="71"/>
    </row>
    <row r="32" spans="2:6">
      <c r="B32" s="92" t="s">
        <v>23</v>
      </c>
      <c r="C32" s="11" t="s">
        <v>24</v>
      </c>
      <c r="D32" s="323">
        <v>34507.360000000001</v>
      </c>
      <c r="E32" s="275">
        <f>SUM(E33:E39)</f>
        <v>205044.80000000002</v>
      </c>
      <c r="F32" s="71"/>
    </row>
    <row r="33" spans="2:6">
      <c r="B33" s="104" t="s">
        <v>4</v>
      </c>
      <c r="C33" s="6" t="s">
        <v>25</v>
      </c>
      <c r="D33" s="324">
        <v>19964.53</v>
      </c>
      <c r="E33" s="276">
        <f>31978.48+1226.13</f>
        <v>33204.61</v>
      </c>
      <c r="F33" s="71"/>
    </row>
    <row r="34" spans="2:6">
      <c r="B34" s="104" t="s">
        <v>6</v>
      </c>
      <c r="C34" s="6" t="s">
        <v>26</v>
      </c>
      <c r="D34" s="324"/>
      <c r="E34" s="276"/>
      <c r="F34" s="71"/>
    </row>
    <row r="35" spans="2:6">
      <c r="B35" s="104" t="s">
        <v>8</v>
      </c>
      <c r="C35" s="6" t="s">
        <v>27</v>
      </c>
      <c r="D35" s="324">
        <v>1140.0899999999999</v>
      </c>
      <c r="E35" s="276">
        <v>1143.53</v>
      </c>
      <c r="F35" s="71"/>
    </row>
    <row r="36" spans="2:6">
      <c r="B36" s="104" t="s">
        <v>9</v>
      </c>
      <c r="C36" s="6" t="s">
        <v>28</v>
      </c>
      <c r="D36" s="324"/>
      <c r="E36" s="276"/>
      <c r="F36" s="71"/>
    </row>
    <row r="37" spans="2:6" ht="25.5">
      <c r="B37" s="104" t="s">
        <v>29</v>
      </c>
      <c r="C37" s="6" t="s">
        <v>30</v>
      </c>
      <c r="D37" s="324">
        <v>2861.66</v>
      </c>
      <c r="E37" s="276">
        <v>3036.71</v>
      </c>
      <c r="F37" s="71"/>
    </row>
    <row r="38" spans="2:6">
      <c r="B38" s="104" t="s">
        <v>31</v>
      </c>
      <c r="C38" s="6" t="s">
        <v>32</v>
      </c>
      <c r="D38" s="324"/>
      <c r="E38" s="276"/>
      <c r="F38" s="71"/>
    </row>
    <row r="39" spans="2:6">
      <c r="B39" s="105" t="s">
        <v>33</v>
      </c>
      <c r="C39" s="12" t="s">
        <v>34</v>
      </c>
      <c r="D39" s="325">
        <v>10541.080000000002</v>
      </c>
      <c r="E39" s="277">
        <v>167659.95000000001</v>
      </c>
      <c r="F39" s="71"/>
    </row>
    <row r="40" spans="2:6" ht="13.5" thickBot="1">
      <c r="B40" s="97" t="s">
        <v>35</v>
      </c>
      <c r="C40" s="98" t="s">
        <v>36</v>
      </c>
      <c r="D40" s="326">
        <v>28601.39</v>
      </c>
      <c r="E40" s="279">
        <v>21800.67</v>
      </c>
    </row>
    <row r="41" spans="2:6" ht="13.5" thickBot="1">
      <c r="B41" s="99" t="s">
        <v>37</v>
      </c>
      <c r="C41" s="100" t="s">
        <v>38</v>
      </c>
      <c r="D41" s="327">
        <v>322565.65000000002</v>
      </c>
      <c r="E41" s="148">
        <f>E26+E27+E40</f>
        <v>241687.15999999997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8" customHeight="1" thickBot="1">
      <c r="B44" s="354" t="s">
        <v>121</v>
      </c>
      <c r="C44" s="358"/>
      <c r="D44" s="358"/>
      <c r="E44" s="358"/>
    </row>
    <row r="45" spans="2:6" ht="13.5" thickBot="1">
      <c r="B45" s="135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739.42650000000003</v>
      </c>
      <c r="E47" s="149">
        <v>1111.9885999999999</v>
      </c>
    </row>
    <row r="48" spans="2:6">
      <c r="B48" s="123" t="s">
        <v>6</v>
      </c>
      <c r="C48" s="22" t="s">
        <v>41</v>
      </c>
      <c r="D48" s="200">
        <v>1111.9885999999999</v>
      </c>
      <c r="E48" s="286">
        <v>752.82569999999998</v>
      </c>
    </row>
    <row r="49" spans="2:5">
      <c r="B49" s="120" t="s">
        <v>23</v>
      </c>
      <c r="C49" s="124" t="s">
        <v>113</v>
      </c>
      <c r="D49" s="201"/>
      <c r="E49" s="218"/>
    </row>
    <row r="50" spans="2:5">
      <c r="B50" s="102" t="s">
        <v>4</v>
      </c>
      <c r="C50" s="15" t="s">
        <v>40</v>
      </c>
      <c r="D50" s="200">
        <v>249.42</v>
      </c>
      <c r="E50" s="218">
        <v>290.08</v>
      </c>
    </row>
    <row r="51" spans="2:5">
      <c r="B51" s="102" t="s">
        <v>6</v>
      </c>
      <c r="C51" s="15" t="s">
        <v>114</v>
      </c>
      <c r="D51" s="200">
        <v>248.48000000000002</v>
      </c>
      <c r="E51" s="219">
        <v>221.58</v>
      </c>
    </row>
    <row r="52" spans="2:5">
      <c r="B52" s="102" t="s">
        <v>8</v>
      </c>
      <c r="C52" s="15" t="s">
        <v>115</v>
      </c>
      <c r="D52" s="200">
        <v>295.27999999999997</v>
      </c>
      <c r="E52" s="219">
        <v>325.05</v>
      </c>
    </row>
    <row r="53" spans="2:5" ht="12.75" customHeight="1" thickBot="1">
      <c r="B53" s="103" t="s">
        <v>9</v>
      </c>
      <c r="C53" s="17" t="s">
        <v>41</v>
      </c>
      <c r="D53" s="202">
        <v>290.08</v>
      </c>
      <c r="E53" s="290">
        <v>321.04000000000002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5.7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241687.16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3.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241687.16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241687.16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241687.16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48" right="0.75" top="0.52" bottom="0.43" header="0.5" footer="0.5"/>
  <pageSetup paperSize="9" scale="70" orientation="portrait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2"/>
  <dimension ref="A1:G81"/>
  <sheetViews>
    <sheetView zoomScale="80" zoomScaleNormal="80" workbookViewId="0">
      <selection activeCell="G13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34"/>
      <c r="C4" s="134"/>
      <c r="D4" s="134"/>
      <c r="E4" s="134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171</v>
      </c>
      <c r="C6" s="353"/>
      <c r="D6" s="353"/>
      <c r="E6" s="353"/>
    </row>
    <row r="7" spans="2:7" ht="14.25">
      <c r="B7" s="133"/>
      <c r="C7" s="133"/>
      <c r="D7" s="133"/>
      <c r="E7" s="133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35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1054816.6299999999</v>
      </c>
      <c r="E11" s="228">
        <f>SUM(E12:E14)</f>
        <v>809837.2</v>
      </c>
    </row>
    <row r="12" spans="2:7">
      <c r="B12" s="173" t="s">
        <v>4</v>
      </c>
      <c r="C12" s="174" t="s">
        <v>5</v>
      </c>
      <c r="D12" s="241">
        <v>1054816.6299999999</v>
      </c>
      <c r="E12" s="245">
        <v>809837.2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1054816.6299999999</v>
      </c>
      <c r="E21" s="148">
        <f>E11-E17</f>
        <v>809837.2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1162478.51</v>
      </c>
      <c r="E26" s="217">
        <f>D21</f>
        <v>1054816.6299999999</v>
      </c>
    </row>
    <row r="27" spans="2:6">
      <c r="B27" s="9" t="s">
        <v>17</v>
      </c>
      <c r="C27" s="10" t="s">
        <v>111</v>
      </c>
      <c r="D27" s="323">
        <v>-316926.65999999997</v>
      </c>
      <c r="E27" s="274">
        <v>-495265.18</v>
      </c>
      <c r="F27" s="71"/>
    </row>
    <row r="28" spans="2:6">
      <c r="B28" s="9" t="s">
        <v>18</v>
      </c>
      <c r="C28" s="10" t="s">
        <v>19</v>
      </c>
      <c r="D28" s="323">
        <v>21320.880000000001</v>
      </c>
      <c r="E28" s="275">
        <v>37298.86</v>
      </c>
      <c r="F28" s="71"/>
    </row>
    <row r="29" spans="2:6">
      <c r="B29" s="181" t="s">
        <v>4</v>
      </c>
      <c r="C29" s="174" t="s">
        <v>20</v>
      </c>
      <c r="D29" s="324"/>
      <c r="E29" s="276">
        <v>18199.93</v>
      </c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>
        <v>21320.880000000001</v>
      </c>
      <c r="E31" s="276">
        <v>19098.93</v>
      </c>
      <c r="F31" s="71"/>
    </row>
    <row r="32" spans="2:6">
      <c r="B32" s="92" t="s">
        <v>23</v>
      </c>
      <c r="C32" s="11" t="s">
        <v>24</v>
      </c>
      <c r="D32" s="323">
        <v>338247.54000000004</v>
      </c>
      <c r="E32" s="275">
        <v>532564.04</v>
      </c>
      <c r="F32" s="71"/>
    </row>
    <row r="33" spans="2:6">
      <c r="B33" s="181" t="s">
        <v>4</v>
      </c>
      <c r="C33" s="174" t="s">
        <v>25</v>
      </c>
      <c r="D33" s="324">
        <v>316804.57</v>
      </c>
      <c r="E33" s="276">
        <v>478036.04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867.34</v>
      </c>
      <c r="E35" s="276">
        <v>603.57000000000005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20575.63</v>
      </c>
      <c r="E37" s="276">
        <v>21249.77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>
        <v>32674.66</v>
      </c>
      <c r="F39" s="71"/>
    </row>
    <row r="40" spans="2:6" ht="13.5" thickBot="1">
      <c r="B40" s="97" t="s">
        <v>35</v>
      </c>
      <c r="C40" s="98" t="s">
        <v>36</v>
      </c>
      <c r="D40" s="326">
        <v>209264.78</v>
      </c>
      <c r="E40" s="279">
        <v>250285.75</v>
      </c>
    </row>
    <row r="41" spans="2:6" ht="13.5" thickBot="1">
      <c r="B41" s="99" t="s">
        <v>37</v>
      </c>
      <c r="C41" s="100" t="s">
        <v>38</v>
      </c>
      <c r="D41" s="327">
        <v>1054816.6300000001</v>
      </c>
      <c r="E41" s="148">
        <f>E26+E27+E40</f>
        <v>809837.2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2091.1648</v>
      </c>
      <c r="E47" s="149">
        <v>1574.6116999999999</v>
      </c>
    </row>
    <row r="48" spans="2:6">
      <c r="B48" s="186" t="s">
        <v>6</v>
      </c>
      <c r="C48" s="187" t="s">
        <v>41</v>
      </c>
      <c r="D48" s="200">
        <v>1574.6116999999999</v>
      </c>
      <c r="E48" s="286">
        <v>958.68219999999997</v>
      </c>
    </row>
    <row r="49" spans="2:5">
      <c r="B49" s="120" t="s">
        <v>23</v>
      </c>
      <c r="C49" s="124" t="s">
        <v>113</v>
      </c>
      <c r="D49" s="201"/>
      <c r="E49" s="218"/>
    </row>
    <row r="50" spans="2:5">
      <c r="B50" s="184" t="s">
        <v>4</v>
      </c>
      <c r="C50" s="185" t="s">
        <v>40</v>
      </c>
      <c r="D50" s="200">
        <v>555.9</v>
      </c>
      <c r="E50" s="218">
        <v>669.89</v>
      </c>
    </row>
    <row r="51" spans="2:5">
      <c r="B51" s="184" t="s">
        <v>6</v>
      </c>
      <c r="C51" s="185" t="s">
        <v>114</v>
      </c>
      <c r="D51" s="200">
        <v>549.43000000000006</v>
      </c>
      <c r="E51" s="218">
        <v>556.80999999999995</v>
      </c>
    </row>
    <row r="52" spans="2:5">
      <c r="B52" s="184" t="s">
        <v>8</v>
      </c>
      <c r="C52" s="185" t="s">
        <v>115</v>
      </c>
      <c r="D52" s="200">
        <v>672.89</v>
      </c>
      <c r="E52" s="295">
        <v>849.32</v>
      </c>
    </row>
    <row r="53" spans="2:5" ht="13.5" customHeight="1" thickBot="1">
      <c r="B53" s="188" t="s">
        <v>9</v>
      </c>
      <c r="C53" s="189" t="s">
        <v>41</v>
      </c>
      <c r="D53" s="202">
        <v>669.89</v>
      </c>
      <c r="E53" s="290">
        <v>844.74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6.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809837.2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2.7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809837.2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809837.2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809837.2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9" right="0.75" top="0.62" bottom="0.61" header="0.5" footer="0.5"/>
  <pageSetup paperSize="9" scale="70" orientation="portrait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3">
    <pageSetUpPr fitToPage="1"/>
  </sheetPr>
  <dimension ref="A1:G81"/>
  <sheetViews>
    <sheetView zoomScale="80" zoomScaleNormal="80" workbookViewId="0">
      <selection activeCell="E41" sqref="E41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34"/>
      <c r="C4" s="134"/>
      <c r="D4" s="134"/>
      <c r="E4" s="134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172</v>
      </c>
      <c r="C6" s="353"/>
      <c r="D6" s="353"/>
      <c r="E6" s="353"/>
    </row>
    <row r="7" spans="2:7" ht="14.25">
      <c r="B7" s="133"/>
      <c r="C7" s="133"/>
      <c r="D7" s="133"/>
      <c r="E7" s="133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35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97480.51</v>
      </c>
      <c r="E11" s="228">
        <f>SUM(E12:E14)</f>
        <v>106316.38</v>
      </c>
    </row>
    <row r="12" spans="2:7">
      <c r="B12" s="173" t="s">
        <v>4</v>
      </c>
      <c r="C12" s="174" t="s">
        <v>5</v>
      </c>
      <c r="D12" s="241">
        <v>97480.51</v>
      </c>
      <c r="E12" s="245">
        <v>106316.38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97480.51</v>
      </c>
      <c r="E21" s="148">
        <f>E11-E17</f>
        <v>106316.38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34332.910000000003</v>
      </c>
      <c r="E26" s="217">
        <f>D21</f>
        <v>97480.51</v>
      </c>
    </row>
    <row r="27" spans="2:6">
      <c r="B27" s="9" t="s">
        <v>17</v>
      </c>
      <c r="C27" s="10" t="s">
        <v>111</v>
      </c>
      <c r="D27" s="323">
        <v>49191.729999999996</v>
      </c>
      <c r="E27" s="274">
        <f>E28-E32</f>
        <v>17479.949999999983</v>
      </c>
      <c r="F27" s="71"/>
    </row>
    <row r="28" spans="2:6">
      <c r="B28" s="9" t="s">
        <v>18</v>
      </c>
      <c r="C28" s="10" t="s">
        <v>19</v>
      </c>
      <c r="D28" s="323">
        <v>155149.15</v>
      </c>
      <c r="E28" s="275">
        <v>128892.87</v>
      </c>
      <c r="F28" s="71"/>
    </row>
    <row r="29" spans="2:6">
      <c r="B29" s="181" t="s">
        <v>4</v>
      </c>
      <c r="C29" s="174" t="s">
        <v>20</v>
      </c>
      <c r="D29" s="324">
        <v>8570.18</v>
      </c>
      <c r="E29" s="276">
        <v>14389.76</v>
      </c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>
        <v>146578.97</v>
      </c>
      <c r="E31" s="276">
        <v>114503.11</v>
      </c>
      <c r="F31" s="71"/>
    </row>
    <row r="32" spans="2:6">
      <c r="B32" s="92" t="s">
        <v>23</v>
      </c>
      <c r="C32" s="11" t="s">
        <v>24</v>
      </c>
      <c r="D32" s="323">
        <v>105957.42</v>
      </c>
      <c r="E32" s="275">
        <f>SUM(E33:E39)</f>
        <v>111412.92000000001</v>
      </c>
      <c r="F32" s="71"/>
    </row>
    <row r="33" spans="2:6">
      <c r="B33" s="181" t="s">
        <v>4</v>
      </c>
      <c r="C33" s="174" t="s">
        <v>25</v>
      </c>
      <c r="D33" s="324">
        <v>537.94999999999982</v>
      </c>
      <c r="E33" s="276">
        <f>26821.97+1924.5</f>
        <v>28746.47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536.23</v>
      </c>
      <c r="E35" s="276">
        <v>531.29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722.47</v>
      </c>
      <c r="E37" s="276">
        <v>729.17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>
        <v>104160.77</v>
      </c>
      <c r="E39" s="277">
        <v>81405.990000000005</v>
      </c>
      <c r="F39" s="71"/>
    </row>
    <row r="40" spans="2:6" ht="13.5" thickBot="1">
      <c r="B40" s="97" t="s">
        <v>35</v>
      </c>
      <c r="C40" s="98" t="s">
        <v>36</v>
      </c>
      <c r="D40" s="326">
        <v>13955.87</v>
      </c>
      <c r="E40" s="279">
        <v>-8644.08</v>
      </c>
    </row>
    <row r="41" spans="2:6" ht="13.5" thickBot="1">
      <c r="B41" s="99" t="s">
        <v>37</v>
      </c>
      <c r="C41" s="100" t="s">
        <v>38</v>
      </c>
      <c r="D41" s="327">
        <v>97480.51</v>
      </c>
      <c r="E41" s="148">
        <f>E26+E27+E40</f>
        <v>106316.37999999998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212.95688999999999</v>
      </c>
      <c r="E47" s="149">
        <v>469.01710000000003</v>
      </c>
    </row>
    <row r="48" spans="2:6">
      <c r="B48" s="186" t="s">
        <v>6</v>
      </c>
      <c r="C48" s="187" t="s">
        <v>41</v>
      </c>
      <c r="D48" s="200">
        <v>469.01710000000003</v>
      </c>
      <c r="E48" s="286">
        <v>532.91419999999994</v>
      </c>
    </row>
    <row r="49" spans="2:5">
      <c r="B49" s="120" t="s">
        <v>23</v>
      </c>
      <c r="C49" s="124" t="s">
        <v>113</v>
      </c>
      <c r="D49" s="201"/>
      <c r="E49" s="218"/>
    </row>
    <row r="50" spans="2:5">
      <c r="B50" s="184" t="s">
        <v>4</v>
      </c>
      <c r="C50" s="185" t="s">
        <v>40</v>
      </c>
      <c r="D50" s="200">
        <v>161.22</v>
      </c>
      <c r="E50" s="218">
        <v>207.84</v>
      </c>
    </row>
    <row r="51" spans="2:5">
      <c r="B51" s="184" t="s">
        <v>6</v>
      </c>
      <c r="C51" s="185" t="s">
        <v>114</v>
      </c>
      <c r="D51" s="200">
        <v>161.22</v>
      </c>
      <c r="E51" s="219">
        <v>124.32</v>
      </c>
    </row>
    <row r="52" spans="2:5">
      <c r="B52" s="184" t="s">
        <v>8</v>
      </c>
      <c r="C52" s="185" t="s">
        <v>115</v>
      </c>
      <c r="D52" s="200">
        <v>214.11</v>
      </c>
      <c r="E52" s="219">
        <v>217.48</v>
      </c>
    </row>
    <row r="53" spans="2:5" ht="14.25" customHeight="1" thickBot="1">
      <c r="B53" s="188" t="s">
        <v>9</v>
      </c>
      <c r="C53" s="189" t="s">
        <v>41</v>
      </c>
      <c r="D53" s="202">
        <v>207.84</v>
      </c>
      <c r="E53" s="290">
        <v>199.5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5.7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106316.38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2.7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106316.38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106316.38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106316.38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4"/>
  <dimension ref="A1:F81"/>
  <sheetViews>
    <sheetView zoomScale="80" zoomScaleNormal="80" workbookViewId="0">
      <selection activeCell="G16" sqref="G1:L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1" t="s">
        <v>0</v>
      </c>
      <c r="C2" s="351"/>
      <c r="D2" s="351"/>
      <c r="E2" s="351"/>
    </row>
    <row r="3" spans="2:5" ht="15.75">
      <c r="B3" s="351" t="s">
        <v>271</v>
      </c>
      <c r="C3" s="351"/>
      <c r="D3" s="351"/>
      <c r="E3" s="351"/>
    </row>
    <row r="4" spans="2:5" ht="15">
      <c r="B4" s="134"/>
      <c r="C4" s="134"/>
      <c r="D4" s="134"/>
      <c r="E4" s="134"/>
    </row>
    <row r="5" spans="2:5" ht="21" customHeight="1">
      <c r="B5" s="352" t="s">
        <v>1</v>
      </c>
      <c r="C5" s="352"/>
      <c r="D5" s="352"/>
      <c r="E5" s="352"/>
    </row>
    <row r="6" spans="2:5" ht="14.25">
      <c r="B6" s="353" t="s">
        <v>173</v>
      </c>
      <c r="C6" s="353"/>
      <c r="D6" s="353"/>
      <c r="E6" s="353"/>
    </row>
    <row r="7" spans="2:5" ht="14.25">
      <c r="B7" s="133"/>
      <c r="C7" s="133"/>
      <c r="D7" s="133"/>
      <c r="E7" s="133"/>
    </row>
    <row r="8" spans="2:5" ht="13.5">
      <c r="B8" s="355" t="s">
        <v>18</v>
      </c>
      <c r="C8" s="357"/>
      <c r="D8" s="357"/>
      <c r="E8" s="357"/>
    </row>
    <row r="9" spans="2:5" ht="16.5" thickBot="1">
      <c r="B9" s="354" t="s">
        <v>103</v>
      </c>
      <c r="C9" s="354"/>
      <c r="D9" s="354"/>
      <c r="E9" s="354"/>
    </row>
    <row r="10" spans="2:5" ht="13.5" thickBot="1">
      <c r="B10" s="135"/>
      <c r="C10" s="76" t="s">
        <v>2</v>
      </c>
      <c r="D10" s="70" t="s">
        <v>245</v>
      </c>
      <c r="E10" s="255" t="s">
        <v>265</v>
      </c>
    </row>
    <row r="11" spans="2:5">
      <c r="B11" s="90" t="s">
        <v>3</v>
      </c>
      <c r="C11" s="128" t="s">
        <v>109</v>
      </c>
      <c r="D11" s="227">
        <v>64221.560000000005</v>
      </c>
      <c r="E11" s="228">
        <f>SUM(E12:E14)</f>
        <v>63718.090000000004</v>
      </c>
    </row>
    <row r="12" spans="2:5">
      <c r="B12" s="173" t="s">
        <v>4</v>
      </c>
      <c r="C12" s="174" t="s">
        <v>5</v>
      </c>
      <c r="D12" s="241">
        <v>64221.560000000005</v>
      </c>
      <c r="E12" s="245">
        <v>63718.090000000004</v>
      </c>
    </row>
    <row r="13" spans="2:5">
      <c r="B13" s="173" t="s">
        <v>6</v>
      </c>
      <c r="C13" s="175" t="s">
        <v>7</v>
      </c>
      <c r="D13" s="237"/>
      <c r="E13" s="246"/>
    </row>
    <row r="14" spans="2:5">
      <c r="B14" s="173" t="s">
        <v>8</v>
      </c>
      <c r="C14" s="175" t="s">
        <v>10</v>
      </c>
      <c r="D14" s="237"/>
      <c r="E14" s="246"/>
    </row>
    <row r="15" spans="2:5">
      <c r="B15" s="173" t="s">
        <v>106</v>
      </c>
      <c r="C15" s="175" t="s">
        <v>11</v>
      </c>
      <c r="D15" s="237"/>
      <c r="E15" s="246"/>
    </row>
    <row r="16" spans="2:5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64221.560000000005</v>
      </c>
      <c r="E21" s="148">
        <f>E11-E17</f>
        <v>63718.090000000004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50394.42</v>
      </c>
      <c r="E26" s="217">
        <f>D21</f>
        <v>64221.560000000005</v>
      </c>
    </row>
    <row r="27" spans="2:6">
      <c r="B27" s="9" t="s">
        <v>17</v>
      </c>
      <c r="C27" s="10" t="s">
        <v>111</v>
      </c>
      <c r="D27" s="323">
        <v>2892.0300000000007</v>
      </c>
      <c r="E27" s="274">
        <f>E28-E32</f>
        <v>-427.23999999999796</v>
      </c>
      <c r="F27" s="71"/>
    </row>
    <row r="28" spans="2:6">
      <c r="B28" s="9" t="s">
        <v>18</v>
      </c>
      <c r="C28" s="10" t="s">
        <v>19</v>
      </c>
      <c r="D28" s="323">
        <v>14511.63</v>
      </c>
      <c r="E28" s="275">
        <v>41379.769999999997</v>
      </c>
      <c r="F28" s="71"/>
    </row>
    <row r="29" spans="2:6">
      <c r="B29" s="181" t="s">
        <v>4</v>
      </c>
      <c r="C29" s="174" t="s">
        <v>20</v>
      </c>
      <c r="D29" s="324">
        <v>7146.26</v>
      </c>
      <c r="E29" s="276">
        <v>4662.0200000000004</v>
      </c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>
        <v>7365.37</v>
      </c>
      <c r="E31" s="276">
        <v>36717.75</v>
      </c>
      <c r="F31" s="71"/>
    </row>
    <row r="32" spans="2:6">
      <c r="B32" s="92" t="s">
        <v>23</v>
      </c>
      <c r="C32" s="11" t="s">
        <v>24</v>
      </c>
      <c r="D32" s="323">
        <v>11619.599999999999</v>
      </c>
      <c r="E32" s="275">
        <f>SUM(E33:E39)</f>
        <v>41807.009999999995</v>
      </c>
      <c r="F32" s="71"/>
    </row>
    <row r="33" spans="2:6">
      <c r="B33" s="181" t="s">
        <v>4</v>
      </c>
      <c r="C33" s="174" t="s">
        <v>25</v>
      </c>
      <c r="D33" s="324">
        <v>9101.6299999999992</v>
      </c>
      <c r="E33" s="276">
        <f>316.13+159.61</f>
        <v>475.74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416.65</v>
      </c>
      <c r="E35" s="276">
        <v>320.61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568.82000000000005</v>
      </c>
      <c r="E37" s="276">
        <v>520.24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>
        <v>1532.5</v>
      </c>
      <c r="E39" s="277">
        <v>40490.42</v>
      </c>
      <c r="F39" s="71"/>
    </row>
    <row r="40" spans="2:6" ht="13.5" thickBot="1">
      <c r="B40" s="97" t="s">
        <v>35</v>
      </c>
      <c r="C40" s="98" t="s">
        <v>36</v>
      </c>
      <c r="D40" s="326">
        <v>10935.11</v>
      </c>
      <c r="E40" s="279">
        <v>-76.23</v>
      </c>
    </row>
    <row r="41" spans="2:6" ht="13.5" thickBot="1">
      <c r="B41" s="99" t="s">
        <v>37</v>
      </c>
      <c r="C41" s="100" t="s">
        <v>38</v>
      </c>
      <c r="D41" s="327">
        <v>64221.56</v>
      </c>
      <c r="E41" s="148">
        <f>E26+E27+E40</f>
        <v>63718.090000000004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347">
        <v>659.18140000000005</v>
      </c>
      <c r="E47" s="149">
        <v>687.81790000000001</v>
      </c>
    </row>
    <row r="48" spans="2:6">
      <c r="B48" s="186" t="s">
        <v>6</v>
      </c>
      <c r="C48" s="187" t="s">
        <v>41</v>
      </c>
      <c r="D48" s="347">
        <v>687.81790000000001</v>
      </c>
      <c r="E48" s="243">
        <v>668.39499999999998</v>
      </c>
    </row>
    <row r="49" spans="2:5">
      <c r="B49" s="120" t="s">
        <v>23</v>
      </c>
      <c r="C49" s="124" t="s">
        <v>113</v>
      </c>
      <c r="D49" s="347"/>
      <c r="E49" s="223"/>
    </row>
    <row r="50" spans="2:5">
      <c r="B50" s="184" t="s">
        <v>4</v>
      </c>
      <c r="C50" s="185" t="s">
        <v>40</v>
      </c>
      <c r="D50" s="347">
        <v>76.45</v>
      </c>
      <c r="E50" s="223">
        <v>93.37</v>
      </c>
    </row>
    <row r="51" spans="2:5">
      <c r="B51" s="184" t="s">
        <v>6</v>
      </c>
      <c r="C51" s="185" t="s">
        <v>114</v>
      </c>
      <c r="D51" s="347">
        <v>76.45</v>
      </c>
      <c r="E51" s="294">
        <v>65.849999999999994</v>
      </c>
    </row>
    <row r="52" spans="2:5">
      <c r="B52" s="184" t="s">
        <v>8</v>
      </c>
      <c r="C52" s="185" t="s">
        <v>115</v>
      </c>
      <c r="D52" s="347">
        <v>93.73</v>
      </c>
      <c r="E52" s="294">
        <v>96.4</v>
      </c>
    </row>
    <row r="53" spans="2:5" ht="13.5" customHeight="1" thickBot="1">
      <c r="B53" s="188" t="s">
        <v>9</v>
      </c>
      <c r="C53" s="189" t="s">
        <v>41</v>
      </c>
      <c r="D53" s="202">
        <v>93.37</v>
      </c>
      <c r="E53" s="291">
        <v>95.33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7.2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63718.090000000004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2.7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63718.090000000004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63718.090000000004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63718.090000000004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000000000000004" right="0.75" top="0.53" bottom="0.51" header="0.5" footer="0.5"/>
  <pageSetup paperSize="9" scale="7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G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85"/>
      <c r="C4" s="85"/>
      <c r="D4" s="85"/>
      <c r="E4" s="85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88</v>
      </c>
      <c r="C6" s="353"/>
      <c r="D6" s="353"/>
      <c r="E6" s="353"/>
    </row>
    <row r="7" spans="2:7" ht="14.25">
      <c r="B7" s="89"/>
      <c r="C7" s="89"/>
      <c r="D7" s="89"/>
      <c r="E7" s="8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86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40331274.960000001</v>
      </c>
      <c r="E11" s="228">
        <f>SUM(E12:E14)</f>
        <v>48151397.920000002</v>
      </c>
    </row>
    <row r="12" spans="2:7">
      <c r="B12" s="106" t="s">
        <v>4</v>
      </c>
      <c r="C12" s="6" t="s">
        <v>5</v>
      </c>
      <c r="D12" s="241">
        <v>40169274.68</v>
      </c>
      <c r="E12" s="245">
        <f>48428623.4+123683.39-409651.33</f>
        <v>48142655.460000001</v>
      </c>
    </row>
    <row r="13" spans="2:7">
      <c r="B13" s="106" t="s">
        <v>6</v>
      </c>
      <c r="C13" s="68" t="s">
        <v>7</v>
      </c>
      <c r="D13" s="237"/>
      <c r="E13" s="246"/>
    </row>
    <row r="14" spans="2:7">
      <c r="B14" s="106" t="s">
        <v>8</v>
      </c>
      <c r="C14" s="68" t="s">
        <v>10</v>
      </c>
      <c r="D14" s="237">
        <v>162000.28</v>
      </c>
      <c r="E14" s="246">
        <f>E15</f>
        <v>8742.4599999999991</v>
      </c>
    </row>
    <row r="15" spans="2:7">
      <c r="B15" s="106" t="s">
        <v>106</v>
      </c>
      <c r="C15" s="68" t="s">
        <v>11</v>
      </c>
      <c r="D15" s="237">
        <v>162000.28</v>
      </c>
      <c r="E15" s="246">
        <v>8742.4599999999991</v>
      </c>
    </row>
    <row r="16" spans="2:7">
      <c r="B16" s="107" t="s">
        <v>107</v>
      </c>
      <c r="C16" s="91" t="s">
        <v>12</v>
      </c>
      <c r="D16" s="239"/>
      <c r="E16" s="247"/>
    </row>
    <row r="17" spans="2:6">
      <c r="B17" s="9" t="s">
        <v>13</v>
      </c>
      <c r="C17" s="11" t="s">
        <v>65</v>
      </c>
      <c r="D17" s="240">
        <v>83851.72</v>
      </c>
      <c r="E17" s="248">
        <f>E18</f>
        <v>90899.08</v>
      </c>
    </row>
    <row r="18" spans="2:6">
      <c r="B18" s="106" t="s">
        <v>4</v>
      </c>
      <c r="C18" s="6" t="s">
        <v>11</v>
      </c>
      <c r="D18" s="239">
        <v>83851.72</v>
      </c>
      <c r="E18" s="247">
        <v>90899.08</v>
      </c>
    </row>
    <row r="19" spans="2:6" ht="15" customHeight="1">
      <c r="B19" s="106" t="s">
        <v>6</v>
      </c>
      <c r="C19" s="68" t="s">
        <v>108</v>
      </c>
      <c r="D19" s="237"/>
      <c r="E19" s="246"/>
    </row>
    <row r="20" spans="2:6" ht="13.5" thickBot="1">
      <c r="B20" s="108" t="s">
        <v>8</v>
      </c>
      <c r="C20" s="6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40247423.240000002</v>
      </c>
      <c r="E21" s="148">
        <f>E11-E17</f>
        <v>48060498.840000004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3"/>
      <c r="D23" s="363"/>
      <c r="E23" s="363"/>
    </row>
    <row r="24" spans="2:6" ht="16.5" customHeight="1" thickBot="1">
      <c r="B24" s="354" t="s">
        <v>105</v>
      </c>
      <c r="C24" s="364"/>
      <c r="D24" s="364"/>
      <c r="E24" s="364"/>
    </row>
    <row r="25" spans="2:6" ht="13.5" thickBot="1">
      <c r="B25" s="86"/>
      <c r="C25" s="5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41204074.690000005</v>
      </c>
      <c r="E26" s="217">
        <f>D21</f>
        <v>40247423.240000002</v>
      </c>
    </row>
    <row r="27" spans="2:6">
      <c r="B27" s="9" t="s">
        <v>17</v>
      </c>
      <c r="C27" s="10" t="s">
        <v>111</v>
      </c>
      <c r="D27" s="323">
        <v>-839950.50000000279</v>
      </c>
      <c r="E27" s="274">
        <f>E28-E32</f>
        <v>-1205712.4899999993</v>
      </c>
      <c r="F27" s="71"/>
    </row>
    <row r="28" spans="2:6">
      <c r="B28" s="9" t="s">
        <v>18</v>
      </c>
      <c r="C28" s="10" t="s">
        <v>19</v>
      </c>
      <c r="D28" s="323">
        <v>6609786.4300000006</v>
      </c>
      <c r="E28" s="275">
        <v>6533740.6400000006</v>
      </c>
      <c r="F28" s="71"/>
    </row>
    <row r="29" spans="2:6">
      <c r="B29" s="104" t="s">
        <v>4</v>
      </c>
      <c r="C29" s="6" t="s">
        <v>20</v>
      </c>
      <c r="D29" s="324">
        <v>6468138.7000000002</v>
      </c>
      <c r="E29" s="276">
        <v>6119102.7600000007</v>
      </c>
      <c r="F29" s="71"/>
    </row>
    <row r="30" spans="2:6">
      <c r="B30" s="104" t="s">
        <v>6</v>
      </c>
      <c r="C30" s="6" t="s">
        <v>21</v>
      </c>
      <c r="D30" s="324"/>
      <c r="E30" s="276"/>
      <c r="F30" s="71"/>
    </row>
    <row r="31" spans="2:6">
      <c r="B31" s="104" t="s">
        <v>8</v>
      </c>
      <c r="C31" s="6" t="s">
        <v>22</v>
      </c>
      <c r="D31" s="324">
        <v>141647.72999999998</v>
      </c>
      <c r="E31" s="276">
        <v>414637.88</v>
      </c>
      <c r="F31" s="71"/>
    </row>
    <row r="32" spans="2:6">
      <c r="B32" s="92" t="s">
        <v>23</v>
      </c>
      <c r="C32" s="11" t="s">
        <v>24</v>
      </c>
      <c r="D32" s="323">
        <v>7449736.9300000034</v>
      </c>
      <c r="E32" s="275">
        <f>SUM(E33:E39)</f>
        <v>7739453.1299999999</v>
      </c>
      <c r="F32" s="71"/>
    </row>
    <row r="33" spans="2:6">
      <c r="B33" s="104" t="s">
        <v>4</v>
      </c>
      <c r="C33" s="6" t="s">
        <v>25</v>
      </c>
      <c r="D33" s="324">
        <v>5300845.01</v>
      </c>
      <c r="E33" s="276">
        <f>4810989.87+102484.55</f>
        <v>4913474.42</v>
      </c>
      <c r="F33" s="71"/>
    </row>
    <row r="34" spans="2:6">
      <c r="B34" s="104" t="s">
        <v>6</v>
      </c>
      <c r="C34" s="6" t="s">
        <v>26</v>
      </c>
      <c r="D34" s="324"/>
      <c r="E34" s="276"/>
      <c r="F34" s="71"/>
    </row>
    <row r="35" spans="2:6">
      <c r="B35" s="104" t="s">
        <v>8</v>
      </c>
      <c r="C35" s="6" t="s">
        <v>27</v>
      </c>
      <c r="D35" s="324">
        <v>1404308.9200000002</v>
      </c>
      <c r="E35" s="276">
        <v>1309503.25</v>
      </c>
      <c r="F35" s="71"/>
    </row>
    <row r="36" spans="2:6">
      <c r="B36" s="104" t="s">
        <v>9</v>
      </c>
      <c r="C36" s="6" t="s">
        <v>28</v>
      </c>
      <c r="D36" s="324"/>
      <c r="E36" s="276"/>
      <c r="F36" s="71"/>
    </row>
    <row r="37" spans="2:6" ht="25.5">
      <c r="B37" s="104" t="s">
        <v>29</v>
      </c>
      <c r="C37" s="6" t="s">
        <v>30</v>
      </c>
      <c r="D37" s="324"/>
      <c r="E37" s="276"/>
      <c r="F37" s="71"/>
    </row>
    <row r="38" spans="2:6">
      <c r="B38" s="104" t="s">
        <v>31</v>
      </c>
      <c r="C38" s="6" t="s">
        <v>32</v>
      </c>
      <c r="D38" s="324"/>
      <c r="E38" s="276"/>
      <c r="F38" s="71"/>
    </row>
    <row r="39" spans="2:6">
      <c r="B39" s="105" t="s">
        <v>33</v>
      </c>
      <c r="C39" s="12" t="s">
        <v>34</v>
      </c>
      <c r="D39" s="325">
        <v>744583.00000000419</v>
      </c>
      <c r="E39" s="277">
        <v>1516475.46</v>
      </c>
      <c r="F39" s="71"/>
    </row>
    <row r="40" spans="2:6" ht="13.5" thickBot="1">
      <c r="B40" s="97" t="s">
        <v>35</v>
      </c>
      <c r="C40" s="98" t="s">
        <v>36</v>
      </c>
      <c r="D40" s="326">
        <v>-116700.95</v>
      </c>
      <c r="E40" s="279">
        <v>9018788.0899999999</v>
      </c>
    </row>
    <row r="41" spans="2:6" ht="13.5" thickBot="1">
      <c r="B41" s="99" t="s">
        <v>37</v>
      </c>
      <c r="C41" s="100" t="s">
        <v>38</v>
      </c>
      <c r="D41" s="327">
        <v>40247423.240000002</v>
      </c>
      <c r="E41" s="148">
        <f>E26+E27+E40</f>
        <v>48060498.840000004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5.75" customHeight="1" thickBot="1">
      <c r="B44" s="354" t="s">
        <v>121</v>
      </c>
      <c r="C44" s="358"/>
      <c r="D44" s="358"/>
      <c r="E44" s="358"/>
    </row>
    <row r="45" spans="2:6" ht="13.5" thickBot="1">
      <c r="B45" s="86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4267730.58715</v>
      </c>
      <c r="E47" s="73">
        <v>4185254.5138000003</v>
      </c>
    </row>
    <row r="48" spans="2:6">
      <c r="B48" s="123" t="s">
        <v>6</v>
      </c>
      <c r="C48" s="22" t="s">
        <v>41</v>
      </c>
      <c r="D48" s="200">
        <v>4185254.5138000003</v>
      </c>
      <c r="E48" s="335">
        <v>4076313.5721999998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02" t="s">
        <v>4</v>
      </c>
      <c r="C50" s="15" t="s">
        <v>40</v>
      </c>
      <c r="D50" s="200">
        <v>9.6547975202813507</v>
      </c>
      <c r="E50" s="73">
        <v>9.6165000000000003</v>
      </c>
    </row>
    <row r="51" spans="2:5">
      <c r="B51" s="102" t="s">
        <v>6</v>
      </c>
      <c r="C51" s="15" t="s">
        <v>114</v>
      </c>
      <c r="D51" s="200">
        <v>9.1891999999999996</v>
      </c>
      <c r="E51" s="75">
        <v>6.5929000000000002</v>
      </c>
    </row>
    <row r="52" spans="2:5" ht="12.75" customHeight="1">
      <c r="B52" s="102" t="s">
        <v>8</v>
      </c>
      <c r="C52" s="15" t="s">
        <v>115</v>
      </c>
      <c r="D52" s="200">
        <v>10.498799999999999</v>
      </c>
      <c r="E52" s="75">
        <v>11.863899999999999</v>
      </c>
    </row>
    <row r="53" spans="2:5" ht="13.5" thickBot="1">
      <c r="B53" s="103" t="s">
        <v>9</v>
      </c>
      <c r="C53" s="17" t="s">
        <v>41</v>
      </c>
      <c r="D53" s="202">
        <v>9.6165000000000003</v>
      </c>
      <c r="E53" s="280">
        <v>11.7902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8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SUM(D59:D70)</f>
        <v>48142655.460000001</v>
      </c>
      <c r="E58" s="31">
        <f>D58/E21</f>
        <v>1.0017094416825241</v>
      </c>
    </row>
    <row r="59" spans="2:5" ht="25.5">
      <c r="B59" s="21" t="s">
        <v>4</v>
      </c>
      <c r="C59" s="22" t="s">
        <v>44</v>
      </c>
      <c r="D59" s="80">
        <v>0</v>
      </c>
      <c r="E59" s="81">
        <v>0</v>
      </c>
    </row>
    <row r="60" spans="2:5" ht="24" customHeight="1">
      <c r="B60" s="14" t="s">
        <v>6</v>
      </c>
      <c r="C60" s="15" t="s">
        <v>45</v>
      </c>
      <c r="D60" s="78">
        <v>0</v>
      </c>
      <c r="E60" s="79">
        <v>0</v>
      </c>
    </row>
    <row r="61" spans="2:5">
      <c r="B61" s="14" t="s">
        <v>8</v>
      </c>
      <c r="C61" s="15" t="s">
        <v>46</v>
      </c>
      <c r="D61" s="78">
        <v>0</v>
      </c>
      <c r="E61" s="79">
        <v>0</v>
      </c>
    </row>
    <row r="62" spans="2:5">
      <c r="B62" s="14" t="s">
        <v>9</v>
      </c>
      <c r="C62" s="15" t="s">
        <v>47</v>
      </c>
      <c r="D62" s="78">
        <v>0</v>
      </c>
      <c r="E62" s="79">
        <v>0</v>
      </c>
    </row>
    <row r="63" spans="2:5">
      <c r="B63" s="14" t="s">
        <v>29</v>
      </c>
      <c r="C63" s="15" t="s">
        <v>48</v>
      </c>
      <c r="D63" s="78">
        <v>0</v>
      </c>
      <c r="E63" s="79">
        <v>0</v>
      </c>
    </row>
    <row r="64" spans="2:5">
      <c r="B64" s="21" t="s">
        <v>31</v>
      </c>
      <c r="C64" s="22" t="s">
        <v>49</v>
      </c>
      <c r="D64" s="234">
        <v>48018972.07</v>
      </c>
      <c r="E64" s="81">
        <f>D64/E21</f>
        <v>0.99913594800298988</v>
      </c>
    </row>
    <row r="65" spans="2:5">
      <c r="B65" s="21" t="s">
        <v>33</v>
      </c>
      <c r="C65" s="22" t="s">
        <v>118</v>
      </c>
      <c r="D65" s="80">
        <v>0</v>
      </c>
      <c r="E65" s="81">
        <v>0</v>
      </c>
    </row>
    <row r="66" spans="2:5">
      <c r="B66" s="21" t="s">
        <v>50</v>
      </c>
      <c r="C66" s="22" t="s">
        <v>51</v>
      </c>
      <c r="D66" s="80">
        <v>0</v>
      </c>
      <c r="E66" s="81">
        <v>0</v>
      </c>
    </row>
    <row r="67" spans="2:5">
      <c r="B67" s="14" t="s">
        <v>52</v>
      </c>
      <c r="C67" s="15" t="s">
        <v>53</v>
      </c>
      <c r="D67" s="78">
        <v>0</v>
      </c>
      <c r="E67" s="79">
        <v>0</v>
      </c>
    </row>
    <row r="68" spans="2:5">
      <c r="B68" s="14" t="s">
        <v>54</v>
      </c>
      <c r="C68" s="15" t="s">
        <v>55</v>
      </c>
      <c r="D68" s="78">
        <v>0</v>
      </c>
      <c r="E68" s="79">
        <v>0</v>
      </c>
    </row>
    <row r="69" spans="2:5">
      <c r="B69" s="14" t="s">
        <v>56</v>
      </c>
      <c r="C69" s="15" t="s">
        <v>57</v>
      </c>
      <c r="D69" s="302">
        <v>123683.39</v>
      </c>
      <c r="E69" s="79">
        <f>D69/E21</f>
        <v>2.5734936795341842E-3</v>
      </c>
    </row>
    <row r="70" spans="2:5">
      <c r="B70" s="112" t="s">
        <v>58</v>
      </c>
      <c r="C70" s="113" t="s">
        <v>59</v>
      </c>
      <c r="D70" s="114">
        <v>0</v>
      </c>
      <c r="E70" s="115">
        <v>0</v>
      </c>
    </row>
    <row r="71" spans="2:5">
      <c r="B71" s="120" t="s">
        <v>23</v>
      </c>
      <c r="C71" s="121" t="s">
        <v>61</v>
      </c>
      <c r="D71" s="122">
        <f>E13</f>
        <v>0</v>
      </c>
      <c r="E71" s="66">
        <v>0</v>
      </c>
    </row>
    <row r="72" spans="2:5">
      <c r="B72" s="116" t="s">
        <v>60</v>
      </c>
      <c r="C72" s="117" t="s">
        <v>63</v>
      </c>
      <c r="D72" s="118">
        <f>E14</f>
        <v>8742.4599999999991</v>
      </c>
      <c r="E72" s="119">
        <f>D72/E21</f>
        <v>1.8190531124333205E-4</v>
      </c>
    </row>
    <row r="73" spans="2:5">
      <c r="B73" s="23" t="s">
        <v>62</v>
      </c>
      <c r="C73" s="24" t="s">
        <v>65</v>
      </c>
      <c r="D73" s="25">
        <f>E17</f>
        <v>90899.08</v>
      </c>
      <c r="E73" s="26">
        <f>D73/E21</f>
        <v>1.8913469937674912E-3</v>
      </c>
    </row>
    <row r="74" spans="2:5">
      <c r="B74" s="120" t="s">
        <v>64</v>
      </c>
      <c r="C74" s="121" t="s">
        <v>66</v>
      </c>
      <c r="D74" s="122">
        <f>D58+D71+D72-D73</f>
        <v>48060498.840000004</v>
      </c>
      <c r="E74" s="66">
        <f>E58+E72-E73</f>
        <v>0.99999999999999989</v>
      </c>
    </row>
    <row r="75" spans="2:5">
      <c r="B75" s="14" t="s">
        <v>4</v>
      </c>
      <c r="C75" s="15" t="s">
        <v>67</v>
      </c>
      <c r="D75" s="78">
        <f>D74</f>
        <v>48060498.840000004</v>
      </c>
      <c r="E75" s="79">
        <f>E74</f>
        <v>0.99999999999999989</v>
      </c>
    </row>
    <row r="76" spans="2:5">
      <c r="B76" s="14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6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1" right="0.75" top="0.51" bottom="0.36" header="0.5" footer="0.5"/>
  <pageSetup paperSize="9" scale="70" orientation="portrait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5"/>
  <dimension ref="A1:G81"/>
  <sheetViews>
    <sheetView topLeftCell="A13" zoomScale="80" zoomScaleNormal="80" workbookViewId="0">
      <selection activeCell="E41" sqref="E41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34"/>
      <c r="C4" s="134"/>
      <c r="D4" s="134"/>
      <c r="E4" s="134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174</v>
      </c>
      <c r="C6" s="353"/>
      <c r="D6" s="353"/>
      <c r="E6" s="353"/>
    </row>
    <row r="7" spans="2:7" ht="14.25">
      <c r="B7" s="133"/>
      <c r="C7" s="133"/>
      <c r="D7" s="133"/>
      <c r="E7" s="133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35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130247.85</v>
      </c>
      <c r="E11" s="228">
        <f>SUM(E12:E14)</f>
        <v>165887.34</v>
      </c>
    </row>
    <row r="12" spans="2:7">
      <c r="B12" s="106" t="s">
        <v>4</v>
      </c>
      <c r="C12" s="6" t="s">
        <v>5</v>
      </c>
      <c r="D12" s="241">
        <v>130247.85</v>
      </c>
      <c r="E12" s="245">
        <v>165887.34</v>
      </c>
    </row>
    <row r="13" spans="2:7">
      <c r="B13" s="106" t="s">
        <v>6</v>
      </c>
      <c r="C13" s="68" t="s">
        <v>7</v>
      </c>
      <c r="D13" s="237"/>
      <c r="E13" s="246"/>
    </row>
    <row r="14" spans="2:7">
      <c r="B14" s="106" t="s">
        <v>8</v>
      </c>
      <c r="C14" s="68" t="s">
        <v>10</v>
      </c>
      <c r="D14" s="237"/>
      <c r="E14" s="246"/>
    </row>
    <row r="15" spans="2:7">
      <c r="B15" s="106" t="s">
        <v>106</v>
      </c>
      <c r="C15" s="68" t="s">
        <v>11</v>
      </c>
      <c r="D15" s="237"/>
      <c r="E15" s="246"/>
    </row>
    <row r="16" spans="2:7">
      <c r="B16" s="107" t="s">
        <v>107</v>
      </c>
      <c r="C16" s="91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06" t="s">
        <v>4</v>
      </c>
      <c r="C18" s="6" t="s">
        <v>11</v>
      </c>
      <c r="D18" s="239"/>
      <c r="E18" s="247"/>
    </row>
    <row r="19" spans="2:6" ht="15" customHeight="1">
      <c r="B19" s="106" t="s">
        <v>6</v>
      </c>
      <c r="C19" s="68" t="s">
        <v>108</v>
      </c>
      <c r="D19" s="237"/>
      <c r="E19" s="246"/>
    </row>
    <row r="20" spans="2:6" ht="13.5" thickBot="1">
      <c r="B20" s="108" t="s">
        <v>8</v>
      </c>
      <c r="C20" s="6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130247.85</v>
      </c>
      <c r="E21" s="148">
        <f>E11-E17</f>
        <v>165887.34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3"/>
      <c r="D23" s="363"/>
      <c r="E23" s="363"/>
    </row>
    <row r="24" spans="2:6" ht="15.75" customHeight="1" thickBot="1">
      <c r="B24" s="354" t="s">
        <v>105</v>
      </c>
      <c r="C24" s="364"/>
      <c r="D24" s="364"/>
      <c r="E24" s="364"/>
    </row>
    <row r="25" spans="2:6" ht="13.5" thickBot="1">
      <c r="B25" s="135"/>
      <c r="C25" s="5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125358.98</v>
      </c>
      <c r="E26" s="217">
        <f>D21</f>
        <v>130247.85</v>
      </c>
    </row>
    <row r="27" spans="2:6">
      <c r="B27" s="9" t="s">
        <v>17</v>
      </c>
      <c r="C27" s="10" t="s">
        <v>111</v>
      </c>
      <c r="D27" s="323">
        <v>-3655.3300000000163</v>
      </c>
      <c r="E27" s="274">
        <f>E28-E32</f>
        <v>3478.070000000007</v>
      </c>
      <c r="F27" s="71"/>
    </row>
    <row r="28" spans="2:6">
      <c r="B28" s="9" t="s">
        <v>18</v>
      </c>
      <c r="C28" s="10" t="s">
        <v>19</v>
      </c>
      <c r="D28" s="323">
        <v>221456.37</v>
      </c>
      <c r="E28" s="275">
        <v>355268.16</v>
      </c>
      <c r="F28" s="71"/>
    </row>
    <row r="29" spans="2:6">
      <c r="B29" s="104" t="s">
        <v>4</v>
      </c>
      <c r="C29" s="6" t="s">
        <v>20</v>
      </c>
      <c r="D29" s="324">
        <v>9678.58</v>
      </c>
      <c r="E29" s="276">
        <v>29372.799999999999</v>
      </c>
      <c r="F29" s="71"/>
    </row>
    <row r="30" spans="2:6">
      <c r="B30" s="104" t="s">
        <v>6</v>
      </c>
      <c r="C30" s="6" t="s">
        <v>21</v>
      </c>
      <c r="D30" s="324"/>
      <c r="E30" s="276"/>
      <c r="F30" s="71"/>
    </row>
    <row r="31" spans="2:6">
      <c r="B31" s="104" t="s">
        <v>8</v>
      </c>
      <c r="C31" s="6" t="s">
        <v>22</v>
      </c>
      <c r="D31" s="324">
        <v>211777.79</v>
      </c>
      <c r="E31" s="276">
        <v>325895.36</v>
      </c>
      <c r="F31" s="71"/>
    </row>
    <row r="32" spans="2:6">
      <c r="B32" s="92" t="s">
        <v>23</v>
      </c>
      <c r="C32" s="11" t="s">
        <v>24</v>
      </c>
      <c r="D32" s="323">
        <v>225111.7</v>
      </c>
      <c r="E32" s="275">
        <f>SUM(E33:E39)</f>
        <v>351790.08999999997</v>
      </c>
      <c r="F32" s="71"/>
    </row>
    <row r="33" spans="2:6">
      <c r="B33" s="104" t="s">
        <v>4</v>
      </c>
      <c r="C33" s="6" t="s">
        <v>25</v>
      </c>
      <c r="D33" s="324">
        <v>62682.670000000006</v>
      </c>
      <c r="E33" s="276">
        <f>2076.6+525.69</f>
        <v>2602.29</v>
      </c>
      <c r="F33" s="71"/>
    </row>
    <row r="34" spans="2:6">
      <c r="B34" s="104" t="s">
        <v>6</v>
      </c>
      <c r="C34" s="6" t="s">
        <v>26</v>
      </c>
      <c r="D34" s="324"/>
      <c r="E34" s="276"/>
      <c r="F34" s="71"/>
    </row>
    <row r="35" spans="2:6">
      <c r="B35" s="104" t="s">
        <v>8</v>
      </c>
      <c r="C35" s="6" t="s">
        <v>27</v>
      </c>
      <c r="D35" s="324">
        <v>1080.22</v>
      </c>
      <c r="E35" s="276">
        <v>1406.89</v>
      </c>
      <c r="F35" s="71"/>
    </row>
    <row r="36" spans="2:6">
      <c r="B36" s="104" t="s">
        <v>9</v>
      </c>
      <c r="C36" s="6" t="s">
        <v>28</v>
      </c>
      <c r="D36" s="324"/>
      <c r="E36" s="276"/>
      <c r="F36" s="71"/>
    </row>
    <row r="37" spans="2:6" ht="25.5">
      <c r="B37" s="104" t="s">
        <v>29</v>
      </c>
      <c r="C37" s="6" t="s">
        <v>30</v>
      </c>
      <c r="D37" s="324">
        <v>6960.69</v>
      </c>
      <c r="E37" s="276">
        <v>2601</v>
      </c>
      <c r="F37" s="71"/>
    </row>
    <row r="38" spans="2:6">
      <c r="B38" s="104" t="s">
        <v>31</v>
      </c>
      <c r="C38" s="6" t="s">
        <v>32</v>
      </c>
      <c r="D38" s="324"/>
      <c r="E38" s="276"/>
      <c r="F38" s="71"/>
    </row>
    <row r="39" spans="2:6">
      <c r="B39" s="105" t="s">
        <v>33</v>
      </c>
      <c r="C39" s="12" t="s">
        <v>34</v>
      </c>
      <c r="D39" s="325">
        <v>154388.12</v>
      </c>
      <c r="E39" s="277">
        <v>345179.91</v>
      </c>
      <c r="F39" s="71"/>
    </row>
    <row r="40" spans="2:6" ht="13.5" thickBot="1">
      <c r="B40" s="97" t="s">
        <v>35</v>
      </c>
      <c r="C40" s="98" t="s">
        <v>36</v>
      </c>
      <c r="D40" s="326">
        <v>8544.2000000000007</v>
      </c>
      <c r="E40" s="279">
        <v>32161.42</v>
      </c>
    </row>
    <row r="41" spans="2:6" ht="13.5" thickBot="1">
      <c r="B41" s="99" t="s">
        <v>37</v>
      </c>
      <c r="C41" s="100" t="s">
        <v>38</v>
      </c>
      <c r="D41" s="327">
        <v>130247.84999999998</v>
      </c>
      <c r="E41" s="148">
        <f>E26+E27+E40</f>
        <v>165887.34000000003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8" customHeight="1" thickBot="1">
      <c r="B44" s="354" t="s">
        <v>121</v>
      </c>
      <c r="C44" s="358"/>
      <c r="D44" s="358"/>
      <c r="E44" s="358"/>
    </row>
    <row r="45" spans="2:6" ht="13.5" thickBot="1">
      <c r="B45" s="135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925.09024999999997</v>
      </c>
      <c r="E47" s="149">
        <v>843.30110000000002</v>
      </c>
    </row>
    <row r="48" spans="2:6">
      <c r="B48" s="123" t="s">
        <v>6</v>
      </c>
      <c r="C48" s="22" t="s">
        <v>41</v>
      </c>
      <c r="D48" s="200">
        <v>843.30110000000002</v>
      </c>
      <c r="E48" s="286">
        <v>917.92459999999994</v>
      </c>
    </row>
    <row r="49" spans="2:5">
      <c r="B49" s="120" t="s">
        <v>23</v>
      </c>
      <c r="C49" s="124" t="s">
        <v>113</v>
      </c>
      <c r="D49" s="201"/>
      <c r="E49" s="218"/>
    </row>
    <row r="50" spans="2:5">
      <c r="B50" s="102" t="s">
        <v>4</v>
      </c>
      <c r="C50" s="15" t="s">
        <v>40</v>
      </c>
      <c r="D50" s="200">
        <v>135.51</v>
      </c>
      <c r="E50" s="218">
        <v>154.44999999999999</v>
      </c>
    </row>
    <row r="51" spans="2:5">
      <c r="B51" s="102" t="s">
        <v>6</v>
      </c>
      <c r="C51" s="15" t="s">
        <v>114</v>
      </c>
      <c r="D51" s="200">
        <v>132.84</v>
      </c>
      <c r="E51" s="218">
        <v>146.63</v>
      </c>
    </row>
    <row r="52" spans="2:5">
      <c r="B52" s="102" t="s">
        <v>8</v>
      </c>
      <c r="C52" s="15" t="s">
        <v>115</v>
      </c>
      <c r="D52" s="200">
        <v>159.75</v>
      </c>
      <c r="E52" s="219">
        <v>200.16</v>
      </c>
    </row>
    <row r="53" spans="2:5" ht="12.75" customHeight="1" thickBot="1">
      <c r="B53" s="103" t="s">
        <v>9</v>
      </c>
      <c r="C53" s="17" t="s">
        <v>41</v>
      </c>
      <c r="D53" s="202">
        <v>154.44999999999999</v>
      </c>
      <c r="E53" s="290">
        <v>180.72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7.2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165887.34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3.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E12</f>
        <v>165887.34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f>E17</f>
        <v>0</v>
      </c>
      <c r="E73" s="26">
        <f>D73/E21</f>
        <v>0</v>
      </c>
    </row>
    <row r="74" spans="2:5">
      <c r="B74" s="130" t="s">
        <v>64</v>
      </c>
      <c r="C74" s="121" t="s">
        <v>66</v>
      </c>
      <c r="D74" s="122">
        <f>D58-D73</f>
        <v>165887.34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165887.34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3" right="0.75" top="0.53" bottom="0.67" header="0.5" footer="0.5"/>
  <pageSetup paperSize="9" scale="70" orientation="portrait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6"/>
  <dimension ref="A1:F81"/>
  <sheetViews>
    <sheetView zoomScale="80" zoomScaleNormal="80" workbookViewId="0">
      <selection activeCell="G19" sqref="G1:L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1" t="s">
        <v>0</v>
      </c>
      <c r="C2" s="351"/>
      <c r="D2" s="351"/>
      <c r="E2" s="351"/>
    </row>
    <row r="3" spans="2:5" ht="15.75">
      <c r="B3" s="351" t="s">
        <v>271</v>
      </c>
      <c r="C3" s="351"/>
      <c r="D3" s="351"/>
      <c r="E3" s="351"/>
    </row>
    <row r="4" spans="2:5" ht="15">
      <c r="B4" s="134"/>
      <c r="C4" s="134"/>
      <c r="D4" s="134"/>
      <c r="E4" s="134"/>
    </row>
    <row r="5" spans="2:5" ht="21" customHeight="1">
      <c r="B5" s="352" t="s">
        <v>1</v>
      </c>
      <c r="C5" s="352"/>
      <c r="D5" s="352"/>
      <c r="E5" s="352"/>
    </row>
    <row r="6" spans="2:5" ht="14.25">
      <c r="B6" s="353" t="s">
        <v>238</v>
      </c>
      <c r="C6" s="353"/>
      <c r="D6" s="353"/>
      <c r="E6" s="353"/>
    </row>
    <row r="7" spans="2:5" ht="14.25">
      <c r="B7" s="133"/>
      <c r="C7" s="133"/>
      <c r="D7" s="133"/>
      <c r="E7" s="133"/>
    </row>
    <row r="8" spans="2:5" ht="13.5">
      <c r="B8" s="355" t="s">
        <v>18</v>
      </c>
      <c r="C8" s="357"/>
      <c r="D8" s="357"/>
      <c r="E8" s="357"/>
    </row>
    <row r="9" spans="2:5" ht="16.5" thickBot="1">
      <c r="B9" s="354" t="s">
        <v>103</v>
      </c>
      <c r="C9" s="354"/>
      <c r="D9" s="354"/>
      <c r="E9" s="354"/>
    </row>
    <row r="10" spans="2:5" ht="13.5" thickBot="1">
      <c r="B10" s="135"/>
      <c r="C10" s="76" t="s">
        <v>2</v>
      </c>
      <c r="D10" s="70" t="s">
        <v>245</v>
      </c>
      <c r="E10" s="255" t="s">
        <v>265</v>
      </c>
    </row>
    <row r="11" spans="2:5">
      <c r="B11" s="90" t="s">
        <v>3</v>
      </c>
      <c r="C11" s="128" t="s">
        <v>109</v>
      </c>
      <c r="D11" s="227">
        <v>77206.5</v>
      </c>
      <c r="E11" s="228">
        <f>SUM(E12:E14)</f>
        <v>72110.429999999993</v>
      </c>
    </row>
    <row r="12" spans="2:5">
      <c r="B12" s="106" t="s">
        <v>4</v>
      </c>
      <c r="C12" s="6" t="s">
        <v>5</v>
      </c>
      <c r="D12" s="241">
        <v>77206.5</v>
      </c>
      <c r="E12" s="245">
        <v>72110.429999999993</v>
      </c>
    </row>
    <row r="13" spans="2:5">
      <c r="B13" s="106" t="s">
        <v>6</v>
      </c>
      <c r="C13" s="68" t="s">
        <v>7</v>
      </c>
      <c r="D13" s="237"/>
      <c r="E13" s="246"/>
    </row>
    <row r="14" spans="2:5">
      <c r="B14" s="106" t="s">
        <v>8</v>
      </c>
      <c r="C14" s="68" t="s">
        <v>10</v>
      </c>
      <c r="D14" s="237"/>
      <c r="E14" s="246"/>
    </row>
    <row r="15" spans="2:5">
      <c r="B15" s="106" t="s">
        <v>106</v>
      </c>
      <c r="C15" s="68" t="s">
        <v>11</v>
      </c>
      <c r="D15" s="237"/>
      <c r="E15" s="246"/>
    </row>
    <row r="16" spans="2:5">
      <c r="B16" s="107" t="s">
        <v>107</v>
      </c>
      <c r="C16" s="91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06" t="s">
        <v>4</v>
      </c>
      <c r="C18" s="6" t="s">
        <v>11</v>
      </c>
      <c r="D18" s="239"/>
      <c r="E18" s="247"/>
    </row>
    <row r="19" spans="2:6" ht="15" customHeight="1">
      <c r="B19" s="106" t="s">
        <v>6</v>
      </c>
      <c r="C19" s="68" t="s">
        <v>108</v>
      </c>
      <c r="D19" s="237"/>
      <c r="E19" s="246"/>
    </row>
    <row r="20" spans="2:6" ht="13.5" thickBot="1">
      <c r="B20" s="108" t="s">
        <v>8</v>
      </c>
      <c r="C20" s="6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77206.5</v>
      </c>
      <c r="E21" s="148">
        <f>E11-E17</f>
        <v>72110.429999999993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3"/>
      <c r="D23" s="363"/>
      <c r="E23" s="363"/>
    </row>
    <row r="24" spans="2:6" ht="15.75" customHeight="1" thickBot="1">
      <c r="B24" s="354" t="s">
        <v>105</v>
      </c>
      <c r="C24" s="364"/>
      <c r="D24" s="364"/>
      <c r="E24" s="364"/>
    </row>
    <row r="25" spans="2:6" ht="13.5" thickBot="1">
      <c r="B25" s="135"/>
      <c r="C25" s="5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86926.41</v>
      </c>
      <c r="E26" s="217">
        <f>D21</f>
        <v>77206.5</v>
      </c>
    </row>
    <row r="27" spans="2:6">
      <c r="B27" s="9" t="s">
        <v>17</v>
      </c>
      <c r="C27" s="10" t="s">
        <v>111</v>
      </c>
      <c r="D27" s="323">
        <v>-10260.91</v>
      </c>
      <c r="E27" s="274">
        <v>-6173.52</v>
      </c>
      <c r="F27" s="71"/>
    </row>
    <row r="28" spans="2:6">
      <c r="B28" s="9" t="s">
        <v>18</v>
      </c>
      <c r="C28" s="10" t="s">
        <v>19</v>
      </c>
      <c r="D28" s="323">
        <v>8729.91</v>
      </c>
      <c r="E28" s="275">
        <v>9090.31</v>
      </c>
      <c r="F28" s="71"/>
    </row>
    <row r="29" spans="2:6">
      <c r="B29" s="104" t="s">
        <v>4</v>
      </c>
      <c r="C29" s="6" t="s">
        <v>20</v>
      </c>
      <c r="D29" s="324">
        <v>5968.9</v>
      </c>
      <c r="E29" s="276">
        <v>5580.84</v>
      </c>
      <c r="F29" s="71"/>
    </row>
    <row r="30" spans="2:6">
      <c r="B30" s="104" t="s">
        <v>6</v>
      </c>
      <c r="C30" s="6" t="s">
        <v>21</v>
      </c>
      <c r="D30" s="324"/>
      <c r="E30" s="276"/>
      <c r="F30" s="71"/>
    </row>
    <row r="31" spans="2:6">
      <c r="B31" s="104" t="s">
        <v>8</v>
      </c>
      <c r="C31" s="6" t="s">
        <v>22</v>
      </c>
      <c r="D31" s="324">
        <v>2761.01</v>
      </c>
      <c r="E31" s="276">
        <v>3509.47</v>
      </c>
      <c r="F31" s="71"/>
    </row>
    <row r="32" spans="2:6">
      <c r="B32" s="92" t="s">
        <v>23</v>
      </c>
      <c r="C32" s="11" t="s">
        <v>24</v>
      </c>
      <c r="D32" s="323">
        <v>18990.82</v>
      </c>
      <c r="E32" s="275">
        <v>15263.83</v>
      </c>
      <c r="F32" s="71"/>
    </row>
    <row r="33" spans="2:6">
      <c r="B33" s="104" t="s">
        <v>4</v>
      </c>
      <c r="C33" s="6" t="s">
        <v>25</v>
      </c>
      <c r="D33" s="324">
        <v>14177.52</v>
      </c>
      <c r="E33" s="276">
        <v>11192.67</v>
      </c>
      <c r="F33" s="71"/>
    </row>
    <row r="34" spans="2:6">
      <c r="B34" s="104" t="s">
        <v>6</v>
      </c>
      <c r="C34" s="6" t="s">
        <v>26</v>
      </c>
      <c r="D34" s="324"/>
      <c r="E34" s="276"/>
      <c r="F34" s="71"/>
    </row>
    <row r="35" spans="2:6">
      <c r="B35" s="104" t="s">
        <v>8</v>
      </c>
      <c r="C35" s="6" t="s">
        <v>27</v>
      </c>
      <c r="D35" s="324">
        <v>498.78</v>
      </c>
      <c r="E35" s="276">
        <v>442.33</v>
      </c>
      <c r="F35" s="71"/>
    </row>
    <row r="36" spans="2:6">
      <c r="B36" s="104" t="s">
        <v>9</v>
      </c>
      <c r="C36" s="6" t="s">
        <v>28</v>
      </c>
      <c r="D36" s="324"/>
      <c r="E36" s="276"/>
      <c r="F36" s="71"/>
    </row>
    <row r="37" spans="2:6" ht="25.5">
      <c r="B37" s="104" t="s">
        <v>29</v>
      </c>
      <c r="C37" s="6" t="s">
        <v>30</v>
      </c>
      <c r="D37" s="324">
        <v>1572.9</v>
      </c>
      <c r="E37" s="276">
        <v>648.47</v>
      </c>
      <c r="F37" s="71"/>
    </row>
    <row r="38" spans="2:6">
      <c r="B38" s="104" t="s">
        <v>31</v>
      </c>
      <c r="C38" s="6" t="s">
        <v>32</v>
      </c>
      <c r="D38" s="324"/>
      <c r="E38" s="276"/>
      <c r="F38" s="71"/>
    </row>
    <row r="39" spans="2:6">
      <c r="B39" s="105" t="s">
        <v>33</v>
      </c>
      <c r="C39" s="12" t="s">
        <v>34</v>
      </c>
      <c r="D39" s="325">
        <v>2741.62</v>
      </c>
      <c r="E39" s="277">
        <v>2980.36</v>
      </c>
      <c r="F39" s="71"/>
    </row>
    <row r="40" spans="2:6" ht="13.5" thickBot="1">
      <c r="B40" s="97" t="s">
        <v>35</v>
      </c>
      <c r="C40" s="98" t="s">
        <v>36</v>
      </c>
      <c r="D40" s="326">
        <v>541</v>
      </c>
      <c r="E40" s="279">
        <v>1077.45</v>
      </c>
    </row>
    <row r="41" spans="2:6" ht="13.5" thickBot="1">
      <c r="B41" s="99" t="s">
        <v>37</v>
      </c>
      <c r="C41" s="100" t="s">
        <v>38</v>
      </c>
      <c r="D41" s="327">
        <v>77206.5</v>
      </c>
      <c r="E41" s="148">
        <f>E26+E27+E40</f>
        <v>72110.429999999993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8" customHeight="1" thickBot="1">
      <c r="B44" s="354" t="s">
        <v>121</v>
      </c>
      <c r="C44" s="358"/>
      <c r="D44" s="358"/>
      <c r="E44" s="358"/>
    </row>
    <row r="45" spans="2:6" ht="13.5" thickBot="1">
      <c r="B45" s="135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639.68219999999997</v>
      </c>
      <c r="E47" s="149">
        <v>563.71569999999997</v>
      </c>
    </row>
    <row r="48" spans="2:6">
      <c r="B48" s="123" t="s">
        <v>6</v>
      </c>
      <c r="C48" s="22" t="s">
        <v>41</v>
      </c>
      <c r="D48" s="200">
        <v>563.71569999999997</v>
      </c>
      <c r="E48" s="286">
        <v>518.85469999999998</v>
      </c>
    </row>
    <row r="49" spans="2:5">
      <c r="B49" s="120" t="s">
        <v>23</v>
      </c>
      <c r="C49" s="124" t="s">
        <v>113</v>
      </c>
      <c r="D49" s="201"/>
      <c r="E49" s="218"/>
    </row>
    <row r="50" spans="2:5">
      <c r="B50" s="102" t="s">
        <v>4</v>
      </c>
      <c r="C50" s="15" t="s">
        <v>40</v>
      </c>
      <c r="D50" s="200">
        <v>135.88999999999999</v>
      </c>
      <c r="E50" s="218">
        <v>136.96</v>
      </c>
    </row>
    <row r="51" spans="2:5">
      <c r="B51" s="102" t="s">
        <v>6</v>
      </c>
      <c r="C51" s="15" t="s">
        <v>114</v>
      </c>
      <c r="D51" s="200">
        <v>135.12</v>
      </c>
      <c r="E51" s="219">
        <v>135.22</v>
      </c>
    </row>
    <row r="52" spans="2:5">
      <c r="B52" s="102" t="s">
        <v>8</v>
      </c>
      <c r="C52" s="15" t="s">
        <v>115</v>
      </c>
      <c r="D52" s="200">
        <v>137.13</v>
      </c>
      <c r="E52" s="219">
        <v>139.09</v>
      </c>
    </row>
    <row r="53" spans="2:5" ht="13.5" customHeight="1" thickBot="1">
      <c r="B53" s="103" t="s">
        <v>9</v>
      </c>
      <c r="C53" s="17" t="s">
        <v>41</v>
      </c>
      <c r="D53" s="202">
        <v>136.96</v>
      </c>
      <c r="E53" s="290">
        <v>138.97999999999999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8.7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72110.429999999993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3.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72110.429999999993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72110.429999999993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72110.429999999993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6000000000000005" right="0.75" top="0.53" bottom="0.49" header="0.5" footer="0.5"/>
  <pageSetup paperSize="9" scale="70" orientation="portrait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7"/>
  <dimension ref="A1:G81"/>
  <sheetViews>
    <sheetView zoomScale="80" zoomScaleNormal="80" workbookViewId="0">
      <selection activeCell="E41" sqref="E41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34"/>
      <c r="C4" s="134"/>
      <c r="D4" s="134"/>
      <c r="E4" s="134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175</v>
      </c>
      <c r="C6" s="353"/>
      <c r="D6" s="353"/>
      <c r="E6" s="353"/>
    </row>
    <row r="7" spans="2:7" ht="14.25">
      <c r="B7" s="133"/>
      <c r="C7" s="133"/>
      <c r="D7" s="133"/>
      <c r="E7" s="133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35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177841.15</v>
      </c>
      <c r="E11" s="228">
        <f>SUM(E12:E14)</f>
        <v>244056.62000000002</v>
      </c>
    </row>
    <row r="12" spans="2:7">
      <c r="B12" s="106" t="s">
        <v>4</v>
      </c>
      <c r="C12" s="6" t="s">
        <v>5</v>
      </c>
      <c r="D12" s="241">
        <v>177841.15</v>
      </c>
      <c r="E12" s="245">
        <v>244056.62000000002</v>
      </c>
    </row>
    <row r="13" spans="2:7">
      <c r="B13" s="106" t="s">
        <v>6</v>
      </c>
      <c r="C13" s="68" t="s">
        <v>7</v>
      </c>
      <c r="D13" s="237"/>
      <c r="E13" s="246"/>
    </row>
    <row r="14" spans="2:7">
      <c r="B14" s="106" t="s">
        <v>8</v>
      </c>
      <c r="C14" s="68" t="s">
        <v>10</v>
      </c>
      <c r="D14" s="237"/>
      <c r="E14" s="246"/>
    </row>
    <row r="15" spans="2:7">
      <c r="B15" s="106" t="s">
        <v>106</v>
      </c>
      <c r="C15" s="68" t="s">
        <v>11</v>
      </c>
      <c r="D15" s="237"/>
      <c r="E15" s="246"/>
    </row>
    <row r="16" spans="2:7">
      <c r="B16" s="107" t="s">
        <v>107</v>
      </c>
      <c r="C16" s="91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06" t="s">
        <v>4</v>
      </c>
      <c r="C18" s="6" t="s">
        <v>11</v>
      </c>
      <c r="D18" s="239"/>
      <c r="E18" s="247"/>
    </row>
    <row r="19" spans="2:6" ht="15" customHeight="1">
      <c r="B19" s="106" t="s">
        <v>6</v>
      </c>
      <c r="C19" s="68" t="s">
        <v>108</v>
      </c>
      <c r="D19" s="237"/>
      <c r="E19" s="246"/>
    </row>
    <row r="20" spans="2:6" ht="13.5" thickBot="1">
      <c r="B20" s="108" t="s">
        <v>8</v>
      </c>
      <c r="C20" s="6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177841.15</v>
      </c>
      <c r="E21" s="148">
        <f>E11-E17</f>
        <v>244056.62000000002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3"/>
      <c r="D23" s="363"/>
      <c r="E23" s="363"/>
    </row>
    <row r="24" spans="2:6" ht="15.75" customHeight="1" thickBot="1">
      <c r="B24" s="354" t="s">
        <v>105</v>
      </c>
      <c r="C24" s="364"/>
      <c r="D24" s="364"/>
      <c r="E24" s="364"/>
    </row>
    <row r="25" spans="2:6" ht="13.5" thickBot="1">
      <c r="B25" s="135"/>
      <c r="C25" s="5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153386.26999999999</v>
      </c>
      <c r="E26" s="217">
        <f>D21</f>
        <v>177841.15</v>
      </c>
    </row>
    <row r="27" spans="2:6">
      <c r="B27" s="9" t="s">
        <v>17</v>
      </c>
      <c r="C27" s="10" t="s">
        <v>111</v>
      </c>
      <c r="D27" s="323">
        <v>7212.8699999999953</v>
      </c>
      <c r="E27" s="274">
        <f>E28-E32</f>
        <v>33965.73000000001</v>
      </c>
      <c r="F27" s="71"/>
    </row>
    <row r="28" spans="2:6">
      <c r="B28" s="9" t="s">
        <v>18</v>
      </c>
      <c r="C28" s="10" t="s">
        <v>19</v>
      </c>
      <c r="D28" s="323">
        <v>48891.02</v>
      </c>
      <c r="E28" s="275">
        <v>68835.070000000007</v>
      </c>
      <c r="F28" s="71"/>
    </row>
    <row r="29" spans="2:6">
      <c r="B29" s="104" t="s">
        <v>4</v>
      </c>
      <c r="C29" s="6" t="s">
        <v>20</v>
      </c>
      <c r="D29" s="324">
        <v>18577.919999999998</v>
      </c>
      <c r="E29" s="276">
        <v>27143.42</v>
      </c>
      <c r="F29" s="71"/>
    </row>
    <row r="30" spans="2:6">
      <c r="B30" s="104" t="s">
        <v>6</v>
      </c>
      <c r="C30" s="6" t="s">
        <v>21</v>
      </c>
      <c r="D30" s="324"/>
      <c r="E30" s="276"/>
      <c r="F30" s="71"/>
    </row>
    <row r="31" spans="2:6">
      <c r="B31" s="104" t="s">
        <v>8</v>
      </c>
      <c r="C31" s="6" t="s">
        <v>22</v>
      </c>
      <c r="D31" s="324">
        <v>30313.1</v>
      </c>
      <c r="E31" s="276">
        <v>41691.65</v>
      </c>
      <c r="F31" s="71"/>
    </row>
    <row r="32" spans="2:6">
      <c r="B32" s="92" t="s">
        <v>23</v>
      </c>
      <c r="C32" s="11" t="s">
        <v>24</v>
      </c>
      <c r="D32" s="323">
        <v>41678.15</v>
      </c>
      <c r="E32" s="275">
        <f>SUM(E33:E39)</f>
        <v>34869.339999999997</v>
      </c>
      <c r="F32" s="71"/>
    </row>
    <row r="33" spans="2:6">
      <c r="B33" s="104" t="s">
        <v>4</v>
      </c>
      <c r="C33" s="6" t="s">
        <v>25</v>
      </c>
      <c r="D33" s="324">
        <v>13260.61</v>
      </c>
      <c r="E33" s="276">
        <f>12860.08+1933.68</f>
        <v>14793.76</v>
      </c>
      <c r="F33" s="71"/>
    </row>
    <row r="34" spans="2:6">
      <c r="B34" s="104" t="s">
        <v>6</v>
      </c>
      <c r="C34" s="6" t="s">
        <v>26</v>
      </c>
      <c r="D34" s="324"/>
      <c r="E34" s="276"/>
      <c r="F34" s="71"/>
    </row>
    <row r="35" spans="2:6">
      <c r="B35" s="104" t="s">
        <v>8</v>
      </c>
      <c r="C35" s="6" t="s">
        <v>27</v>
      </c>
      <c r="D35" s="324">
        <v>1931.73</v>
      </c>
      <c r="E35" s="276">
        <v>1759.1</v>
      </c>
      <c r="F35" s="71"/>
    </row>
    <row r="36" spans="2:6">
      <c r="B36" s="104" t="s">
        <v>9</v>
      </c>
      <c r="C36" s="6" t="s">
        <v>28</v>
      </c>
      <c r="D36" s="324"/>
      <c r="E36" s="276"/>
      <c r="F36" s="71"/>
    </row>
    <row r="37" spans="2:6" ht="25.5">
      <c r="B37" s="104" t="s">
        <v>29</v>
      </c>
      <c r="C37" s="6" t="s">
        <v>30</v>
      </c>
      <c r="D37" s="324">
        <v>1539.04</v>
      </c>
      <c r="E37" s="276">
        <v>1577.66</v>
      </c>
      <c r="F37" s="71"/>
    </row>
    <row r="38" spans="2:6">
      <c r="B38" s="104" t="s">
        <v>31</v>
      </c>
      <c r="C38" s="6" t="s">
        <v>32</v>
      </c>
      <c r="D38" s="324"/>
      <c r="E38" s="276"/>
      <c r="F38" s="71"/>
    </row>
    <row r="39" spans="2:6">
      <c r="B39" s="105" t="s">
        <v>33</v>
      </c>
      <c r="C39" s="12" t="s">
        <v>34</v>
      </c>
      <c r="D39" s="325">
        <v>24946.77</v>
      </c>
      <c r="E39" s="277">
        <v>16738.82</v>
      </c>
      <c r="F39" s="71"/>
    </row>
    <row r="40" spans="2:6" ht="13.5" thickBot="1">
      <c r="B40" s="97" t="s">
        <v>35</v>
      </c>
      <c r="C40" s="98" t="s">
        <v>36</v>
      </c>
      <c r="D40" s="326">
        <v>17242.009999999998</v>
      </c>
      <c r="E40" s="279">
        <v>32249.74</v>
      </c>
    </row>
    <row r="41" spans="2:6" ht="13.5" thickBot="1">
      <c r="B41" s="99" t="s">
        <v>37</v>
      </c>
      <c r="C41" s="100" t="s">
        <v>38</v>
      </c>
      <c r="D41" s="327">
        <v>177841.15</v>
      </c>
      <c r="E41" s="148">
        <f>E26+E27+E40</f>
        <v>244056.62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8" customHeight="1" thickBot="1">
      <c r="B44" s="354" t="s">
        <v>121</v>
      </c>
      <c r="C44" s="358"/>
      <c r="D44" s="358"/>
      <c r="E44" s="358"/>
    </row>
    <row r="45" spans="2:6" ht="13.5" thickBot="1">
      <c r="B45" s="135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698.76666</v>
      </c>
      <c r="E47" s="149">
        <v>726.7127999999999</v>
      </c>
    </row>
    <row r="48" spans="2:6">
      <c r="B48" s="123" t="s">
        <v>6</v>
      </c>
      <c r="C48" s="22" t="s">
        <v>41</v>
      </c>
      <c r="D48" s="200">
        <v>726.7127999999999</v>
      </c>
      <c r="E48" s="286">
        <v>855.52849999999989</v>
      </c>
    </row>
    <row r="49" spans="2:5">
      <c r="B49" s="120" t="s">
        <v>23</v>
      </c>
      <c r="C49" s="124" t="s">
        <v>113</v>
      </c>
      <c r="D49" s="201"/>
      <c r="E49" s="218"/>
    </row>
    <row r="50" spans="2:5">
      <c r="B50" s="102" t="s">
        <v>4</v>
      </c>
      <c r="C50" s="15" t="s">
        <v>40</v>
      </c>
      <c r="D50" s="200">
        <v>219.51</v>
      </c>
      <c r="E50" s="218">
        <v>244.72</v>
      </c>
    </row>
    <row r="51" spans="2:5">
      <c r="B51" s="102" t="s">
        <v>6</v>
      </c>
      <c r="C51" s="15" t="s">
        <v>114</v>
      </c>
      <c r="D51" s="200">
        <v>216.37</v>
      </c>
      <c r="E51" s="219">
        <v>199.11</v>
      </c>
    </row>
    <row r="52" spans="2:5">
      <c r="B52" s="102" t="s">
        <v>8</v>
      </c>
      <c r="C52" s="15" t="s">
        <v>115</v>
      </c>
      <c r="D52" s="200">
        <v>247.22</v>
      </c>
      <c r="E52" s="219">
        <v>285.27</v>
      </c>
    </row>
    <row r="53" spans="2:5" ht="12.75" customHeight="1" thickBot="1">
      <c r="B53" s="103" t="s">
        <v>9</v>
      </c>
      <c r="C53" s="17" t="s">
        <v>41</v>
      </c>
      <c r="D53" s="202">
        <v>244.72</v>
      </c>
      <c r="E53" s="290">
        <v>285.27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6.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244056.62000000002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3.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244056.62000000002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244056.62000000002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244056.62000000002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9"/>
  <dimension ref="A1:F81"/>
  <sheetViews>
    <sheetView zoomScale="80" zoomScaleNormal="80" workbookViewId="0">
      <selection activeCell="E41" sqref="E41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1" t="s">
        <v>0</v>
      </c>
      <c r="C2" s="351"/>
      <c r="D2" s="351"/>
      <c r="E2" s="351"/>
    </row>
    <row r="3" spans="2:5" ht="15.75">
      <c r="B3" s="351" t="s">
        <v>271</v>
      </c>
      <c r="C3" s="351"/>
      <c r="D3" s="351"/>
      <c r="E3" s="351"/>
    </row>
    <row r="4" spans="2:5" ht="15">
      <c r="B4" s="147"/>
      <c r="C4" s="147"/>
      <c r="D4" s="147"/>
      <c r="E4" s="147"/>
    </row>
    <row r="5" spans="2:5" ht="14.25">
      <c r="B5" s="352" t="s">
        <v>1</v>
      </c>
      <c r="C5" s="352"/>
      <c r="D5" s="352"/>
      <c r="E5" s="352"/>
    </row>
    <row r="6" spans="2:5" ht="14.25">
      <c r="B6" s="353" t="s">
        <v>176</v>
      </c>
      <c r="C6" s="353"/>
      <c r="D6" s="353"/>
      <c r="E6" s="353"/>
    </row>
    <row r="7" spans="2:5" ht="14.25">
      <c r="B7" s="164"/>
      <c r="C7" s="164"/>
      <c r="D7" s="164"/>
      <c r="E7" s="164"/>
    </row>
    <row r="8" spans="2:5" ht="13.5">
      <c r="B8" s="355" t="s">
        <v>18</v>
      </c>
      <c r="C8" s="357"/>
      <c r="D8" s="357"/>
      <c r="E8" s="357"/>
    </row>
    <row r="9" spans="2:5" ht="16.5" thickBot="1">
      <c r="B9" s="354" t="s">
        <v>103</v>
      </c>
      <c r="C9" s="354"/>
      <c r="D9" s="354"/>
      <c r="E9" s="354"/>
    </row>
    <row r="10" spans="2:5" ht="13.5" thickBot="1">
      <c r="B10" s="165"/>
      <c r="C10" s="76" t="s">
        <v>2</v>
      </c>
      <c r="D10" s="70" t="s">
        <v>245</v>
      </c>
      <c r="E10" s="255" t="s">
        <v>265</v>
      </c>
    </row>
    <row r="11" spans="2:5">
      <c r="B11" s="90" t="s">
        <v>3</v>
      </c>
      <c r="C11" s="128" t="s">
        <v>109</v>
      </c>
      <c r="D11" s="227">
        <v>9889.2000000000007</v>
      </c>
      <c r="E11" s="228">
        <f>SUM(E12:E14)</f>
        <v>9371.82</v>
      </c>
    </row>
    <row r="12" spans="2:5">
      <c r="B12" s="173" t="s">
        <v>4</v>
      </c>
      <c r="C12" s="174" t="s">
        <v>5</v>
      </c>
      <c r="D12" s="241">
        <v>9889.2000000000007</v>
      </c>
      <c r="E12" s="245">
        <v>9371.82</v>
      </c>
    </row>
    <row r="13" spans="2:5">
      <c r="B13" s="173" t="s">
        <v>6</v>
      </c>
      <c r="C13" s="175" t="s">
        <v>7</v>
      </c>
      <c r="D13" s="237"/>
      <c r="E13" s="246"/>
    </row>
    <row r="14" spans="2:5">
      <c r="B14" s="173" t="s">
        <v>8</v>
      </c>
      <c r="C14" s="175" t="s">
        <v>10</v>
      </c>
      <c r="D14" s="237"/>
      <c r="E14" s="246"/>
    </row>
    <row r="15" spans="2:5">
      <c r="B15" s="173" t="s">
        <v>106</v>
      </c>
      <c r="C15" s="175" t="s">
        <v>11</v>
      </c>
      <c r="D15" s="237"/>
      <c r="E15" s="246"/>
    </row>
    <row r="16" spans="2:5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9889.2000000000007</v>
      </c>
      <c r="E21" s="148">
        <f>E11-E17</f>
        <v>9371.82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9791.7199999999993</v>
      </c>
      <c r="E26" s="217">
        <f>D21</f>
        <v>9889.2000000000007</v>
      </c>
    </row>
    <row r="27" spans="2:6">
      <c r="B27" s="9" t="s">
        <v>17</v>
      </c>
      <c r="C27" s="10" t="s">
        <v>111</v>
      </c>
      <c r="D27" s="323">
        <v>-234.60999999999999</v>
      </c>
      <c r="E27" s="274">
        <v>-231.68</v>
      </c>
      <c r="F27" s="71"/>
    </row>
    <row r="28" spans="2:6">
      <c r="B28" s="9" t="s">
        <v>18</v>
      </c>
      <c r="C28" s="10" t="s">
        <v>19</v>
      </c>
      <c r="D28" s="323"/>
      <c r="E28" s="275"/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234.60999999999999</v>
      </c>
      <c r="E32" s="275">
        <v>231.68</v>
      </c>
      <c r="F32" s="71"/>
    </row>
    <row r="33" spans="2:6">
      <c r="B33" s="181" t="s">
        <v>4</v>
      </c>
      <c r="C33" s="174" t="s">
        <v>25</v>
      </c>
      <c r="D33" s="324"/>
      <c r="E33" s="276"/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66.599999999999994</v>
      </c>
      <c r="E35" s="276">
        <v>73.209999999999994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168.01</v>
      </c>
      <c r="E37" s="276">
        <v>158.47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/>
      <c r="F39" s="71"/>
    </row>
    <row r="40" spans="2:6" ht="13.5" thickBot="1">
      <c r="B40" s="97" t="s">
        <v>35</v>
      </c>
      <c r="C40" s="98" t="s">
        <v>36</v>
      </c>
      <c r="D40" s="326">
        <v>332.09</v>
      </c>
      <c r="E40" s="279">
        <v>-285.7</v>
      </c>
    </row>
    <row r="41" spans="2:6" ht="13.5" thickBot="1">
      <c r="B41" s="99" t="s">
        <v>37</v>
      </c>
      <c r="C41" s="100" t="s">
        <v>38</v>
      </c>
      <c r="D41" s="327">
        <v>9889.1999999999989</v>
      </c>
      <c r="E41" s="148">
        <f>E26+E27+E40</f>
        <v>9371.82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95.8</v>
      </c>
      <c r="E47" s="149">
        <v>93.550299999999993</v>
      </c>
    </row>
    <row r="48" spans="2:6">
      <c r="B48" s="186" t="s">
        <v>6</v>
      </c>
      <c r="C48" s="187" t="s">
        <v>41</v>
      </c>
      <c r="D48" s="200">
        <v>93.550299999999993</v>
      </c>
      <c r="E48" s="286">
        <v>91.245400000000004</v>
      </c>
    </row>
    <row r="49" spans="2:5">
      <c r="B49" s="120" t="s">
        <v>23</v>
      </c>
      <c r="C49" s="124" t="s">
        <v>113</v>
      </c>
      <c r="D49" s="201"/>
      <c r="E49" s="218"/>
    </row>
    <row r="50" spans="2:5">
      <c r="B50" s="184" t="s">
        <v>4</v>
      </c>
      <c r="C50" s="185" t="s">
        <v>40</v>
      </c>
      <c r="D50" s="200">
        <v>102.21</v>
      </c>
      <c r="E50" s="218">
        <v>105.71</v>
      </c>
    </row>
    <row r="51" spans="2:5">
      <c r="B51" s="184" t="s">
        <v>6</v>
      </c>
      <c r="C51" s="185" t="s">
        <v>114</v>
      </c>
      <c r="D51" s="200">
        <v>102.21</v>
      </c>
      <c r="E51" s="219">
        <v>94.43</v>
      </c>
    </row>
    <row r="52" spans="2:5">
      <c r="B52" s="184" t="s">
        <v>8</v>
      </c>
      <c r="C52" s="185" t="s">
        <v>115</v>
      </c>
      <c r="D52" s="200">
        <v>105.8</v>
      </c>
      <c r="E52" s="219">
        <v>106.38</v>
      </c>
    </row>
    <row r="53" spans="2:5" ht="13.5" thickBot="1">
      <c r="B53" s="188" t="s">
        <v>9</v>
      </c>
      <c r="C53" s="189" t="s">
        <v>41</v>
      </c>
      <c r="D53" s="202">
        <v>105.71</v>
      </c>
      <c r="E53" s="290">
        <v>102.71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4.25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9371.82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9371.82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9371.82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9371.82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6:E56"/>
    <mergeCell ref="B57:C57"/>
    <mergeCell ref="B21:C21"/>
    <mergeCell ref="B23:E23"/>
    <mergeCell ref="B24:E24"/>
    <mergeCell ref="B43:E43"/>
    <mergeCell ref="B44:E44"/>
    <mergeCell ref="B55:E55"/>
    <mergeCell ref="B9:E9"/>
    <mergeCell ref="B2:E2"/>
    <mergeCell ref="B3:E3"/>
    <mergeCell ref="B5:E5"/>
    <mergeCell ref="B6:E6"/>
    <mergeCell ref="B8:E8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0"/>
  <dimension ref="A1:G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7"/>
      <c r="C4" s="147"/>
      <c r="D4" s="147"/>
      <c r="E4" s="147"/>
    </row>
    <row r="5" spans="2:7" ht="14.25">
      <c r="B5" s="352" t="s">
        <v>1</v>
      </c>
      <c r="C5" s="352"/>
      <c r="D5" s="352"/>
      <c r="E5" s="352"/>
    </row>
    <row r="6" spans="2:7" ht="14.25">
      <c r="B6" s="353" t="s">
        <v>239</v>
      </c>
      <c r="C6" s="353"/>
      <c r="D6" s="353"/>
      <c r="E6" s="353"/>
    </row>
    <row r="7" spans="2:7" ht="14.25">
      <c r="B7" s="153"/>
      <c r="C7" s="153"/>
      <c r="D7" s="153"/>
      <c r="E7" s="153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54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93087.12</v>
      </c>
      <c r="E11" s="228">
        <f>SUM(E12:E14)</f>
        <v>45751.199999999997</v>
      </c>
    </row>
    <row r="12" spans="2:7">
      <c r="B12" s="173" t="s">
        <v>4</v>
      </c>
      <c r="C12" s="174" t="s">
        <v>5</v>
      </c>
      <c r="D12" s="241">
        <v>93087.12</v>
      </c>
      <c r="E12" s="245">
        <v>45751.199999999997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93087.12</v>
      </c>
      <c r="E21" s="148">
        <f>E11-E17</f>
        <v>45751.199999999997</v>
      </c>
      <c r="F21" s="77"/>
    </row>
    <row r="22" spans="2:6">
      <c r="B22" s="3"/>
      <c r="C22" s="7"/>
      <c r="D22" s="8"/>
      <c r="E22" s="215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203272.61</v>
      </c>
      <c r="E26" s="217">
        <f>D21</f>
        <v>93087.12</v>
      </c>
    </row>
    <row r="27" spans="2:6">
      <c r="B27" s="9" t="s">
        <v>17</v>
      </c>
      <c r="C27" s="10" t="s">
        <v>111</v>
      </c>
      <c r="D27" s="323">
        <v>-113471.44</v>
      </c>
      <c r="E27" s="274">
        <v>-49100.29</v>
      </c>
      <c r="F27" s="71"/>
    </row>
    <row r="28" spans="2:6">
      <c r="B28" s="9" t="s">
        <v>18</v>
      </c>
      <c r="C28" s="10" t="s">
        <v>19</v>
      </c>
      <c r="D28" s="323"/>
      <c r="E28" s="275"/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113471.44</v>
      </c>
      <c r="E32" s="275">
        <v>49100.29</v>
      </c>
      <c r="F32" s="71"/>
    </row>
    <row r="33" spans="2:6">
      <c r="B33" s="181" t="s">
        <v>4</v>
      </c>
      <c r="C33" s="174" t="s">
        <v>25</v>
      </c>
      <c r="D33" s="324">
        <v>110595.09</v>
      </c>
      <c r="E33" s="276">
        <v>47306.83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423.21</v>
      </c>
      <c r="E35" s="276">
        <v>332.4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2453.14</v>
      </c>
      <c r="E37" s="276">
        <v>1461.06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/>
      <c r="F39" s="71"/>
    </row>
    <row r="40" spans="2:6" ht="13.5" thickBot="1">
      <c r="B40" s="97" t="s">
        <v>35</v>
      </c>
      <c r="C40" s="98" t="s">
        <v>36</v>
      </c>
      <c r="D40" s="326">
        <v>3285.95</v>
      </c>
      <c r="E40" s="279">
        <v>1764.37</v>
      </c>
    </row>
    <row r="41" spans="2:6" ht="13.5" thickBot="1">
      <c r="B41" s="99" t="s">
        <v>37</v>
      </c>
      <c r="C41" s="100" t="s">
        <v>38</v>
      </c>
      <c r="D41" s="327">
        <v>93087.119999999981</v>
      </c>
      <c r="E41" s="148">
        <f>E26+E27+E40</f>
        <v>45751.199999999997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800.85339999999997</v>
      </c>
      <c r="E47" s="149">
        <v>358.0274</v>
      </c>
    </row>
    <row r="48" spans="2:6">
      <c r="B48" s="186" t="s">
        <v>6</v>
      </c>
      <c r="C48" s="187" t="s">
        <v>41</v>
      </c>
      <c r="D48" s="200">
        <v>358.0274</v>
      </c>
      <c r="E48" s="286">
        <v>172.4768</v>
      </c>
    </row>
    <row r="49" spans="2:5">
      <c r="B49" s="120" t="s">
        <v>23</v>
      </c>
      <c r="C49" s="124" t="s">
        <v>113</v>
      </c>
      <c r="D49" s="201"/>
      <c r="E49" s="218"/>
    </row>
    <row r="50" spans="2:5">
      <c r="B50" s="184" t="s">
        <v>4</v>
      </c>
      <c r="C50" s="185" t="s">
        <v>40</v>
      </c>
      <c r="D50" s="200">
        <v>253.82</v>
      </c>
      <c r="E50" s="218">
        <v>260</v>
      </c>
    </row>
    <row r="51" spans="2:5">
      <c r="B51" s="184" t="s">
        <v>6</v>
      </c>
      <c r="C51" s="185" t="s">
        <v>114</v>
      </c>
      <c r="D51" s="200">
        <v>253.6</v>
      </c>
      <c r="E51" s="219">
        <v>254.9</v>
      </c>
    </row>
    <row r="52" spans="2:5">
      <c r="B52" s="184" t="s">
        <v>8</v>
      </c>
      <c r="C52" s="185" t="s">
        <v>115</v>
      </c>
      <c r="D52" s="200">
        <v>260.01</v>
      </c>
      <c r="E52" s="219">
        <v>265.54000000000002</v>
      </c>
    </row>
    <row r="53" spans="2:5" ht="13.5" thickBot="1">
      <c r="B53" s="188" t="s">
        <v>9</v>
      </c>
      <c r="C53" s="189" t="s">
        <v>41</v>
      </c>
      <c r="D53" s="202">
        <v>260</v>
      </c>
      <c r="E53" s="290">
        <v>265.26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4.25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45751.199999999997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45751.199999999997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45751.199999999997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45751.199999999997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9:E9"/>
    <mergeCell ref="B2:E2"/>
    <mergeCell ref="B3:E3"/>
    <mergeCell ref="B5:E5"/>
    <mergeCell ref="B6:E6"/>
    <mergeCell ref="B8:E8"/>
    <mergeCell ref="B56:E56"/>
    <mergeCell ref="B57:C57"/>
    <mergeCell ref="B21:C21"/>
    <mergeCell ref="B23:E23"/>
    <mergeCell ref="B24:E24"/>
    <mergeCell ref="B43:E43"/>
    <mergeCell ref="B44:E44"/>
    <mergeCell ref="B55:E55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1"/>
  <dimension ref="A1:G81"/>
  <sheetViews>
    <sheetView zoomScale="80" zoomScaleNormal="80" workbookViewId="0">
      <selection activeCell="D28" sqref="D28:E28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 customFormat="1">
      <c r="B1" s="1"/>
      <c r="C1" s="1"/>
      <c r="D1" s="2"/>
      <c r="E1" s="2"/>
    </row>
    <row r="2" spans="2:7" customFormat="1" ht="15.75">
      <c r="B2" s="351" t="s">
        <v>0</v>
      </c>
      <c r="C2" s="351"/>
      <c r="D2" s="351"/>
      <c r="E2" s="351"/>
      <c r="G2" s="71"/>
    </row>
    <row r="3" spans="2:7" customFormat="1" ht="15.75">
      <c r="B3" s="351" t="s">
        <v>271</v>
      </c>
      <c r="C3" s="351"/>
      <c r="D3" s="351"/>
      <c r="E3" s="351"/>
    </row>
    <row r="4" spans="2:7" customFormat="1" ht="15">
      <c r="B4" s="147"/>
      <c r="C4" s="147"/>
      <c r="D4" s="147"/>
      <c r="E4" s="147"/>
    </row>
    <row r="5" spans="2:7" customFormat="1" ht="14.25">
      <c r="B5" s="352" t="s">
        <v>1</v>
      </c>
      <c r="C5" s="352"/>
      <c r="D5" s="352"/>
      <c r="E5" s="352"/>
    </row>
    <row r="6" spans="2:7" customFormat="1" ht="14.25" customHeight="1">
      <c r="B6" s="353" t="s">
        <v>177</v>
      </c>
      <c r="C6" s="353"/>
      <c r="D6" s="353"/>
      <c r="E6" s="353"/>
    </row>
    <row r="7" spans="2:7" customFormat="1" ht="14.25">
      <c r="B7" s="153"/>
      <c r="C7" s="153"/>
      <c r="D7" s="153"/>
      <c r="E7" s="153"/>
    </row>
    <row r="8" spans="2:7" customFormat="1" ht="13.5">
      <c r="B8" s="355" t="s">
        <v>18</v>
      </c>
      <c r="C8" s="357"/>
      <c r="D8" s="357"/>
      <c r="E8" s="357"/>
    </row>
    <row r="9" spans="2:7" customFormat="1" ht="16.5" thickBot="1">
      <c r="B9" s="354" t="s">
        <v>103</v>
      </c>
      <c r="C9" s="354"/>
      <c r="D9" s="354"/>
      <c r="E9" s="354"/>
    </row>
    <row r="10" spans="2:7" customFormat="1" ht="13.5" thickBot="1">
      <c r="B10" s="154"/>
      <c r="C10" s="76" t="s">
        <v>2</v>
      </c>
      <c r="D10" s="70" t="s">
        <v>245</v>
      </c>
      <c r="E10" s="255" t="s">
        <v>265</v>
      </c>
    </row>
    <row r="11" spans="2:7" customFormat="1">
      <c r="B11" s="90" t="s">
        <v>3</v>
      </c>
      <c r="C11" s="128" t="s">
        <v>109</v>
      </c>
      <c r="D11" s="227">
        <v>35508.89</v>
      </c>
      <c r="E11" s="228">
        <f>SUM(E12:E14)</f>
        <v>40895.61</v>
      </c>
    </row>
    <row r="12" spans="2:7" customFormat="1">
      <c r="B12" s="173" t="s">
        <v>4</v>
      </c>
      <c r="C12" s="174" t="s">
        <v>5</v>
      </c>
      <c r="D12" s="241">
        <v>35508.89</v>
      </c>
      <c r="E12" s="245">
        <v>40895.61</v>
      </c>
    </row>
    <row r="13" spans="2:7" customFormat="1">
      <c r="B13" s="173" t="s">
        <v>6</v>
      </c>
      <c r="C13" s="175" t="s">
        <v>7</v>
      </c>
      <c r="D13" s="237"/>
      <c r="E13" s="246"/>
    </row>
    <row r="14" spans="2:7" customFormat="1">
      <c r="B14" s="173" t="s">
        <v>8</v>
      </c>
      <c r="C14" s="175" t="s">
        <v>10</v>
      </c>
      <c r="D14" s="237"/>
      <c r="E14" s="246"/>
    </row>
    <row r="15" spans="2:7" customFormat="1">
      <c r="B15" s="173" t="s">
        <v>106</v>
      </c>
      <c r="C15" s="175" t="s">
        <v>11</v>
      </c>
      <c r="D15" s="237"/>
      <c r="E15" s="246"/>
    </row>
    <row r="16" spans="2:7" customFormat="1">
      <c r="B16" s="176" t="s">
        <v>107</v>
      </c>
      <c r="C16" s="177" t="s">
        <v>12</v>
      </c>
      <c r="D16" s="239"/>
      <c r="E16" s="247"/>
    </row>
    <row r="17" spans="2:6" customFormat="1">
      <c r="B17" s="9" t="s">
        <v>13</v>
      </c>
      <c r="C17" s="11" t="s">
        <v>65</v>
      </c>
      <c r="D17" s="240"/>
      <c r="E17" s="248"/>
    </row>
    <row r="18" spans="2:6" customFormat="1">
      <c r="B18" s="173" t="s">
        <v>4</v>
      </c>
      <c r="C18" s="174" t="s">
        <v>11</v>
      </c>
      <c r="D18" s="239"/>
      <c r="E18" s="247"/>
    </row>
    <row r="19" spans="2:6" customFormat="1" ht="15" customHeight="1">
      <c r="B19" s="173" t="s">
        <v>6</v>
      </c>
      <c r="C19" s="175" t="s">
        <v>108</v>
      </c>
      <c r="D19" s="237"/>
      <c r="E19" s="246"/>
    </row>
    <row r="20" spans="2:6" customFormat="1" ht="13.5" thickBot="1">
      <c r="B20" s="178" t="s">
        <v>8</v>
      </c>
      <c r="C20" s="179" t="s">
        <v>14</v>
      </c>
      <c r="D20" s="229"/>
      <c r="E20" s="230"/>
    </row>
    <row r="21" spans="2:6" customFormat="1" ht="13.5" thickBot="1">
      <c r="B21" s="361" t="s">
        <v>110</v>
      </c>
      <c r="C21" s="362"/>
      <c r="D21" s="231">
        <v>35508.89</v>
      </c>
      <c r="E21" s="148">
        <f>E11-E17</f>
        <v>40895.61</v>
      </c>
      <c r="F21" s="77"/>
    </row>
    <row r="22" spans="2:6" customFormat="1">
      <c r="B22" s="3"/>
      <c r="C22" s="7"/>
      <c r="D22" s="8"/>
      <c r="E22" s="8"/>
    </row>
    <row r="23" spans="2:6" customFormat="1" ht="13.5">
      <c r="B23" s="355" t="s">
        <v>104</v>
      </c>
      <c r="C23" s="367"/>
      <c r="D23" s="367"/>
      <c r="E23" s="367"/>
    </row>
    <row r="24" spans="2:6" customFormat="1" ht="15.75" customHeight="1" thickBot="1">
      <c r="B24" s="354" t="s">
        <v>105</v>
      </c>
      <c r="C24" s="368"/>
      <c r="D24" s="368"/>
      <c r="E24" s="368"/>
    </row>
    <row r="25" spans="2:6" customFormat="1" ht="13.5" thickBot="1">
      <c r="B25" s="207"/>
      <c r="C25" s="180" t="s">
        <v>2</v>
      </c>
      <c r="D25" s="70" t="s">
        <v>245</v>
      </c>
      <c r="E25" s="255" t="s">
        <v>265</v>
      </c>
    </row>
    <row r="26" spans="2:6" customFormat="1">
      <c r="B26" s="95" t="s">
        <v>15</v>
      </c>
      <c r="C26" s="96" t="s">
        <v>16</v>
      </c>
      <c r="D26" s="322">
        <v>60546.06</v>
      </c>
      <c r="E26" s="217">
        <f>D21</f>
        <v>35508.89</v>
      </c>
    </row>
    <row r="27" spans="2:6" customFormat="1">
      <c r="B27" s="9" t="s">
        <v>17</v>
      </c>
      <c r="C27" s="10" t="s">
        <v>111</v>
      </c>
      <c r="D27" s="323">
        <v>-30675.19</v>
      </c>
      <c r="E27" s="274">
        <v>-594.77</v>
      </c>
      <c r="F27" s="71"/>
    </row>
    <row r="28" spans="2:6" customFormat="1">
      <c r="B28" s="9" t="s">
        <v>18</v>
      </c>
      <c r="C28" s="10" t="s">
        <v>19</v>
      </c>
      <c r="D28" s="323"/>
      <c r="E28" s="275"/>
      <c r="F28" s="71"/>
    </row>
    <row r="29" spans="2:6" customFormat="1">
      <c r="B29" s="181" t="s">
        <v>4</v>
      </c>
      <c r="C29" s="174" t="s">
        <v>20</v>
      </c>
      <c r="D29" s="324"/>
      <c r="E29" s="276"/>
      <c r="F29" s="71"/>
    </row>
    <row r="30" spans="2:6" customFormat="1">
      <c r="B30" s="181" t="s">
        <v>6</v>
      </c>
      <c r="C30" s="174" t="s">
        <v>21</v>
      </c>
      <c r="D30" s="324"/>
      <c r="E30" s="276"/>
      <c r="F30" s="71"/>
    </row>
    <row r="31" spans="2:6" customFormat="1">
      <c r="B31" s="181" t="s">
        <v>8</v>
      </c>
      <c r="C31" s="174" t="s">
        <v>22</v>
      </c>
      <c r="D31" s="324"/>
      <c r="E31" s="276"/>
      <c r="F31" s="71"/>
    </row>
    <row r="32" spans="2:6" customFormat="1">
      <c r="B32" s="92" t="s">
        <v>23</v>
      </c>
      <c r="C32" s="11" t="s">
        <v>24</v>
      </c>
      <c r="D32" s="323">
        <v>30675.19</v>
      </c>
      <c r="E32" s="275">
        <v>594.77</v>
      </c>
      <c r="F32" s="71"/>
    </row>
    <row r="33" spans="2:6" customFormat="1">
      <c r="B33" s="181" t="s">
        <v>4</v>
      </c>
      <c r="C33" s="174" t="s">
        <v>25</v>
      </c>
      <c r="D33" s="324">
        <v>29622.94</v>
      </c>
      <c r="E33" s="276"/>
      <c r="F33" s="71"/>
    </row>
    <row r="34" spans="2:6" customFormat="1">
      <c r="B34" s="181" t="s">
        <v>6</v>
      </c>
      <c r="C34" s="174" t="s">
        <v>26</v>
      </c>
      <c r="D34" s="324"/>
      <c r="E34" s="276"/>
      <c r="F34" s="71"/>
    </row>
    <row r="35" spans="2:6" customFormat="1">
      <c r="B35" s="181" t="s">
        <v>8</v>
      </c>
      <c r="C35" s="174" t="s">
        <v>27</v>
      </c>
      <c r="D35" s="324">
        <v>230.6</v>
      </c>
      <c r="E35" s="276">
        <v>142.43</v>
      </c>
      <c r="F35" s="71"/>
    </row>
    <row r="36" spans="2:6" customFormat="1">
      <c r="B36" s="181" t="s">
        <v>9</v>
      </c>
      <c r="C36" s="174" t="s">
        <v>28</v>
      </c>
      <c r="D36" s="324"/>
      <c r="E36" s="276"/>
      <c r="F36" s="71"/>
    </row>
    <row r="37" spans="2:6" customFormat="1" ht="25.5">
      <c r="B37" s="181" t="s">
        <v>29</v>
      </c>
      <c r="C37" s="174" t="s">
        <v>30</v>
      </c>
      <c r="D37" s="324">
        <v>821.65</v>
      </c>
      <c r="E37" s="276">
        <v>452.34</v>
      </c>
      <c r="F37" s="71"/>
    </row>
    <row r="38" spans="2:6" customFormat="1">
      <c r="B38" s="181" t="s">
        <v>31</v>
      </c>
      <c r="C38" s="174" t="s">
        <v>32</v>
      </c>
      <c r="D38" s="324"/>
      <c r="E38" s="276"/>
      <c r="F38" s="71"/>
    </row>
    <row r="39" spans="2:6" customFormat="1">
      <c r="B39" s="182" t="s">
        <v>33</v>
      </c>
      <c r="C39" s="183" t="s">
        <v>34</v>
      </c>
      <c r="D39" s="325"/>
      <c r="E39" s="277"/>
      <c r="F39" s="71"/>
    </row>
    <row r="40" spans="2:6" customFormat="1" ht="13.5" thickBot="1">
      <c r="B40" s="97" t="s">
        <v>35</v>
      </c>
      <c r="C40" s="98" t="s">
        <v>36</v>
      </c>
      <c r="D40" s="326">
        <v>5638.02</v>
      </c>
      <c r="E40" s="279">
        <v>5981.49</v>
      </c>
    </row>
    <row r="41" spans="2:6" customFormat="1" ht="13.5" thickBot="1">
      <c r="B41" s="99" t="s">
        <v>37</v>
      </c>
      <c r="C41" s="100" t="s">
        <v>38</v>
      </c>
      <c r="D41" s="327">
        <v>35508.89</v>
      </c>
      <c r="E41" s="148">
        <f>E26+E27+E40</f>
        <v>40895.61</v>
      </c>
      <c r="F41" s="77"/>
    </row>
    <row r="42" spans="2:6" customFormat="1">
      <c r="B42" s="93"/>
      <c r="C42" s="93"/>
      <c r="D42" s="94"/>
      <c r="E42" s="94"/>
      <c r="F42" s="77"/>
    </row>
    <row r="43" spans="2:6" customFormat="1" ht="13.5">
      <c r="B43" s="356" t="s">
        <v>60</v>
      </c>
      <c r="C43" s="365"/>
      <c r="D43" s="365"/>
      <c r="E43" s="365"/>
    </row>
    <row r="44" spans="2:6" customFormat="1" ht="18" customHeight="1" thickBot="1">
      <c r="B44" s="354" t="s">
        <v>121</v>
      </c>
      <c r="C44" s="366"/>
      <c r="D44" s="366"/>
      <c r="E44" s="366"/>
    </row>
    <row r="45" spans="2:6" customFormat="1" ht="13.5" thickBot="1">
      <c r="B45" s="207"/>
      <c r="C45" s="29" t="s">
        <v>39</v>
      </c>
      <c r="D45" s="70" t="s">
        <v>245</v>
      </c>
      <c r="E45" s="255" t="s">
        <v>265</v>
      </c>
    </row>
    <row r="46" spans="2:6" customFormat="1">
      <c r="B46" s="13" t="s">
        <v>18</v>
      </c>
      <c r="C46" s="30" t="s">
        <v>112</v>
      </c>
      <c r="D46" s="101"/>
      <c r="E46" s="28"/>
    </row>
    <row r="47" spans="2:6" customFormat="1">
      <c r="B47" s="184" t="s">
        <v>4</v>
      </c>
      <c r="C47" s="185" t="s">
        <v>40</v>
      </c>
      <c r="D47" s="200">
        <v>1778.6739</v>
      </c>
      <c r="E47" s="149">
        <v>924.71069999999997</v>
      </c>
    </row>
    <row r="48" spans="2:6" customFormat="1">
      <c r="B48" s="186" t="s">
        <v>6</v>
      </c>
      <c r="C48" s="187" t="s">
        <v>41</v>
      </c>
      <c r="D48" s="200">
        <v>924.71069999999997</v>
      </c>
      <c r="E48" s="285">
        <v>910.20719999999994</v>
      </c>
    </row>
    <row r="49" spans="2:5" customFormat="1">
      <c r="B49" s="120" t="s">
        <v>23</v>
      </c>
      <c r="C49" s="124" t="s">
        <v>113</v>
      </c>
      <c r="D49" s="201"/>
      <c r="E49" s="224"/>
    </row>
    <row r="50" spans="2:5" customFormat="1">
      <c r="B50" s="184" t="s">
        <v>4</v>
      </c>
      <c r="C50" s="185" t="s">
        <v>40</v>
      </c>
      <c r="D50" s="200">
        <v>34.04</v>
      </c>
      <c r="E50" s="149">
        <v>38.4</v>
      </c>
    </row>
    <row r="51" spans="2:5" customFormat="1">
      <c r="B51" s="184" t="s">
        <v>6</v>
      </c>
      <c r="C51" s="185" t="s">
        <v>114</v>
      </c>
      <c r="D51" s="200">
        <v>33.81</v>
      </c>
      <c r="E51" s="75">
        <v>34.79</v>
      </c>
    </row>
    <row r="52" spans="2:5" customFormat="1">
      <c r="B52" s="184" t="s">
        <v>8</v>
      </c>
      <c r="C52" s="185" t="s">
        <v>115</v>
      </c>
      <c r="D52" s="200">
        <v>38.53</v>
      </c>
      <c r="E52" s="75">
        <v>45.01</v>
      </c>
    </row>
    <row r="53" spans="2:5" customFormat="1" ht="13.5" thickBot="1">
      <c r="B53" s="188" t="s">
        <v>9</v>
      </c>
      <c r="C53" s="189" t="s">
        <v>41</v>
      </c>
      <c r="D53" s="202">
        <v>38.4</v>
      </c>
      <c r="E53" s="290">
        <v>44.93</v>
      </c>
    </row>
    <row r="54" spans="2:5" customFormat="1">
      <c r="B54" s="109"/>
      <c r="C54" s="110"/>
      <c r="D54" s="111"/>
      <c r="E54" s="111"/>
    </row>
    <row r="55" spans="2:5" customFormat="1" ht="13.5">
      <c r="B55" s="356" t="s">
        <v>62</v>
      </c>
      <c r="C55" s="357"/>
      <c r="D55" s="357"/>
      <c r="E55" s="357"/>
    </row>
    <row r="56" spans="2:5" customFormat="1" ht="14.25" thickBot="1">
      <c r="B56" s="354" t="s">
        <v>116</v>
      </c>
      <c r="C56" s="358"/>
      <c r="D56" s="358"/>
      <c r="E56" s="358"/>
    </row>
    <row r="57" spans="2:5" customFormat="1" ht="23.25" thickBot="1">
      <c r="B57" s="349" t="s">
        <v>42</v>
      </c>
      <c r="C57" s="350"/>
      <c r="D57" s="18" t="s">
        <v>122</v>
      </c>
      <c r="E57" s="19" t="s">
        <v>117</v>
      </c>
    </row>
    <row r="58" spans="2:5" customFormat="1">
      <c r="B58" s="20" t="s">
        <v>18</v>
      </c>
      <c r="C58" s="126" t="s">
        <v>43</v>
      </c>
      <c r="D58" s="127">
        <f>D64</f>
        <v>40895.61</v>
      </c>
      <c r="E58" s="31">
        <f>D58/E21</f>
        <v>1</v>
      </c>
    </row>
    <row r="59" spans="2:5" customFormat="1" ht="25.5">
      <c r="B59" s="123" t="s">
        <v>4</v>
      </c>
      <c r="C59" s="22" t="s">
        <v>44</v>
      </c>
      <c r="D59" s="80">
        <v>0</v>
      </c>
      <c r="E59" s="81">
        <v>0</v>
      </c>
    </row>
    <row r="60" spans="2:5" customFormat="1" ht="25.5">
      <c r="B60" s="102" t="s">
        <v>6</v>
      </c>
      <c r="C60" s="15" t="s">
        <v>45</v>
      </c>
      <c r="D60" s="78">
        <v>0</v>
      </c>
      <c r="E60" s="79">
        <v>0</v>
      </c>
    </row>
    <row r="61" spans="2:5" customFormat="1">
      <c r="B61" s="102" t="s">
        <v>8</v>
      </c>
      <c r="C61" s="15" t="s">
        <v>46</v>
      </c>
      <c r="D61" s="78">
        <v>0</v>
      </c>
      <c r="E61" s="79">
        <v>0</v>
      </c>
    </row>
    <row r="62" spans="2:5" customFormat="1">
      <c r="B62" s="102" t="s">
        <v>9</v>
      </c>
      <c r="C62" s="15" t="s">
        <v>47</v>
      </c>
      <c r="D62" s="78">
        <v>0</v>
      </c>
      <c r="E62" s="79">
        <v>0</v>
      </c>
    </row>
    <row r="63" spans="2:5" customFormat="1">
      <c r="B63" s="102" t="s">
        <v>29</v>
      </c>
      <c r="C63" s="15" t="s">
        <v>48</v>
      </c>
      <c r="D63" s="78">
        <v>0</v>
      </c>
      <c r="E63" s="79">
        <v>0</v>
      </c>
    </row>
    <row r="64" spans="2:5" customFormat="1">
      <c r="B64" s="123" t="s">
        <v>31</v>
      </c>
      <c r="C64" s="22" t="s">
        <v>49</v>
      </c>
      <c r="D64" s="80">
        <f>E21</f>
        <v>40895.61</v>
      </c>
      <c r="E64" s="81">
        <f>E58</f>
        <v>1</v>
      </c>
    </row>
    <row r="65" spans="2:5" customFormat="1">
      <c r="B65" s="123" t="s">
        <v>33</v>
      </c>
      <c r="C65" s="22" t="s">
        <v>118</v>
      </c>
      <c r="D65" s="80">
        <v>0</v>
      </c>
      <c r="E65" s="81">
        <v>0</v>
      </c>
    </row>
    <row r="66" spans="2:5" customFormat="1">
      <c r="B66" s="123" t="s">
        <v>50</v>
      </c>
      <c r="C66" s="22" t="s">
        <v>51</v>
      </c>
      <c r="D66" s="80">
        <v>0</v>
      </c>
      <c r="E66" s="81">
        <v>0</v>
      </c>
    </row>
    <row r="67" spans="2:5" customFormat="1">
      <c r="B67" s="102" t="s">
        <v>52</v>
      </c>
      <c r="C67" s="15" t="s">
        <v>53</v>
      </c>
      <c r="D67" s="78">
        <v>0</v>
      </c>
      <c r="E67" s="79">
        <v>0</v>
      </c>
    </row>
    <row r="68" spans="2:5" customFormat="1">
      <c r="B68" s="102" t="s">
        <v>54</v>
      </c>
      <c r="C68" s="15" t="s">
        <v>55</v>
      </c>
      <c r="D68" s="78">
        <v>0</v>
      </c>
      <c r="E68" s="79">
        <v>0</v>
      </c>
    </row>
    <row r="69" spans="2:5" customFormat="1">
      <c r="B69" s="102" t="s">
        <v>56</v>
      </c>
      <c r="C69" s="15" t="s">
        <v>57</v>
      </c>
      <c r="D69" s="235">
        <v>0</v>
      </c>
      <c r="E69" s="79">
        <v>0</v>
      </c>
    </row>
    <row r="70" spans="2:5" customFormat="1">
      <c r="B70" s="129" t="s">
        <v>58</v>
      </c>
      <c r="C70" s="113" t="s">
        <v>59</v>
      </c>
      <c r="D70" s="114">
        <v>0</v>
      </c>
      <c r="E70" s="115">
        <v>0</v>
      </c>
    </row>
    <row r="71" spans="2:5" customFormat="1">
      <c r="B71" s="130" t="s">
        <v>23</v>
      </c>
      <c r="C71" s="121" t="s">
        <v>61</v>
      </c>
      <c r="D71" s="122">
        <v>0</v>
      </c>
      <c r="E71" s="66">
        <v>0</v>
      </c>
    </row>
    <row r="72" spans="2:5" customFormat="1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 customFormat="1">
      <c r="B73" s="132" t="s">
        <v>62</v>
      </c>
      <c r="C73" s="24" t="s">
        <v>65</v>
      </c>
      <c r="D73" s="25">
        <v>0</v>
      </c>
      <c r="E73" s="26">
        <v>0</v>
      </c>
    </row>
    <row r="74" spans="2:5" customFormat="1">
      <c r="B74" s="130" t="s">
        <v>64</v>
      </c>
      <c r="C74" s="121" t="s">
        <v>66</v>
      </c>
      <c r="D74" s="122">
        <f>D58</f>
        <v>40895.61</v>
      </c>
      <c r="E74" s="66">
        <f>E58+E72-E73</f>
        <v>1</v>
      </c>
    </row>
    <row r="75" spans="2:5" customFormat="1">
      <c r="B75" s="102" t="s">
        <v>4</v>
      </c>
      <c r="C75" s="15" t="s">
        <v>67</v>
      </c>
      <c r="D75" s="78">
        <f>D74</f>
        <v>40895.61</v>
      </c>
      <c r="E75" s="79">
        <f>E74</f>
        <v>1</v>
      </c>
    </row>
    <row r="76" spans="2:5" customFormat="1">
      <c r="B76" s="102" t="s">
        <v>6</v>
      </c>
      <c r="C76" s="15" t="s">
        <v>119</v>
      </c>
      <c r="D76" s="78">
        <v>0</v>
      </c>
      <c r="E76" s="79">
        <v>0</v>
      </c>
    </row>
    <row r="77" spans="2:5" customFormat="1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 customFormat="1">
      <c r="B78" s="1"/>
      <c r="C78" s="1"/>
      <c r="D78" s="2"/>
      <c r="E78" s="2"/>
    </row>
    <row r="79" spans="2:5" customFormat="1">
      <c r="B79" s="1"/>
      <c r="C79" s="1"/>
      <c r="D79" s="2"/>
      <c r="E79" s="2"/>
    </row>
    <row r="80" spans="2:5" customFormat="1">
      <c r="B80" s="1"/>
      <c r="C80" s="1"/>
      <c r="D80" s="2"/>
      <c r="E80" s="2"/>
    </row>
    <row r="81" spans="2:5" customFormat="1">
      <c r="B81" s="1"/>
      <c r="C81" s="1"/>
      <c r="D81" s="2"/>
      <c r="E81" s="2"/>
    </row>
  </sheetData>
  <mergeCells count="14">
    <mergeCell ref="B9:E9"/>
    <mergeCell ref="B2:E2"/>
    <mergeCell ref="B3:E3"/>
    <mergeCell ref="B5:E5"/>
    <mergeCell ref="B6:E6"/>
    <mergeCell ref="B8:E8"/>
    <mergeCell ref="B56:E56"/>
    <mergeCell ref="B57:C57"/>
    <mergeCell ref="B21:C21"/>
    <mergeCell ref="B23:E23"/>
    <mergeCell ref="B24:E24"/>
    <mergeCell ref="B43:E43"/>
    <mergeCell ref="B44:E44"/>
    <mergeCell ref="B55:E55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3">
    <pageSetUpPr fitToPage="1"/>
  </sheetPr>
  <dimension ref="A1:G81"/>
  <sheetViews>
    <sheetView zoomScale="80" zoomScaleNormal="80" workbookViewId="0">
      <selection activeCell="E41" sqref="E41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34"/>
      <c r="C4" s="134"/>
      <c r="D4" s="134"/>
      <c r="E4" s="134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259</v>
      </c>
      <c r="C6" s="353"/>
      <c r="D6" s="353"/>
      <c r="E6" s="353"/>
    </row>
    <row r="7" spans="2:7" ht="14.25">
      <c r="B7" s="133"/>
      <c r="C7" s="133"/>
      <c r="D7" s="133"/>
      <c r="E7" s="133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35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1479329.6</v>
      </c>
      <c r="E11" s="228">
        <f>SUM(E12:E14)</f>
        <v>682369.39</v>
      </c>
    </row>
    <row r="12" spans="2:7">
      <c r="B12" s="173" t="s">
        <v>4</v>
      </c>
      <c r="C12" s="174" t="s">
        <v>5</v>
      </c>
      <c r="D12" s="241">
        <v>1479329.6</v>
      </c>
      <c r="E12" s="245">
        <v>682369.39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1479329.6</v>
      </c>
      <c r="E21" s="148">
        <f>E11-E17</f>
        <v>682369.39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1441232.24</v>
      </c>
      <c r="E26" s="217">
        <f>D21</f>
        <v>1479329.6</v>
      </c>
    </row>
    <row r="27" spans="2:6">
      <c r="B27" s="9" t="s">
        <v>17</v>
      </c>
      <c r="C27" s="10" t="s">
        <v>111</v>
      </c>
      <c r="D27" s="323">
        <v>-212135.26</v>
      </c>
      <c r="E27" s="274">
        <v>-838827.39</v>
      </c>
      <c r="F27" s="71"/>
    </row>
    <row r="28" spans="2:6">
      <c r="B28" s="9" t="s">
        <v>18</v>
      </c>
      <c r="C28" s="10" t="s">
        <v>19</v>
      </c>
      <c r="D28" s="323">
        <v>538443.17000000004</v>
      </c>
      <c r="E28" s="275">
        <v>0</v>
      </c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>
        <v>538443.17000000004</v>
      </c>
      <c r="E31" s="276"/>
      <c r="F31" s="71"/>
    </row>
    <row r="32" spans="2:6">
      <c r="B32" s="92" t="s">
        <v>23</v>
      </c>
      <c r="C32" s="11" t="s">
        <v>24</v>
      </c>
      <c r="D32" s="323">
        <v>750578.43</v>
      </c>
      <c r="E32" s="275">
        <v>838827.39</v>
      </c>
      <c r="F32" s="71"/>
    </row>
    <row r="33" spans="2:6">
      <c r="B33" s="181" t="s">
        <v>4</v>
      </c>
      <c r="C33" s="174" t="s">
        <v>25</v>
      </c>
      <c r="D33" s="324">
        <v>729561.06</v>
      </c>
      <c r="E33" s="276">
        <v>132996.57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1840.97</v>
      </c>
      <c r="E35" s="276">
        <v>2793.62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19176.400000000001</v>
      </c>
      <c r="E37" s="276">
        <v>12203.48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>
        <v>690833.72</v>
      </c>
      <c r="F39" s="71"/>
    </row>
    <row r="40" spans="2:6" ht="13.5" thickBot="1">
      <c r="B40" s="97" t="s">
        <v>35</v>
      </c>
      <c r="C40" s="98" t="s">
        <v>36</v>
      </c>
      <c r="D40" s="326">
        <v>250232.62</v>
      </c>
      <c r="E40" s="279">
        <v>41867.18</v>
      </c>
    </row>
    <row r="41" spans="2:6" ht="13.5" thickBot="1">
      <c r="B41" s="99" t="s">
        <v>37</v>
      </c>
      <c r="C41" s="100" t="s">
        <v>38</v>
      </c>
      <c r="D41" s="327">
        <v>1479329.6</v>
      </c>
      <c r="E41" s="148">
        <f>E26+E27+E40</f>
        <v>682369.39000000013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3174.87</v>
      </c>
      <c r="E47" s="149">
        <v>2653.5059999999999</v>
      </c>
    </row>
    <row r="48" spans="2:6">
      <c r="B48" s="186" t="s">
        <v>6</v>
      </c>
      <c r="C48" s="187" t="s">
        <v>41</v>
      </c>
      <c r="D48" s="200">
        <v>2653.5059999999999</v>
      </c>
      <c r="E48" s="149">
        <v>1062.037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84" t="s">
        <v>4</v>
      </c>
      <c r="C50" s="185" t="s">
        <v>40</v>
      </c>
      <c r="D50" s="200">
        <v>453.95</v>
      </c>
      <c r="E50" s="149">
        <v>557.5</v>
      </c>
    </row>
    <row r="51" spans="2:5">
      <c r="B51" s="184" t="s">
        <v>6</v>
      </c>
      <c r="C51" s="185" t="s">
        <v>114</v>
      </c>
      <c r="D51" s="200">
        <v>448.39</v>
      </c>
      <c r="E51" s="75">
        <v>423.15</v>
      </c>
    </row>
    <row r="52" spans="2:5">
      <c r="B52" s="184" t="s">
        <v>8</v>
      </c>
      <c r="C52" s="185" t="s">
        <v>115</v>
      </c>
      <c r="D52" s="200">
        <v>564.53</v>
      </c>
      <c r="E52" s="75">
        <v>642.51</v>
      </c>
    </row>
    <row r="53" spans="2:5" ht="12.75" customHeight="1" thickBot="1">
      <c r="B53" s="188" t="s">
        <v>9</v>
      </c>
      <c r="C53" s="189" t="s">
        <v>41</v>
      </c>
      <c r="D53" s="202">
        <v>557.5</v>
      </c>
      <c r="E53" s="280">
        <v>642.51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8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682369.39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2.7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682369.39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682369.39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v>0</v>
      </c>
      <c r="E75" s="79">
        <v>0</v>
      </c>
    </row>
    <row r="76" spans="2:5">
      <c r="B76" s="102" t="s">
        <v>6</v>
      </c>
      <c r="C76" s="15" t="s">
        <v>119</v>
      </c>
      <c r="D76" s="78">
        <f>D74</f>
        <v>682369.39</v>
      </c>
      <c r="E76" s="79">
        <f>E74</f>
        <v>1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9055118110236227" right="0.74803149606299213" top="0.55118110236220474" bottom="0.6692913385826772" header="0.51181102362204722" footer="0.51181102362204722"/>
  <pageSetup paperSize="9" scale="68" orientation="portrait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4"/>
  <dimension ref="A1:G81"/>
  <sheetViews>
    <sheetView zoomScale="80" zoomScaleNormal="80" workbookViewId="0">
      <selection activeCell="G13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34"/>
      <c r="C4" s="134"/>
      <c r="D4" s="134"/>
      <c r="E4" s="134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178</v>
      </c>
      <c r="C6" s="353"/>
      <c r="D6" s="353"/>
      <c r="E6" s="353"/>
    </row>
    <row r="7" spans="2:7" ht="14.25">
      <c r="B7" s="133"/>
      <c r="C7" s="133"/>
      <c r="D7" s="133"/>
      <c r="E7" s="133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35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13263622.92</v>
      </c>
      <c r="E11" s="228">
        <f>SUM(E12:E14)</f>
        <v>10070311.060000001</v>
      </c>
    </row>
    <row r="12" spans="2:7">
      <c r="B12" s="173" t="s">
        <v>4</v>
      </c>
      <c r="C12" s="174" t="s">
        <v>5</v>
      </c>
      <c r="D12" s="241">
        <v>13263622.92</v>
      </c>
      <c r="E12" s="245">
        <v>10070311.060000001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13263622.92</v>
      </c>
      <c r="E21" s="148">
        <f>E11-E17</f>
        <v>10070311.060000001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11548216.810000001</v>
      </c>
      <c r="E26" s="217">
        <f>D21</f>
        <v>13263622.92</v>
      </c>
    </row>
    <row r="27" spans="2:6">
      <c r="B27" s="9" t="s">
        <v>17</v>
      </c>
      <c r="C27" s="10" t="s">
        <v>111</v>
      </c>
      <c r="D27" s="323">
        <v>-503707.35</v>
      </c>
      <c r="E27" s="274">
        <v>-4672150.04</v>
      </c>
      <c r="F27" s="71"/>
    </row>
    <row r="28" spans="2:6">
      <c r="B28" s="9" t="s">
        <v>18</v>
      </c>
      <c r="C28" s="10" t="s">
        <v>19</v>
      </c>
      <c r="D28" s="323">
        <v>0</v>
      </c>
      <c r="E28" s="275">
        <v>263857.49</v>
      </c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>
        <v>263857.49</v>
      </c>
      <c r="F31" s="71"/>
    </row>
    <row r="32" spans="2:6">
      <c r="B32" s="92" t="s">
        <v>23</v>
      </c>
      <c r="C32" s="11" t="s">
        <v>24</v>
      </c>
      <c r="D32" s="323">
        <v>503707.35</v>
      </c>
      <c r="E32" s="275">
        <v>4936007.53</v>
      </c>
      <c r="F32" s="71"/>
    </row>
    <row r="33" spans="2:6">
      <c r="B33" s="181" t="s">
        <v>4</v>
      </c>
      <c r="C33" s="174" t="s">
        <v>25</v>
      </c>
      <c r="D33" s="324">
        <v>74049.179999999993</v>
      </c>
      <c r="E33" s="276">
        <v>4225638.8099999996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8096.52</v>
      </c>
      <c r="E35" s="276">
        <v>7524.6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195422.04</v>
      </c>
      <c r="E37" s="276">
        <v>163220.66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>
        <v>226139.61000000068</v>
      </c>
      <c r="E39" s="277">
        <v>539623.46</v>
      </c>
      <c r="F39" s="71"/>
    </row>
    <row r="40" spans="2:6" ht="13.5" thickBot="1">
      <c r="B40" s="97" t="s">
        <v>35</v>
      </c>
      <c r="C40" s="98" t="s">
        <v>36</v>
      </c>
      <c r="D40" s="326">
        <v>2219113.46</v>
      </c>
      <c r="E40" s="279">
        <v>1478838.18</v>
      </c>
    </row>
    <row r="41" spans="2:6" ht="13.5" thickBot="1">
      <c r="B41" s="99" t="s">
        <v>37</v>
      </c>
      <c r="C41" s="100" t="s">
        <v>38</v>
      </c>
      <c r="D41" s="327">
        <v>13263622.920000002</v>
      </c>
      <c r="E41" s="148">
        <f>E26+E27+E40</f>
        <v>10070311.059999999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30429.281999999999</v>
      </c>
      <c r="E47" s="149">
        <v>29204.093000000001</v>
      </c>
    </row>
    <row r="48" spans="2:6">
      <c r="B48" s="186" t="s">
        <v>6</v>
      </c>
      <c r="C48" s="187" t="s">
        <v>41</v>
      </c>
      <c r="D48" s="200">
        <v>29204.093000000001</v>
      </c>
      <c r="E48" s="149">
        <v>18475.261999999999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84" t="s">
        <v>4</v>
      </c>
      <c r="C50" s="185" t="s">
        <v>40</v>
      </c>
      <c r="D50" s="200">
        <v>379.51</v>
      </c>
      <c r="E50" s="149">
        <v>454.17</v>
      </c>
    </row>
    <row r="51" spans="2:5">
      <c r="B51" s="184" t="s">
        <v>6</v>
      </c>
      <c r="C51" s="185" t="s">
        <v>114</v>
      </c>
      <c r="D51" s="200">
        <v>374.92</v>
      </c>
      <c r="E51" s="75">
        <v>353.41</v>
      </c>
    </row>
    <row r="52" spans="2:5">
      <c r="B52" s="184" t="s">
        <v>8</v>
      </c>
      <c r="C52" s="185" t="s">
        <v>115</v>
      </c>
      <c r="D52" s="200">
        <v>456.56</v>
      </c>
      <c r="E52" s="75">
        <v>550.39</v>
      </c>
    </row>
    <row r="53" spans="2:5" ht="14.25" customHeight="1" thickBot="1">
      <c r="B53" s="188" t="s">
        <v>9</v>
      </c>
      <c r="C53" s="189" t="s">
        <v>41</v>
      </c>
      <c r="D53" s="202">
        <v>454.17</v>
      </c>
      <c r="E53" s="280">
        <v>545.07000000000005</v>
      </c>
    </row>
    <row r="54" spans="2:5">
      <c r="B54" s="109"/>
      <c r="C54" s="110"/>
      <c r="D54" s="111"/>
      <c r="E54" s="199"/>
    </row>
    <row r="55" spans="2:5" ht="13.5">
      <c r="B55" s="356" t="s">
        <v>62</v>
      </c>
      <c r="C55" s="357"/>
      <c r="D55" s="357"/>
      <c r="E55" s="357"/>
    </row>
    <row r="56" spans="2:5" ht="18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10070311.060000001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10070311.060000001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10070311.060000001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v>0</v>
      </c>
      <c r="E75" s="79">
        <v>0</v>
      </c>
    </row>
    <row r="76" spans="2:5">
      <c r="B76" s="102" t="s">
        <v>6</v>
      </c>
      <c r="C76" s="15" t="s">
        <v>119</v>
      </c>
      <c r="D76" s="78">
        <f>D74</f>
        <v>10070311.060000001</v>
      </c>
      <c r="E76" s="79">
        <f>E74</f>
        <v>1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5"/>
  <dimension ref="A1:G81"/>
  <sheetViews>
    <sheetView zoomScale="80" zoomScaleNormal="80" workbookViewId="0">
      <selection activeCell="G19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34"/>
      <c r="C4" s="134"/>
      <c r="D4" s="134"/>
      <c r="E4" s="134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179</v>
      </c>
      <c r="C6" s="353"/>
      <c r="D6" s="353"/>
      <c r="E6" s="353"/>
    </row>
    <row r="7" spans="2:7" ht="14.25">
      <c r="B7" s="133"/>
      <c r="C7" s="133"/>
      <c r="D7" s="133"/>
      <c r="E7" s="133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35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113347.15</v>
      </c>
      <c r="E11" s="228">
        <f>SUM(E12:E14)</f>
        <v>114726.67</v>
      </c>
    </row>
    <row r="12" spans="2:7">
      <c r="B12" s="173" t="s">
        <v>4</v>
      </c>
      <c r="C12" s="174" t="s">
        <v>5</v>
      </c>
      <c r="D12" s="241">
        <v>113347.15</v>
      </c>
      <c r="E12" s="245">
        <v>114726.67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113347.15</v>
      </c>
      <c r="E21" s="148">
        <f>E11-E17</f>
        <v>114726.67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2683224.23</v>
      </c>
      <c r="E26" s="217">
        <f>D21</f>
        <v>113347.15</v>
      </c>
    </row>
    <row r="27" spans="2:6">
      <c r="B27" s="9" t="s">
        <v>17</v>
      </c>
      <c r="C27" s="10" t="s">
        <v>111</v>
      </c>
      <c r="D27" s="323">
        <v>-2634480.85</v>
      </c>
      <c r="E27" s="274">
        <v>-3139.27</v>
      </c>
      <c r="F27" s="71"/>
    </row>
    <row r="28" spans="2:6">
      <c r="B28" s="9" t="s">
        <v>18</v>
      </c>
      <c r="C28" s="10" t="s">
        <v>19</v>
      </c>
      <c r="D28" s="323">
        <v>0</v>
      </c>
      <c r="E28" s="275">
        <v>0</v>
      </c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2634480.85</v>
      </c>
      <c r="E32" s="275">
        <v>3139.27</v>
      </c>
      <c r="F32" s="71"/>
    </row>
    <row r="33" spans="2:6">
      <c r="B33" s="181" t="s">
        <v>4</v>
      </c>
      <c r="C33" s="174" t="s">
        <v>25</v>
      </c>
      <c r="D33" s="324">
        <v>107816.82</v>
      </c>
      <c r="E33" s="276"/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1646.22</v>
      </c>
      <c r="E35" s="276">
        <v>1495.19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9979.09</v>
      </c>
      <c r="E37" s="276">
        <v>1644.08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>
        <v>2515038.7200000002</v>
      </c>
      <c r="E39" s="277"/>
      <c r="F39" s="71"/>
    </row>
    <row r="40" spans="2:6" ht="13.5" thickBot="1">
      <c r="B40" s="97" t="s">
        <v>35</v>
      </c>
      <c r="C40" s="98" t="s">
        <v>36</v>
      </c>
      <c r="D40" s="326">
        <v>64603.77</v>
      </c>
      <c r="E40" s="279">
        <v>4518.79</v>
      </c>
    </row>
    <row r="41" spans="2:6" ht="13.5" thickBot="1">
      <c r="B41" s="99" t="s">
        <v>37</v>
      </c>
      <c r="C41" s="100" t="s">
        <v>38</v>
      </c>
      <c r="D41" s="327">
        <v>113347.14999999988</v>
      </c>
      <c r="E41" s="148">
        <f>E26+E27+E40</f>
        <v>114726.66999999998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6582.0150000000003</v>
      </c>
      <c r="E47" s="149">
        <v>266.36700000000002</v>
      </c>
    </row>
    <row r="48" spans="2:6">
      <c r="B48" s="186" t="s">
        <v>6</v>
      </c>
      <c r="C48" s="187" t="s">
        <v>41</v>
      </c>
      <c r="D48" s="200">
        <v>266.36700000000002</v>
      </c>
      <c r="E48" s="149">
        <v>258.96499999999997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84" t="s">
        <v>4</v>
      </c>
      <c r="C50" s="185" t="s">
        <v>40</v>
      </c>
      <c r="D50" s="200">
        <v>407.66</v>
      </c>
      <c r="E50" s="149">
        <v>425.53</v>
      </c>
    </row>
    <row r="51" spans="2:5">
      <c r="B51" s="184" t="s">
        <v>6</v>
      </c>
      <c r="C51" s="185" t="s">
        <v>114</v>
      </c>
      <c r="D51" s="200">
        <v>407.18</v>
      </c>
      <c r="E51" s="75">
        <v>402.71</v>
      </c>
    </row>
    <row r="52" spans="2:5">
      <c r="B52" s="184" t="s">
        <v>8</v>
      </c>
      <c r="C52" s="185" t="s">
        <v>115</v>
      </c>
      <c r="D52" s="200">
        <v>426.17</v>
      </c>
      <c r="E52" s="75">
        <v>443.02</v>
      </c>
    </row>
    <row r="53" spans="2:5" ht="13.5" customHeight="1" thickBot="1">
      <c r="B53" s="188" t="s">
        <v>9</v>
      </c>
      <c r="C53" s="189" t="s">
        <v>41</v>
      </c>
      <c r="D53" s="202">
        <v>425.53</v>
      </c>
      <c r="E53" s="280">
        <v>443.02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7.2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114726.67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114726.67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114726.67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v>0</v>
      </c>
      <c r="E75" s="79">
        <v>0</v>
      </c>
    </row>
    <row r="76" spans="2:5">
      <c r="B76" s="102" t="s">
        <v>6</v>
      </c>
      <c r="C76" s="15" t="s">
        <v>119</v>
      </c>
      <c r="D76" s="78">
        <f>D74</f>
        <v>114726.67</v>
      </c>
      <c r="E76" s="79">
        <f>E74</f>
        <v>1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horizontalDpi="90" verticalDpi="90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zoomScale="80" zoomScaleNormal="80" workbookViewId="0">
      <selection activeCell="G13" sqref="G1:L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1" t="s">
        <v>0</v>
      </c>
      <c r="C2" s="351"/>
      <c r="D2" s="351"/>
      <c r="E2" s="351"/>
    </row>
    <row r="3" spans="2:5" ht="15.75">
      <c r="B3" s="351" t="s">
        <v>271</v>
      </c>
      <c r="C3" s="351"/>
      <c r="D3" s="351"/>
      <c r="E3" s="351"/>
    </row>
    <row r="4" spans="2:5" ht="15">
      <c r="B4" s="147"/>
      <c r="C4" s="147"/>
      <c r="D4" s="147"/>
      <c r="E4" s="147"/>
    </row>
    <row r="5" spans="2:5" ht="21" customHeight="1">
      <c r="B5" s="352" t="s">
        <v>1</v>
      </c>
      <c r="C5" s="352"/>
      <c r="D5" s="352"/>
      <c r="E5" s="352"/>
    </row>
    <row r="6" spans="2:5" ht="14.25">
      <c r="B6" s="353" t="s">
        <v>258</v>
      </c>
      <c r="C6" s="353"/>
      <c r="D6" s="353"/>
      <c r="E6" s="353"/>
    </row>
    <row r="7" spans="2:5" ht="14.25">
      <c r="B7" s="206"/>
      <c r="C7" s="206"/>
      <c r="D7" s="206"/>
      <c r="E7" s="206"/>
    </row>
    <row r="8" spans="2:5" ht="13.5">
      <c r="B8" s="355" t="s">
        <v>18</v>
      </c>
      <c r="C8" s="357"/>
      <c r="D8" s="357"/>
      <c r="E8" s="357"/>
    </row>
    <row r="9" spans="2:5" ht="16.5" thickBot="1">
      <c r="B9" s="354" t="s">
        <v>103</v>
      </c>
      <c r="C9" s="354"/>
      <c r="D9" s="354"/>
      <c r="E9" s="354"/>
    </row>
    <row r="10" spans="2:5" ht="13.5" thickBot="1">
      <c r="B10" s="205"/>
      <c r="C10" s="76" t="s">
        <v>2</v>
      </c>
      <c r="D10" s="70" t="s">
        <v>245</v>
      </c>
      <c r="E10" s="255" t="s">
        <v>265</v>
      </c>
    </row>
    <row r="11" spans="2:5">
      <c r="B11" s="90" t="s">
        <v>3</v>
      </c>
      <c r="C11" s="128" t="s">
        <v>109</v>
      </c>
      <c r="D11" s="227">
        <v>50099.44</v>
      </c>
      <c r="E11" s="228">
        <f>SUM(E12:E14)</f>
        <v>15496.84</v>
      </c>
    </row>
    <row r="12" spans="2:5">
      <c r="B12" s="173" t="s">
        <v>4</v>
      </c>
      <c r="C12" s="174" t="s">
        <v>5</v>
      </c>
      <c r="D12" s="241">
        <v>50099.44</v>
      </c>
      <c r="E12" s="245">
        <v>15496.84</v>
      </c>
    </row>
    <row r="13" spans="2:5">
      <c r="B13" s="173" t="s">
        <v>6</v>
      </c>
      <c r="C13" s="175" t="s">
        <v>7</v>
      </c>
      <c r="D13" s="237"/>
      <c r="E13" s="246"/>
    </row>
    <row r="14" spans="2:5">
      <c r="B14" s="173" t="s">
        <v>8</v>
      </c>
      <c r="C14" s="175" t="s">
        <v>10</v>
      </c>
      <c r="D14" s="237"/>
      <c r="E14" s="246"/>
    </row>
    <row r="15" spans="2:5">
      <c r="B15" s="173" t="s">
        <v>106</v>
      </c>
      <c r="C15" s="175" t="s">
        <v>11</v>
      </c>
      <c r="D15" s="237"/>
      <c r="E15" s="246"/>
    </row>
    <row r="16" spans="2:5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50099.44</v>
      </c>
      <c r="E21" s="148">
        <f>E11-E17</f>
        <v>15496.84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51187.75</v>
      </c>
      <c r="E26" s="217">
        <f>D21</f>
        <v>50099.44</v>
      </c>
    </row>
    <row r="27" spans="2:6">
      <c r="B27" s="9" t="s">
        <v>17</v>
      </c>
      <c r="C27" s="10" t="s">
        <v>111</v>
      </c>
      <c r="D27" s="323">
        <v>-1642.9</v>
      </c>
      <c r="E27" s="274">
        <v>-37934.32</v>
      </c>
      <c r="F27" s="71"/>
    </row>
    <row r="28" spans="2:6">
      <c r="B28" s="9" t="s">
        <v>18</v>
      </c>
      <c r="C28" s="10" t="s">
        <v>19</v>
      </c>
      <c r="D28" s="323"/>
      <c r="E28" s="275">
        <v>125.6</v>
      </c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>
        <v>125.6</v>
      </c>
      <c r="F31" s="71"/>
    </row>
    <row r="32" spans="2:6">
      <c r="B32" s="92" t="s">
        <v>23</v>
      </c>
      <c r="C32" s="11" t="s">
        <v>24</v>
      </c>
      <c r="D32" s="323">
        <v>1642.9</v>
      </c>
      <c r="E32" s="275">
        <v>38059.920000000006</v>
      </c>
      <c r="F32" s="71"/>
    </row>
    <row r="33" spans="2:6">
      <c r="B33" s="181" t="s">
        <v>4</v>
      </c>
      <c r="C33" s="174" t="s">
        <v>25</v>
      </c>
      <c r="D33" s="324"/>
      <c r="E33" s="276">
        <v>37225.72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534.14</v>
      </c>
      <c r="E35" s="276">
        <v>272.23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1083.56</v>
      </c>
      <c r="E37" s="276">
        <v>561.97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>
        <v>25.2</v>
      </c>
      <c r="E39" s="277"/>
      <c r="F39" s="71"/>
    </row>
    <row r="40" spans="2:6" ht="13.5" thickBot="1">
      <c r="B40" s="97" t="s">
        <v>35</v>
      </c>
      <c r="C40" s="98" t="s">
        <v>36</v>
      </c>
      <c r="D40" s="326">
        <v>554.59</v>
      </c>
      <c r="E40" s="279">
        <v>3331.72</v>
      </c>
    </row>
    <row r="41" spans="2:6" ht="13.5" thickBot="1">
      <c r="B41" s="99" t="s">
        <v>37</v>
      </c>
      <c r="C41" s="100" t="s">
        <v>38</v>
      </c>
      <c r="D41" s="327">
        <v>50099.439999999995</v>
      </c>
      <c r="E41" s="148">
        <f>E26+E27+E40</f>
        <v>15496.840000000002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46.682000000000002</v>
      </c>
      <c r="E47" s="149">
        <v>45.19</v>
      </c>
    </row>
    <row r="48" spans="2:6">
      <c r="B48" s="186" t="s">
        <v>6</v>
      </c>
      <c r="C48" s="187" t="s">
        <v>41</v>
      </c>
      <c r="D48" s="200">
        <v>45.19</v>
      </c>
      <c r="E48" s="149">
        <v>12.471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84" t="s">
        <v>4</v>
      </c>
      <c r="C50" s="185" t="s">
        <v>40</v>
      </c>
      <c r="D50" s="200">
        <v>1096.52</v>
      </c>
      <c r="E50" s="149">
        <v>1108.6400000000001</v>
      </c>
    </row>
    <row r="51" spans="2:5">
      <c r="B51" s="184" t="s">
        <v>6</v>
      </c>
      <c r="C51" s="185" t="s">
        <v>114</v>
      </c>
      <c r="D51" s="200">
        <v>1076.8600000000001</v>
      </c>
      <c r="E51" s="73">
        <v>1108.6400000000001</v>
      </c>
    </row>
    <row r="52" spans="2:5">
      <c r="B52" s="184" t="s">
        <v>8</v>
      </c>
      <c r="C52" s="185" t="s">
        <v>115</v>
      </c>
      <c r="D52" s="200">
        <v>1152.6300000000001</v>
      </c>
      <c r="E52" s="73">
        <v>1244.9100000000001</v>
      </c>
    </row>
    <row r="53" spans="2:5" ht="13.5" customHeight="1" thickBot="1">
      <c r="B53" s="188" t="s">
        <v>9</v>
      </c>
      <c r="C53" s="189" t="s">
        <v>41</v>
      </c>
      <c r="D53" s="202">
        <v>1108.6400000000001</v>
      </c>
      <c r="E53" s="283">
        <v>1242.6300000000001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7.2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15496.84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15496.84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15496.84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v>0</v>
      </c>
      <c r="E75" s="79">
        <v>0</v>
      </c>
    </row>
    <row r="76" spans="2:5">
      <c r="B76" s="102" t="s">
        <v>6</v>
      </c>
      <c r="C76" s="15" t="s">
        <v>119</v>
      </c>
      <c r="D76" s="78">
        <f>D74</f>
        <v>15496.84</v>
      </c>
      <c r="E76" s="79">
        <f>E74</f>
        <v>1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9:E9"/>
    <mergeCell ref="B2:E2"/>
    <mergeCell ref="B3:E3"/>
    <mergeCell ref="B5:E5"/>
    <mergeCell ref="B6:E6"/>
    <mergeCell ref="B8:E8"/>
    <mergeCell ref="B56:E56"/>
    <mergeCell ref="B57:C57"/>
    <mergeCell ref="B21:C21"/>
    <mergeCell ref="B23:E23"/>
    <mergeCell ref="B24:E24"/>
    <mergeCell ref="B43:E43"/>
    <mergeCell ref="B44:E44"/>
    <mergeCell ref="B55:E5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G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3.140625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85"/>
      <c r="C4" s="85"/>
      <c r="D4" s="85"/>
      <c r="E4" s="85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89</v>
      </c>
      <c r="C6" s="353"/>
      <c r="D6" s="353"/>
      <c r="E6" s="353"/>
    </row>
    <row r="7" spans="2:7" ht="14.25">
      <c r="B7" s="89"/>
      <c r="C7" s="89"/>
      <c r="D7" s="89"/>
      <c r="E7" s="8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86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45898661.700000003</v>
      </c>
      <c r="E11" s="228">
        <f>SUM(E12:E14)</f>
        <v>64302553.339999996</v>
      </c>
    </row>
    <row r="12" spans="2:7">
      <c r="B12" s="106" t="s">
        <v>4</v>
      </c>
      <c r="C12" s="6" t="s">
        <v>5</v>
      </c>
      <c r="D12" s="241">
        <v>45712236.25</v>
      </c>
      <c r="E12" s="245">
        <f>64375556.48+402796.6-595941.46</f>
        <v>64182411.619999997</v>
      </c>
    </row>
    <row r="13" spans="2:7">
      <c r="B13" s="106" t="s">
        <v>6</v>
      </c>
      <c r="C13" s="68" t="s">
        <v>7</v>
      </c>
      <c r="D13" s="237"/>
      <c r="E13" s="246"/>
    </row>
    <row r="14" spans="2:7">
      <c r="B14" s="106" t="s">
        <v>8</v>
      </c>
      <c r="C14" s="68" t="s">
        <v>10</v>
      </c>
      <c r="D14" s="237">
        <v>186425.45</v>
      </c>
      <c r="E14" s="246">
        <f>E15</f>
        <v>120141.72</v>
      </c>
    </row>
    <row r="15" spans="2:7">
      <c r="B15" s="106" t="s">
        <v>106</v>
      </c>
      <c r="C15" s="68" t="s">
        <v>11</v>
      </c>
      <c r="D15" s="237">
        <v>186425.45</v>
      </c>
      <c r="E15" s="246">
        <v>120141.72</v>
      </c>
    </row>
    <row r="16" spans="2:7">
      <c r="B16" s="107" t="s">
        <v>107</v>
      </c>
      <c r="C16" s="91" t="s">
        <v>12</v>
      </c>
      <c r="D16" s="239"/>
      <c r="E16" s="247"/>
    </row>
    <row r="17" spans="2:6">
      <c r="B17" s="9" t="s">
        <v>13</v>
      </c>
      <c r="C17" s="11" t="s">
        <v>65</v>
      </c>
      <c r="D17" s="240">
        <v>92012.32</v>
      </c>
      <c r="E17" s="248">
        <f>E18</f>
        <v>118696.25</v>
      </c>
    </row>
    <row r="18" spans="2:6">
      <c r="B18" s="106" t="s">
        <v>4</v>
      </c>
      <c r="C18" s="6" t="s">
        <v>11</v>
      </c>
      <c r="D18" s="239">
        <v>92012.32</v>
      </c>
      <c r="E18" s="247">
        <v>118696.25</v>
      </c>
    </row>
    <row r="19" spans="2:6" ht="15" customHeight="1">
      <c r="B19" s="106" t="s">
        <v>6</v>
      </c>
      <c r="C19" s="68" t="s">
        <v>108</v>
      </c>
      <c r="D19" s="237"/>
      <c r="E19" s="246"/>
    </row>
    <row r="20" spans="2:6" ht="13.5" thickBot="1">
      <c r="B20" s="108" t="s">
        <v>8</v>
      </c>
      <c r="C20" s="6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45806649.380000003</v>
      </c>
      <c r="E21" s="148">
        <f>E11-E17</f>
        <v>64183857.089999996</v>
      </c>
      <c r="F21" s="77"/>
    </row>
    <row r="22" spans="2:6">
      <c r="B22" s="3"/>
      <c r="C22" s="7"/>
      <c r="D22" s="8"/>
      <c r="E22" s="8"/>
    </row>
    <row r="23" spans="2:6" ht="15.75">
      <c r="B23" s="355"/>
      <c r="C23" s="363"/>
      <c r="D23" s="363"/>
      <c r="E23" s="363"/>
    </row>
    <row r="24" spans="2:6" ht="17.25" customHeight="1" thickBot="1">
      <c r="B24" s="354" t="s">
        <v>105</v>
      </c>
      <c r="C24" s="364"/>
      <c r="D24" s="364"/>
      <c r="E24" s="364"/>
    </row>
    <row r="25" spans="2:6" ht="13.5" thickBot="1">
      <c r="B25" s="86"/>
      <c r="C25" s="5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44415674.200000003</v>
      </c>
      <c r="E26" s="217">
        <f>D21</f>
        <v>45806649.380000003</v>
      </c>
    </row>
    <row r="27" spans="2:6">
      <c r="B27" s="9" t="s">
        <v>17</v>
      </c>
      <c r="C27" s="10" t="s">
        <v>111</v>
      </c>
      <c r="D27" s="323">
        <v>-958455.89999999665</v>
      </c>
      <c r="E27" s="274">
        <f>E28-E32</f>
        <v>-1106071.5500000007</v>
      </c>
      <c r="F27" s="71"/>
    </row>
    <row r="28" spans="2:6">
      <c r="B28" s="9" t="s">
        <v>18</v>
      </c>
      <c r="C28" s="10" t="s">
        <v>19</v>
      </c>
      <c r="D28" s="323">
        <v>9083765.2300000004</v>
      </c>
      <c r="E28" s="275">
        <v>14125633.84</v>
      </c>
      <c r="F28" s="71"/>
    </row>
    <row r="29" spans="2:6">
      <c r="B29" s="104" t="s">
        <v>4</v>
      </c>
      <c r="C29" s="6" t="s">
        <v>20</v>
      </c>
      <c r="D29" s="324">
        <v>8384109.0500000007</v>
      </c>
      <c r="E29" s="276">
        <v>8642014.7599999998</v>
      </c>
      <c r="F29" s="71"/>
    </row>
    <row r="30" spans="2:6">
      <c r="B30" s="104" t="s">
        <v>6</v>
      </c>
      <c r="C30" s="6" t="s">
        <v>21</v>
      </c>
      <c r="D30" s="324"/>
      <c r="E30" s="276"/>
      <c r="F30" s="71"/>
    </row>
    <row r="31" spans="2:6">
      <c r="B31" s="104" t="s">
        <v>8</v>
      </c>
      <c r="C31" s="6" t="s">
        <v>22</v>
      </c>
      <c r="D31" s="324">
        <v>699656.18</v>
      </c>
      <c r="E31" s="276">
        <v>5483619.0800000001</v>
      </c>
      <c r="F31" s="71"/>
    </row>
    <row r="32" spans="2:6">
      <c r="B32" s="92" t="s">
        <v>23</v>
      </c>
      <c r="C32" s="11" t="s">
        <v>24</v>
      </c>
      <c r="D32" s="323">
        <v>10042221.129999997</v>
      </c>
      <c r="E32" s="275">
        <f>SUM(E33:E39)</f>
        <v>15231705.390000001</v>
      </c>
      <c r="F32" s="71"/>
    </row>
    <row r="33" spans="2:6">
      <c r="B33" s="104" t="s">
        <v>4</v>
      </c>
      <c r="C33" s="6" t="s">
        <v>25</v>
      </c>
      <c r="D33" s="324">
        <v>7231411.8300000001</v>
      </c>
      <c r="E33" s="276">
        <f>5934702.43+141802.2</f>
        <v>6076504.6299999999</v>
      </c>
      <c r="F33" s="71"/>
    </row>
    <row r="34" spans="2:6">
      <c r="B34" s="104" t="s">
        <v>6</v>
      </c>
      <c r="C34" s="6" t="s">
        <v>26</v>
      </c>
      <c r="D34" s="324"/>
      <c r="E34" s="276"/>
      <c r="F34" s="71"/>
    </row>
    <row r="35" spans="2:6">
      <c r="B35" s="104" t="s">
        <v>8</v>
      </c>
      <c r="C35" s="6" t="s">
        <v>27</v>
      </c>
      <c r="D35" s="324">
        <v>1203470.58</v>
      </c>
      <c r="E35" s="276">
        <v>1187684.97</v>
      </c>
      <c r="F35" s="71"/>
    </row>
    <row r="36" spans="2:6">
      <c r="B36" s="104" t="s">
        <v>9</v>
      </c>
      <c r="C36" s="6" t="s">
        <v>28</v>
      </c>
      <c r="D36" s="324"/>
      <c r="E36" s="276"/>
      <c r="F36" s="71"/>
    </row>
    <row r="37" spans="2:6" ht="25.5">
      <c r="B37" s="104" t="s">
        <v>29</v>
      </c>
      <c r="C37" s="6" t="s">
        <v>30</v>
      </c>
      <c r="D37" s="324"/>
      <c r="E37" s="276"/>
      <c r="F37" s="71"/>
    </row>
    <row r="38" spans="2:6">
      <c r="B38" s="104" t="s">
        <v>31</v>
      </c>
      <c r="C38" s="6" t="s">
        <v>32</v>
      </c>
      <c r="D38" s="324"/>
      <c r="E38" s="276"/>
      <c r="F38" s="71"/>
    </row>
    <row r="39" spans="2:6">
      <c r="B39" s="105" t="s">
        <v>33</v>
      </c>
      <c r="C39" s="12" t="s">
        <v>34</v>
      </c>
      <c r="D39" s="325">
        <v>1607338.7199999962</v>
      </c>
      <c r="E39" s="277">
        <v>7967515.79</v>
      </c>
      <c r="F39" s="71"/>
    </row>
    <row r="40" spans="2:6" ht="13.5" thickBot="1">
      <c r="B40" s="97" t="s">
        <v>35</v>
      </c>
      <c r="C40" s="98" t="s">
        <v>36</v>
      </c>
      <c r="D40" s="326">
        <v>2349431.08</v>
      </c>
      <c r="E40" s="279">
        <v>19483279.260000002</v>
      </c>
    </row>
    <row r="41" spans="2:6" ht="13.5" thickBot="1">
      <c r="B41" s="99" t="s">
        <v>37</v>
      </c>
      <c r="C41" s="100" t="s">
        <v>38</v>
      </c>
      <c r="D41" s="327">
        <v>45806649.380000003</v>
      </c>
      <c r="E41" s="148">
        <f>E26+E27+E40</f>
        <v>64183857.090000004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7.25" customHeight="1" thickBot="1">
      <c r="B44" s="354" t="s">
        <v>121</v>
      </c>
      <c r="C44" s="358"/>
      <c r="D44" s="358"/>
      <c r="E44" s="358"/>
    </row>
    <row r="45" spans="2:6" ht="13.5" thickBot="1">
      <c r="B45" s="86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3858232.0539199999</v>
      </c>
      <c r="E47" s="73">
        <v>3778970.8491000002</v>
      </c>
    </row>
    <row r="48" spans="2:6">
      <c r="B48" s="123" t="s">
        <v>6</v>
      </c>
      <c r="C48" s="22" t="s">
        <v>41</v>
      </c>
      <c r="D48" s="200">
        <v>3778970.8491000002</v>
      </c>
      <c r="E48" s="335">
        <v>3718993.9479</v>
      </c>
    </row>
    <row r="49" spans="2:5">
      <c r="B49" s="120" t="s">
        <v>23</v>
      </c>
      <c r="C49" s="124" t="s">
        <v>113</v>
      </c>
      <c r="D49" s="201"/>
      <c r="E49" s="73"/>
    </row>
    <row r="50" spans="2:5">
      <c r="B50" s="102" t="s">
        <v>4</v>
      </c>
      <c r="C50" s="15" t="s">
        <v>40</v>
      </c>
      <c r="D50" s="200">
        <v>11.5119240054296</v>
      </c>
      <c r="E50" s="73">
        <v>12.121499999999999</v>
      </c>
    </row>
    <row r="51" spans="2:5">
      <c r="B51" s="102" t="s">
        <v>6</v>
      </c>
      <c r="C51" s="15" t="s">
        <v>114</v>
      </c>
      <c r="D51" s="200">
        <v>11.212</v>
      </c>
      <c r="E51" s="73">
        <v>8.7685999999999993</v>
      </c>
    </row>
    <row r="52" spans="2:5">
      <c r="B52" s="102" t="s">
        <v>8</v>
      </c>
      <c r="C52" s="15" t="s">
        <v>115</v>
      </c>
      <c r="D52" s="200">
        <v>12.8484</v>
      </c>
      <c r="E52" s="73">
        <v>17.283999999999999</v>
      </c>
    </row>
    <row r="53" spans="2:5" ht="13.5" thickBot="1">
      <c r="B53" s="103" t="s">
        <v>9</v>
      </c>
      <c r="C53" s="17" t="s">
        <v>41</v>
      </c>
      <c r="D53" s="202">
        <v>12.121499999999999</v>
      </c>
      <c r="E53" s="280">
        <v>17.258400000000002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8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SUM(D59:D70)</f>
        <v>64182411.619999997</v>
      </c>
      <c r="E58" s="31">
        <f>D58/E21</f>
        <v>0.99997747922818081</v>
      </c>
    </row>
    <row r="59" spans="2:5" ht="25.5">
      <c r="B59" s="21" t="s">
        <v>4</v>
      </c>
      <c r="C59" s="22" t="s">
        <v>44</v>
      </c>
      <c r="D59" s="80">
        <v>0</v>
      </c>
      <c r="E59" s="81">
        <v>0</v>
      </c>
    </row>
    <row r="60" spans="2:5" ht="24" customHeight="1">
      <c r="B60" s="14" t="s">
        <v>6</v>
      </c>
      <c r="C60" s="15" t="s">
        <v>45</v>
      </c>
      <c r="D60" s="78">
        <v>0</v>
      </c>
      <c r="E60" s="79">
        <v>0</v>
      </c>
    </row>
    <row r="61" spans="2:5">
      <c r="B61" s="14" t="s">
        <v>8</v>
      </c>
      <c r="C61" s="15" t="s">
        <v>46</v>
      </c>
      <c r="D61" s="78">
        <v>0</v>
      </c>
      <c r="E61" s="79">
        <v>0</v>
      </c>
    </row>
    <row r="62" spans="2:5">
      <c r="B62" s="14" t="s">
        <v>9</v>
      </c>
      <c r="C62" s="15" t="s">
        <v>47</v>
      </c>
      <c r="D62" s="78">
        <v>0</v>
      </c>
      <c r="E62" s="79">
        <v>0</v>
      </c>
    </row>
    <row r="63" spans="2:5">
      <c r="B63" s="14" t="s">
        <v>29</v>
      </c>
      <c r="C63" s="15" t="s">
        <v>48</v>
      </c>
      <c r="D63" s="78">
        <v>0</v>
      </c>
      <c r="E63" s="79">
        <v>0</v>
      </c>
    </row>
    <row r="64" spans="2:5">
      <c r="B64" s="21" t="s">
        <v>31</v>
      </c>
      <c r="C64" s="22" t="s">
        <v>49</v>
      </c>
      <c r="D64" s="152">
        <v>63779615.019999996</v>
      </c>
      <c r="E64" s="81">
        <f>D64/E21</f>
        <v>0.99370181088629239</v>
      </c>
    </row>
    <row r="65" spans="2:5">
      <c r="B65" s="21" t="s">
        <v>33</v>
      </c>
      <c r="C65" s="22" t="s">
        <v>118</v>
      </c>
      <c r="D65" s="80">
        <v>0</v>
      </c>
      <c r="E65" s="81">
        <v>0</v>
      </c>
    </row>
    <row r="66" spans="2:5">
      <c r="B66" s="21" t="s">
        <v>50</v>
      </c>
      <c r="C66" s="22" t="s">
        <v>51</v>
      </c>
      <c r="D66" s="80">
        <v>0</v>
      </c>
      <c r="E66" s="81">
        <v>0</v>
      </c>
    </row>
    <row r="67" spans="2:5">
      <c r="B67" s="14" t="s">
        <v>52</v>
      </c>
      <c r="C67" s="15" t="s">
        <v>53</v>
      </c>
      <c r="D67" s="78">
        <v>0</v>
      </c>
      <c r="E67" s="79">
        <v>0</v>
      </c>
    </row>
    <row r="68" spans="2:5">
      <c r="B68" s="14" t="s">
        <v>54</v>
      </c>
      <c r="C68" s="15" t="s">
        <v>55</v>
      </c>
      <c r="D68" s="78">
        <v>0</v>
      </c>
      <c r="E68" s="79">
        <v>0</v>
      </c>
    </row>
    <row r="69" spans="2:5">
      <c r="B69" s="14" t="s">
        <v>56</v>
      </c>
      <c r="C69" s="15" t="s">
        <v>57</v>
      </c>
      <c r="D69" s="302">
        <v>402796.6</v>
      </c>
      <c r="E69" s="79">
        <f>D69/E21</f>
        <v>6.2756683418883638E-3</v>
      </c>
    </row>
    <row r="70" spans="2:5">
      <c r="B70" s="112" t="s">
        <v>58</v>
      </c>
      <c r="C70" s="113" t="s">
        <v>59</v>
      </c>
      <c r="D70" s="114">
        <v>0</v>
      </c>
      <c r="E70" s="115">
        <v>0</v>
      </c>
    </row>
    <row r="71" spans="2:5">
      <c r="B71" s="120" t="s">
        <v>23</v>
      </c>
      <c r="C71" s="121" t="s">
        <v>61</v>
      </c>
      <c r="D71" s="122">
        <f>E13</f>
        <v>0</v>
      </c>
      <c r="E71" s="66">
        <v>0</v>
      </c>
    </row>
    <row r="72" spans="2:5">
      <c r="B72" s="116" t="s">
        <v>60</v>
      </c>
      <c r="C72" s="117" t="s">
        <v>63</v>
      </c>
      <c r="D72" s="118">
        <f>E14</f>
        <v>120141.72</v>
      </c>
      <c r="E72" s="119">
        <f>D72/E21</f>
        <v>1.8718370233115577E-3</v>
      </c>
    </row>
    <row r="73" spans="2:5">
      <c r="B73" s="23" t="s">
        <v>62</v>
      </c>
      <c r="C73" s="24" t="s">
        <v>65</v>
      </c>
      <c r="D73" s="25">
        <f>E17</f>
        <v>118696.25</v>
      </c>
      <c r="E73" s="26">
        <f>D73/E21</f>
        <v>1.8493162514923581E-3</v>
      </c>
    </row>
    <row r="74" spans="2:5">
      <c r="B74" s="120" t="s">
        <v>64</v>
      </c>
      <c r="C74" s="121" t="s">
        <v>66</v>
      </c>
      <c r="D74" s="122">
        <f>D58+D71+D72-D73</f>
        <v>64183857.089999996</v>
      </c>
      <c r="E74" s="66">
        <f>E58+E72-E73</f>
        <v>1</v>
      </c>
    </row>
    <row r="75" spans="2:5">
      <c r="B75" s="14" t="s">
        <v>4</v>
      </c>
      <c r="C75" s="15" t="s">
        <v>67</v>
      </c>
      <c r="D75" s="78">
        <f>D74</f>
        <v>64183857.089999996</v>
      </c>
      <c r="E75" s="79">
        <f>E74</f>
        <v>1</v>
      </c>
    </row>
    <row r="76" spans="2:5">
      <c r="B76" s="14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6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2" right="0.75" top="0.52" bottom="0.47" header="0.5" footer="0.5"/>
  <pageSetup paperSize="9" scale="70" orientation="portrait" r:id="rId1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6"/>
  <dimension ref="A1:G81"/>
  <sheetViews>
    <sheetView zoomScale="80" zoomScaleNormal="80" workbookViewId="0">
      <selection activeCell="G16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34"/>
      <c r="C4" s="134"/>
      <c r="D4" s="134"/>
      <c r="E4" s="134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180</v>
      </c>
      <c r="C6" s="353"/>
      <c r="D6" s="353"/>
      <c r="E6" s="353"/>
    </row>
    <row r="7" spans="2:7" ht="14.25">
      <c r="B7" s="133"/>
      <c r="C7" s="133"/>
      <c r="D7" s="133"/>
      <c r="E7" s="133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35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188189.18</v>
      </c>
      <c r="E11" s="228">
        <f>SUM(E12:E14)</f>
        <v>150999.05000000002</v>
      </c>
    </row>
    <row r="12" spans="2:7">
      <c r="B12" s="173" t="s">
        <v>4</v>
      </c>
      <c r="C12" s="174" t="s">
        <v>5</v>
      </c>
      <c r="D12" s="241">
        <v>188189.18</v>
      </c>
      <c r="E12" s="245">
        <v>150999.05000000002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188189.18</v>
      </c>
      <c r="E21" s="148">
        <f>E11-E17</f>
        <v>150999.05000000002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231251.02</v>
      </c>
      <c r="E26" s="217">
        <f>D21</f>
        <v>188189.18</v>
      </c>
    </row>
    <row r="27" spans="2:6">
      <c r="B27" s="9" t="s">
        <v>17</v>
      </c>
      <c r="C27" s="10" t="s">
        <v>111</v>
      </c>
      <c r="D27" s="323">
        <v>-46692.919999999991</v>
      </c>
      <c r="E27" s="274">
        <f>E28-E32</f>
        <v>-38081.5</v>
      </c>
      <c r="F27" s="71"/>
    </row>
    <row r="28" spans="2:6">
      <c r="B28" s="9" t="s">
        <v>18</v>
      </c>
      <c r="C28" s="10" t="s">
        <v>19</v>
      </c>
      <c r="D28" s="323">
        <v>18468.260000000002</v>
      </c>
      <c r="E28" s="275">
        <v>15607.91</v>
      </c>
      <c r="F28" s="71"/>
    </row>
    <row r="29" spans="2:6">
      <c r="B29" s="181" t="s">
        <v>4</v>
      </c>
      <c r="C29" s="174" t="s">
        <v>20</v>
      </c>
      <c r="D29" s="324">
        <v>9695.4699999999993</v>
      </c>
      <c r="E29" s="276">
        <v>7274.02</v>
      </c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>
        <v>8772.7900000000009</v>
      </c>
      <c r="E31" s="276">
        <v>8333.89</v>
      </c>
      <c r="F31" s="71"/>
    </row>
    <row r="32" spans="2:6">
      <c r="B32" s="92" t="s">
        <v>23</v>
      </c>
      <c r="C32" s="11" t="s">
        <v>24</v>
      </c>
      <c r="D32" s="323">
        <v>65161.179999999993</v>
      </c>
      <c r="E32" s="275">
        <f>SUM(E33:E39)</f>
        <v>53689.41</v>
      </c>
      <c r="F32" s="71"/>
    </row>
    <row r="33" spans="2:6">
      <c r="B33" s="181" t="s">
        <v>4</v>
      </c>
      <c r="C33" s="174" t="s">
        <v>25</v>
      </c>
      <c r="D33" s="324">
        <v>52193.96</v>
      </c>
      <c r="E33" s="276">
        <f>23611.16+0.12</f>
        <v>23611.279999999999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882.92</v>
      </c>
      <c r="E35" s="276">
        <v>706.45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3699.77</v>
      </c>
      <c r="E37" s="276">
        <v>2226.96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>
        <v>8384.5300000000025</v>
      </c>
      <c r="E39" s="277">
        <v>27144.720000000001</v>
      </c>
      <c r="F39" s="71"/>
    </row>
    <row r="40" spans="2:6" ht="13.5" thickBot="1">
      <c r="B40" s="97" t="s">
        <v>35</v>
      </c>
      <c r="C40" s="98" t="s">
        <v>36</v>
      </c>
      <c r="D40" s="326">
        <v>3631.08</v>
      </c>
      <c r="E40" s="279">
        <v>891.37</v>
      </c>
    </row>
    <row r="41" spans="2:6" ht="13.5" thickBot="1">
      <c r="B41" s="99" t="s">
        <v>37</v>
      </c>
      <c r="C41" s="100" t="s">
        <v>38</v>
      </c>
      <c r="D41" s="327">
        <v>188189.18</v>
      </c>
      <c r="E41" s="148">
        <f>E26+E27+E40</f>
        <v>150999.04999999999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670.11800000000005</v>
      </c>
      <c r="E47" s="149">
        <v>538.46799999999996</v>
      </c>
    </row>
    <row r="48" spans="2:6">
      <c r="B48" s="186" t="s">
        <v>6</v>
      </c>
      <c r="C48" s="187" t="s">
        <v>41</v>
      </c>
      <c r="D48" s="200">
        <v>538.46799999999996</v>
      </c>
      <c r="E48" s="149">
        <v>402.83600000000001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84" t="s">
        <v>4</v>
      </c>
      <c r="C50" s="185" t="s">
        <v>40</v>
      </c>
      <c r="D50" s="200">
        <v>345.09</v>
      </c>
      <c r="E50" s="149">
        <v>349.49</v>
      </c>
    </row>
    <row r="51" spans="2:5">
      <c r="B51" s="184" t="s">
        <v>6</v>
      </c>
      <c r="C51" s="185" t="s">
        <v>114</v>
      </c>
      <c r="D51" s="200">
        <v>337.76</v>
      </c>
      <c r="E51" s="149">
        <v>240.91</v>
      </c>
    </row>
    <row r="52" spans="2:5">
      <c r="B52" s="184" t="s">
        <v>8</v>
      </c>
      <c r="C52" s="185" t="s">
        <v>115</v>
      </c>
      <c r="D52" s="200">
        <v>367.55</v>
      </c>
      <c r="E52" s="75">
        <v>374.94</v>
      </c>
    </row>
    <row r="53" spans="2:5" ht="13.5" customHeight="1" thickBot="1">
      <c r="B53" s="188" t="s">
        <v>9</v>
      </c>
      <c r="C53" s="189" t="s">
        <v>41</v>
      </c>
      <c r="D53" s="202">
        <v>349.49</v>
      </c>
      <c r="E53" s="280">
        <v>374.84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7.2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150999.05000000002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150999.05000000002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150999.05000000002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150999.05000000002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7"/>
  <dimension ref="A1:G81"/>
  <sheetViews>
    <sheetView zoomScale="80" zoomScaleNormal="80" workbookViewId="0">
      <selection activeCell="E41" sqref="E41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34"/>
      <c r="C4" s="134"/>
      <c r="D4" s="134"/>
      <c r="E4" s="134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181</v>
      </c>
      <c r="C6" s="353"/>
      <c r="D6" s="353"/>
      <c r="E6" s="353"/>
    </row>
    <row r="7" spans="2:7" ht="14.25">
      <c r="B7" s="133"/>
      <c r="C7" s="133"/>
      <c r="D7" s="133"/>
      <c r="E7" s="133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35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639999.86</v>
      </c>
      <c r="E11" s="228">
        <f>SUM(E12:E14)</f>
        <v>574270.69999999995</v>
      </c>
    </row>
    <row r="12" spans="2:7">
      <c r="B12" s="173" t="s">
        <v>4</v>
      </c>
      <c r="C12" s="174" t="s">
        <v>5</v>
      </c>
      <c r="D12" s="241">
        <v>639999.86</v>
      </c>
      <c r="E12" s="245">
        <v>574270.69999999995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639999.86</v>
      </c>
      <c r="E21" s="148">
        <f>E11-E17</f>
        <v>574270.69999999995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767355.0199999999</v>
      </c>
      <c r="E26" s="217">
        <f>D21</f>
        <v>639999.86</v>
      </c>
    </row>
    <row r="27" spans="2:6">
      <c r="B27" s="9" t="s">
        <v>17</v>
      </c>
      <c r="C27" s="10" t="s">
        <v>111</v>
      </c>
      <c r="D27" s="323">
        <v>-147218.66000000003</v>
      </c>
      <c r="E27" s="274">
        <f>E28-E32</f>
        <v>-101630.38</v>
      </c>
      <c r="F27" s="71"/>
    </row>
    <row r="28" spans="2:6">
      <c r="B28" s="9" t="s">
        <v>18</v>
      </c>
      <c r="C28" s="10" t="s">
        <v>19</v>
      </c>
      <c r="D28" s="323">
        <v>23078.89</v>
      </c>
      <c r="E28" s="275">
        <v>48232.82</v>
      </c>
      <c r="F28" s="71"/>
    </row>
    <row r="29" spans="2:6">
      <c r="B29" s="181" t="s">
        <v>4</v>
      </c>
      <c r="C29" s="174" t="s">
        <v>20</v>
      </c>
      <c r="D29" s="324">
        <v>8642.84</v>
      </c>
      <c r="E29" s="276">
        <v>24313.93</v>
      </c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>
        <v>14436.05</v>
      </c>
      <c r="E31" s="276">
        <v>23918.89</v>
      </c>
      <c r="F31" s="71"/>
    </row>
    <row r="32" spans="2:6">
      <c r="B32" s="92" t="s">
        <v>23</v>
      </c>
      <c r="C32" s="11" t="s">
        <v>24</v>
      </c>
      <c r="D32" s="323">
        <v>170297.55000000002</v>
      </c>
      <c r="E32" s="275">
        <f>SUM(E33:E39)</f>
        <v>149863.20000000001</v>
      </c>
      <c r="F32" s="71"/>
    </row>
    <row r="33" spans="2:6">
      <c r="B33" s="181" t="s">
        <v>4</v>
      </c>
      <c r="C33" s="174" t="s">
        <v>25</v>
      </c>
      <c r="D33" s="324">
        <v>147559.95000000001</v>
      </c>
      <c r="E33" s="276">
        <f>114176.21+52.6</f>
        <v>114228.81000000001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1206.79</v>
      </c>
      <c r="E35" s="276">
        <v>1054.5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12501.88</v>
      </c>
      <c r="E37" s="276">
        <v>11075.71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>
        <v>9028.93</v>
      </c>
      <c r="E39" s="277">
        <v>23504.18</v>
      </c>
      <c r="F39" s="71"/>
    </row>
    <row r="40" spans="2:6" ht="13.5" thickBot="1">
      <c r="B40" s="97" t="s">
        <v>35</v>
      </c>
      <c r="C40" s="98" t="s">
        <v>36</v>
      </c>
      <c r="D40" s="326">
        <v>19863.5</v>
      </c>
      <c r="E40" s="279">
        <v>35901.22</v>
      </c>
    </row>
    <row r="41" spans="2:6" ht="13.5" thickBot="1">
      <c r="B41" s="99" t="s">
        <v>37</v>
      </c>
      <c r="C41" s="100" t="s">
        <v>38</v>
      </c>
      <c r="D41" s="327">
        <v>639999.85999999987</v>
      </c>
      <c r="E41" s="148">
        <f>E26+E27+E40</f>
        <v>574270.69999999995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2640.9520200000002</v>
      </c>
      <c r="E47" s="149">
        <v>2143.0480000000002</v>
      </c>
    </row>
    <row r="48" spans="2:6">
      <c r="B48" s="186" t="s">
        <v>6</v>
      </c>
      <c r="C48" s="187" t="s">
        <v>41</v>
      </c>
      <c r="D48" s="200">
        <v>2143.0480000000002</v>
      </c>
      <c r="E48" s="149">
        <v>1817.7150000000001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84" t="s">
        <v>4</v>
      </c>
      <c r="C50" s="185" t="s">
        <v>40</v>
      </c>
      <c r="D50" s="200">
        <v>290.56</v>
      </c>
      <c r="E50" s="149">
        <v>298.64</v>
      </c>
    </row>
    <row r="51" spans="2:5">
      <c r="B51" s="184" t="s">
        <v>6</v>
      </c>
      <c r="C51" s="185" t="s">
        <v>114</v>
      </c>
      <c r="D51" s="200">
        <v>289.67</v>
      </c>
      <c r="E51" s="75">
        <v>296.79000000000002</v>
      </c>
    </row>
    <row r="52" spans="2:5">
      <c r="B52" s="184" t="s">
        <v>8</v>
      </c>
      <c r="C52" s="185" t="s">
        <v>115</v>
      </c>
      <c r="D52" s="200">
        <v>301.7</v>
      </c>
      <c r="E52" s="75">
        <v>316.58</v>
      </c>
    </row>
    <row r="53" spans="2:5" ht="14.25" customHeight="1" thickBot="1">
      <c r="B53" s="188" t="s">
        <v>9</v>
      </c>
      <c r="C53" s="189" t="s">
        <v>41</v>
      </c>
      <c r="D53" s="202">
        <v>298.64</v>
      </c>
      <c r="E53" s="280">
        <v>315.93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6.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574270.69999999995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2.7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574270.69999999995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574270.69999999995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574270.69999999995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000000000000004" right="0.75" top="0.56000000000000005" bottom="0.47" header="0.5" footer="0.5"/>
  <pageSetup paperSize="9" scale="70" orientation="portrait" r:id="rId1"/>
  <headerFooter alignWithMargins="0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8"/>
  <dimension ref="A1:G81"/>
  <sheetViews>
    <sheetView zoomScale="80" zoomScaleNormal="80" workbookViewId="0">
      <selection activeCell="G16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38"/>
      <c r="C4" s="138"/>
      <c r="D4" s="138"/>
      <c r="E4" s="138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260</v>
      </c>
      <c r="C6" s="353"/>
      <c r="D6" s="353"/>
      <c r="E6" s="353"/>
    </row>
    <row r="7" spans="2:7" ht="14.25">
      <c r="B7" s="136"/>
      <c r="C7" s="136"/>
      <c r="D7" s="136"/>
      <c r="E7" s="136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37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274039.97000000003</v>
      </c>
      <c r="E11" s="228">
        <f>SUM(E12:E14)</f>
        <v>286476.39</v>
      </c>
    </row>
    <row r="12" spans="2:7">
      <c r="B12" s="173" t="s">
        <v>4</v>
      </c>
      <c r="C12" s="174" t="s">
        <v>5</v>
      </c>
      <c r="D12" s="241">
        <v>274039.97000000003</v>
      </c>
      <c r="E12" s="245">
        <v>286476.39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274039.97000000003</v>
      </c>
      <c r="E21" s="148">
        <f>E11-E17</f>
        <v>286476.39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416807.74000000005</v>
      </c>
      <c r="E26" s="217">
        <f>D21</f>
        <v>274039.97000000003</v>
      </c>
    </row>
    <row r="27" spans="2:6">
      <c r="B27" s="9" t="s">
        <v>17</v>
      </c>
      <c r="C27" s="10" t="s">
        <v>111</v>
      </c>
      <c r="D27" s="323">
        <v>-146832.12</v>
      </c>
      <c r="E27" s="274">
        <f>E28-E32</f>
        <v>8955.6900000000023</v>
      </c>
      <c r="F27" s="71"/>
    </row>
    <row r="28" spans="2:6">
      <c r="B28" s="9" t="s">
        <v>18</v>
      </c>
      <c r="C28" s="10" t="s">
        <v>19</v>
      </c>
      <c r="D28" s="323">
        <v>26766.45</v>
      </c>
      <c r="E28" s="275">
        <v>112623.36</v>
      </c>
      <c r="F28" s="71"/>
    </row>
    <row r="29" spans="2:6">
      <c r="B29" s="181" t="s">
        <v>4</v>
      </c>
      <c r="C29" s="174" t="s">
        <v>20</v>
      </c>
      <c r="D29" s="324">
        <v>26766.45</v>
      </c>
      <c r="E29" s="276">
        <v>24877.86</v>
      </c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>
        <v>87745.5</v>
      </c>
      <c r="F31" s="71"/>
    </row>
    <row r="32" spans="2:6">
      <c r="B32" s="92" t="s">
        <v>23</v>
      </c>
      <c r="C32" s="11" t="s">
        <v>24</v>
      </c>
      <c r="D32" s="323">
        <v>173598.57</v>
      </c>
      <c r="E32" s="275">
        <f>SUM(E33:E39)</f>
        <v>103667.67</v>
      </c>
      <c r="F32" s="71"/>
    </row>
    <row r="33" spans="2:6">
      <c r="B33" s="181" t="s">
        <v>4</v>
      </c>
      <c r="C33" s="174" t="s">
        <v>25</v>
      </c>
      <c r="D33" s="324">
        <v>165658.4</v>
      </c>
      <c r="E33" s="276">
        <f>35312.04+18.82</f>
        <v>35330.86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3054.22</v>
      </c>
      <c r="E35" s="276">
        <v>2784.84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4821.37</v>
      </c>
      <c r="E37" s="276">
        <v>3631.71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>
        <v>64.580000000020959</v>
      </c>
      <c r="E39" s="277">
        <v>61920.26</v>
      </c>
      <c r="F39" s="71"/>
    </row>
    <row r="40" spans="2:6" ht="13.5" thickBot="1">
      <c r="B40" s="97" t="s">
        <v>35</v>
      </c>
      <c r="C40" s="98" t="s">
        <v>36</v>
      </c>
      <c r="D40" s="326">
        <v>4064.35</v>
      </c>
      <c r="E40" s="279">
        <v>3480.73</v>
      </c>
    </row>
    <row r="41" spans="2:6" ht="13.5" thickBot="1">
      <c r="B41" s="99" t="s">
        <v>37</v>
      </c>
      <c r="C41" s="100" t="s">
        <v>38</v>
      </c>
      <c r="D41" s="327">
        <v>274039.97000000003</v>
      </c>
      <c r="E41" s="148">
        <f>E26+E27+E40</f>
        <v>286476.39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8" customHeight="1" thickBot="1">
      <c r="B44" s="354" t="s">
        <v>121</v>
      </c>
      <c r="C44" s="358"/>
      <c r="D44" s="358"/>
      <c r="E44" s="358"/>
    </row>
    <row r="45" spans="2:6" ht="13.5" thickBot="1">
      <c r="B45" s="13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1509.298</v>
      </c>
      <c r="E47" s="149">
        <v>978.8889999999999</v>
      </c>
    </row>
    <row r="48" spans="2:6">
      <c r="B48" s="123" t="s">
        <v>6</v>
      </c>
      <c r="C48" s="22" t="s">
        <v>41</v>
      </c>
      <c r="D48" s="200">
        <v>978.8889999999999</v>
      </c>
      <c r="E48" s="149">
        <v>1011.998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02" t="s">
        <v>4</v>
      </c>
      <c r="C50" s="15" t="s">
        <v>40</v>
      </c>
      <c r="D50" s="200">
        <v>276.16000000000003</v>
      </c>
      <c r="E50" s="149">
        <v>279.95</v>
      </c>
    </row>
    <row r="51" spans="2:5">
      <c r="B51" s="102" t="s">
        <v>6</v>
      </c>
      <c r="C51" s="15" t="s">
        <v>114</v>
      </c>
      <c r="D51" s="200">
        <v>275.78000000000003</v>
      </c>
      <c r="E51" s="149">
        <v>278.95</v>
      </c>
    </row>
    <row r="52" spans="2:5">
      <c r="B52" s="102" t="s">
        <v>8</v>
      </c>
      <c r="C52" s="15" t="s">
        <v>115</v>
      </c>
      <c r="D52" s="200">
        <v>279.98</v>
      </c>
      <c r="E52" s="75">
        <v>283.18</v>
      </c>
    </row>
    <row r="53" spans="2:5" ht="13.5" customHeight="1" thickBot="1">
      <c r="B53" s="103" t="s">
        <v>9</v>
      </c>
      <c r="C53" s="17" t="s">
        <v>41</v>
      </c>
      <c r="D53" s="202">
        <v>279.95</v>
      </c>
      <c r="E53" s="280">
        <v>283.08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6.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286476.39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E12</f>
        <v>286476.39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f>E17</f>
        <v>0</v>
      </c>
      <c r="E73" s="26">
        <f>D73/E21</f>
        <v>0</v>
      </c>
    </row>
    <row r="74" spans="2:5">
      <c r="B74" s="130" t="s">
        <v>64</v>
      </c>
      <c r="C74" s="121" t="s">
        <v>66</v>
      </c>
      <c r="D74" s="122">
        <f>D58-D73</f>
        <v>286476.39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286476.39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9"/>
  <dimension ref="A1:G81"/>
  <sheetViews>
    <sheetView topLeftCell="A16" zoomScale="80" zoomScaleNormal="80" workbookViewId="0">
      <selection activeCell="E41" sqref="E41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38"/>
      <c r="C4" s="138"/>
      <c r="D4" s="138"/>
      <c r="E4" s="138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182</v>
      </c>
      <c r="C6" s="353"/>
      <c r="D6" s="353"/>
      <c r="E6" s="353"/>
    </row>
    <row r="7" spans="2:7" ht="14.25">
      <c r="B7" s="136"/>
      <c r="C7" s="136"/>
      <c r="D7" s="136"/>
      <c r="E7" s="136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37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87485.23000000001</v>
      </c>
      <c r="E11" s="228">
        <f>SUM(E12:E14)</f>
        <v>90440.85</v>
      </c>
    </row>
    <row r="12" spans="2:7">
      <c r="B12" s="173" t="s">
        <v>4</v>
      </c>
      <c r="C12" s="174" t="s">
        <v>5</v>
      </c>
      <c r="D12" s="241">
        <v>87485.23000000001</v>
      </c>
      <c r="E12" s="245">
        <v>90440.85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87485.23000000001</v>
      </c>
      <c r="E21" s="148">
        <f>E11-E17</f>
        <v>90440.85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111648.58</v>
      </c>
      <c r="E26" s="217">
        <f>D21</f>
        <v>87485.23000000001</v>
      </c>
    </row>
    <row r="27" spans="2:6">
      <c r="B27" s="9" t="s">
        <v>17</v>
      </c>
      <c r="C27" s="10" t="s">
        <v>111</v>
      </c>
      <c r="D27" s="323">
        <v>-30424.349999999984</v>
      </c>
      <c r="E27" s="274">
        <f>E28-E32</f>
        <v>-2812.45</v>
      </c>
      <c r="F27" s="71"/>
    </row>
    <row r="28" spans="2:6">
      <c r="B28" s="9" t="s">
        <v>18</v>
      </c>
      <c r="C28" s="10" t="s">
        <v>19</v>
      </c>
      <c r="D28" s="323">
        <v>15827.69</v>
      </c>
      <c r="E28" s="275">
        <v>6303.04</v>
      </c>
      <c r="F28" s="71"/>
    </row>
    <row r="29" spans="2:6">
      <c r="B29" s="181" t="s">
        <v>4</v>
      </c>
      <c r="C29" s="174" t="s">
        <v>20</v>
      </c>
      <c r="D29" s="324">
        <v>7054.76</v>
      </c>
      <c r="E29" s="276">
        <v>6303.04</v>
      </c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>
        <v>8772.93</v>
      </c>
      <c r="E31" s="276"/>
      <c r="F31" s="71"/>
    </row>
    <row r="32" spans="2:6">
      <c r="B32" s="92" t="s">
        <v>23</v>
      </c>
      <c r="C32" s="11" t="s">
        <v>24</v>
      </c>
      <c r="D32" s="323">
        <v>46252.039999999986</v>
      </c>
      <c r="E32" s="275">
        <f>SUM(E33:E39)</f>
        <v>9115.49</v>
      </c>
      <c r="F32" s="71"/>
    </row>
    <row r="33" spans="2:6">
      <c r="B33" s="181" t="s">
        <v>4</v>
      </c>
      <c r="C33" s="174" t="s">
        <v>25</v>
      </c>
      <c r="D33" s="324">
        <v>43338.579999999994</v>
      </c>
      <c r="E33" s="276">
        <f>7549.18+50.35+0.22</f>
        <v>7599.7500000000009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508.95</v>
      </c>
      <c r="E35" s="276">
        <v>300.94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1526.67</v>
      </c>
      <c r="E37" s="276">
        <v>1214.8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>
        <v>877.84</v>
      </c>
      <c r="E39" s="277"/>
      <c r="F39" s="71"/>
    </row>
    <row r="40" spans="2:6" ht="13.5" thickBot="1">
      <c r="B40" s="97" t="s">
        <v>35</v>
      </c>
      <c r="C40" s="98" t="s">
        <v>36</v>
      </c>
      <c r="D40" s="326">
        <v>6261</v>
      </c>
      <c r="E40" s="279">
        <v>5768.07</v>
      </c>
    </row>
    <row r="41" spans="2:6" ht="13.5" thickBot="1">
      <c r="B41" s="99" t="s">
        <v>37</v>
      </c>
      <c r="C41" s="100" t="s">
        <v>38</v>
      </c>
      <c r="D41" s="327">
        <v>87485.23000000001</v>
      </c>
      <c r="E41" s="148">
        <f>E26+E27+E40</f>
        <v>90440.85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552.25098000000003</v>
      </c>
      <c r="E47" s="149">
        <v>406.92699999999996</v>
      </c>
    </row>
    <row r="48" spans="2:6">
      <c r="B48" s="186" t="s">
        <v>6</v>
      </c>
      <c r="C48" s="187" t="s">
        <v>41</v>
      </c>
      <c r="D48" s="200">
        <v>406.92699999999996</v>
      </c>
      <c r="E48" s="149">
        <v>393.88900000000001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84" t="s">
        <v>4</v>
      </c>
      <c r="C50" s="185" t="s">
        <v>40</v>
      </c>
      <c r="D50" s="200">
        <v>202.17</v>
      </c>
      <c r="E50" s="149">
        <v>214.99</v>
      </c>
    </row>
    <row r="51" spans="2:5">
      <c r="B51" s="184" t="s">
        <v>6</v>
      </c>
      <c r="C51" s="185" t="s">
        <v>114</v>
      </c>
      <c r="D51" s="200">
        <v>200.74</v>
      </c>
      <c r="E51" s="75">
        <v>163.32</v>
      </c>
    </row>
    <row r="52" spans="2:5">
      <c r="B52" s="184" t="s">
        <v>8</v>
      </c>
      <c r="C52" s="185" t="s">
        <v>115</v>
      </c>
      <c r="D52" s="200">
        <v>217.75</v>
      </c>
      <c r="E52" s="75">
        <v>230.13</v>
      </c>
    </row>
    <row r="53" spans="2:5" ht="13.5" thickBot="1">
      <c r="B53" s="188" t="s">
        <v>9</v>
      </c>
      <c r="C53" s="189" t="s">
        <v>41</v>
      </c>
      <c r="D53" s="202">
        <v>214.99</v>
      </c>
      <c r="E53" s="280">
        <v>229.61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4.25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90440.85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24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90440.85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90440.85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90440.85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6000000000000005" right="0.75" top="0.53" bottom="0.55000000000000004" header="0.5" footer="0.5"/>
  <pageSetup paperSize="9" scale="70" orientation="portrait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0"/>
  <dimension ref="A1:G81"/>
  <sheetViews>
    <sheetView zoomScale="80" zoomScaleNormal="80" workbookViewId="0">
      <selection activeCell="G13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38"/>
      <c r="C4" s="138"/>
      <c r="D4" s="138"/>
      <c r="E4" s="138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77</v>
      </c>
      <c r="C6" s="353"/>
      <c r="D6" s="353"/>
      <c r="E6" s="353"/>
    </row>
    <row r="7" spans="2:7" ht="14.25">
      <c r="B7" s="136"/>
      <c r="C7" s="136"/>
      <c r="D7" s="136"/>
      <c r="E7" s="136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37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29426329.940000001</v>
      </c>
      <c r="E11" s="228">
        <f>SUM(E12:E14)</f>
        <v>29647958.43</v>
      </c>
    </row>
    <row r="12" spans="2:7">
      <c r="B12" s="173" t="s">
        <v>4</v>
      </c>
      <c r="C12" s="174" t="s">
        <v>5</v>
      </c>
      <c r="D12" s="241">
        <v>29426329.940000001</v>
      </c>
      <c r="E12" s="245">
        <v>29647958.43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29426329.940000001</v>
      </c>
      <c r="E21" s="148">
        <f>E11-E17</f>
        <v>29647958.43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171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26020525.09</v>
      </c>
      <c r="E26" s="217">
        <f>D21</f>
        <v>29426329.940000001</v>
      </c>
    </row>
    <row r="27" spans="2:6">
      <c r="B27" s="9" t="s">
        <v>17</v>
      </c>
      <c r="C27" s="10" t="s">
        <v>111</v>
      </c>
      <c r="D27" s="323">
        <v>-2316466.7699999996</v>
      </c>
      <c r="E27" s="274">
        <v>-816483.63</v>
      </c>
      <c r="F27" s="71"/>
    </row>
    <row r="28" spans="2:6">
      <c r="B28" s="9" t="s">
        <v>18</v>
      </c>
      <c r="C28" s="10" t="s">
        <v>19</v>
      </c>
      <c r="D28" s="323">
        <v>2226287.9500000002</v>
      </c>
      <c r="E28" s="275">
        <v>1999683.97</v>
      </c>
      <c r="F28" s="71"/>
    </row>
    <row r="29" spans="2:6">
      <c r="B29" s="181" t="s">
        <v>4</v>
      </c>
      <c r="C29" s="174" t="s">
        <v>20</v>
      </c>
      <c r="D29" s="324">
        <v>2226287.9500000002</v>
      </c>
      <c r="E29" s="276">
        <v>1999683.97</v>
      </c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4542754.72</v>
      </c>
      <c r="E32" s="275">
        <v>2816167.6</v>
      </c>
      <c r="F32" s="71"/>
    </row>
    <row r="33" spans="2:6">
      <c r="B33" s="181" t="s">
        <v>4</v>
      </c>
      <c r="C33" s="174" t="s">
        <v>25</v>
      </c>
      <c r="D33" s="324">
        <v>4542754.72</v>
      </c>
      <c r="E33" s="276">
        <f>2816172.75-5.15</f>
        <v>2816167.6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/>
      <c r="E35" s="276"/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/>
      <c r="E37" s="276"/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/>
      <c r="F39" s="71"/>
    </row>
    <row r="40" spans="2:6" ht="13.5" thickBot="1">
      <c r="B40" s="97" t="s">
        <v>35</v>
      </c>
      <c r="C40" s="98" t="s">
        <v>36</v>
      </c>
      <c r="D40" s="326">
        <v>5722271.6200000001</v>
      </c>
      <c r="E40" s="279">
        <v>1038112.12</v>
      </c>
    </row>
    <row r="41" spans="2:6" ht="13.5" thickBot="1">
      <c r="B41" s="99" t="s">
        <v>37</v>
      </c>
      <c r="C41" s="100" t="s">
        <v>38</v>
      </c>
      <c r="D41" s="327">
        <v>29426329.940000001</v>
      </c>
      <c r="E41" s="148">
        <f>E26+E27+E40</f>
        <v>29647958.430000003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8" customHeight="1" thickBot="1">
      <c r="B44" s="354" t="s">
        <v>121</v>
      </c>
      <c r="C44" s="358"/>
      <c r="D44" s="358"/>
      <c r="E44" s="358"/>
    </row>
    <row r="45" spans="2:6" ht="13.5" thickBot="1">
      <c r="B45" s="13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1452208.4110999999</v>
      </c>
      <c r="E47" s="149">
        <v>1330370.4044999999</v>
      </c>
    </row>
    <row r="48" spans="2:6">
      <c r="B48" s="123" t="s">
        <v>6</v>
      </c>
      <c r="C48" s="22" t="s">
        <v>41</v>
      </c>
      <c r="D48" s="200">
        <v>1330370.4044999999</v>
      </c>
      <c r="E48" s="149">
        <v>1293828.8376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02" t="s">
        <v>4</v>
      </c>
      <c r="C50" s="15" t="s">
        <v>40</v>
      </c>
      <c r="D50" s="200">
        <v>17.917899999999999</v>
      </c>
      <c r="E50" s="149">
        <v>22.1189</v>
      </c>
    </row>
    <row r="51" spans="2:5">
      <c r="B51" s="102" t="s">
        <v>6</v>
      </c>
      <c r="C51" s="15" t="s">
        <v>114</v>
      </c>
      <c r="D51" s="200">
        <v>17.882999999999999</v>
      </c>
      <c r="E51" s="75">
        <v>20.298999999999999</v>
      </c>
    </row>
    <row r="52" spans="2:5">
      <c r="B52" s="102" t="s">
        <v>8</v>
      </c>
      <c r="C52" s="15" t="s">
        <v>115</v>
      </c>
      <c r="D52" s="200">
        <v>22.195799999999998</v>
      </c>
      <c r="E52" s="75">
        <v>22.929300000000001</v>
      </c>
    </row>
    <row r="53" spans="2:5" ht="13.5" customHeight="1" thickBot="1">
      <c r="B53" s="103" t="s">
        <v>9</v>
      </c>
      <c r="C53" s="17" t="s">
        <v>41</v>
      </c>
      <c r="D53" s="202">
        <v>22.1189</v>
      </c>
      <c r="E53" s="280">
        <v>22.914899999999999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6.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29647958.43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2.7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29647958.43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29647958.43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v>0</v>
      </c>
      <c r="E75" s="79">
        <v>0</v>
      </c>
    </row>
    <row r="76" spans="2:5">
      <c r="B76" s="102" t="s">
        <v>6</v>
      </c>
      <c r="C76" s="15" t="s">
        <v>119</v>
      </c>
      <c r="D76" s="78">
        <f>D74</f>
        <v>29647958.43</v>
      </c>
      <c r="E76" s="79">
        <f>E74</f>
        <v>1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6000000000000005" right="0.75" top="0.62" bottom="0.52" header="0.5" footer="0.5"/>
  <pageSetup paperSize="9" scale="70" orientation="portrait" r:id="rId1"/>
  <headerFooter alignWithMargins="0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1"/>
  <dimension ref="A1:G81"/>
  <sheetViews>
    <sheetView zoomScale="80" zoomScaleNormal="80" workbookViewId="0">
      <selection activeCell="G13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38"/>
      <c r="C4" s="138"/>
      <c r="D4" s="138"/>
      <c r="E4" s="138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78</v>
      </c>
      <c r="C6" s="353"/>
      <c r="D6" s="353"/>
      <c r="E6" s="353"/>
    </row>
    <row r="7" spans="2:7" ht="14.25">
      <c r="B7" s="136"/>
      <c r="C7" s="136"/>
      <c r="D7" s="136"/>
      <c r="E7" s="136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37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41088497.159999996</v>
      </c>
      <c r="E11" s="228">
        <f>SUM(E12:E14)</f>
        <v>37715503.399999999</v>
      </c>
    </row>
    <row r="12" spans="2:7">
      <c r="B12" s="173" t="s">
        <v>4</v>
      </c>
      <c r="C12" s="174" t="s">
        <v>5</v>
      </c>
      <c r="D12" s="241">
        <v>41088497.159999996</v>
      </c>
      <c r="E12" s="245">
        <v>37715503.399999999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41088497.159999996</v>
      </c>
      <c r="E21" s="148">
        <f>E11-E17</f>
        <v>37715503.399999999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37733841.700000003</v>
      </c>
      <c r="E26" s="217">
        <f>D21</f>
        <v>41088497.159999996</v>
      </c>
    </row>
    <row r="27" spans="2:6">
      <c r="B27" s="9" t="s">
        <v>17</v>
      </c>
      <c r="C27" s="10" t="s">
        <v>111</v>
      </c>
      <c r="D27" s="323">
        <v>-1888731.6099999999</v>
      </c>
      <c r="E27" s="274">
        <f>E28-E32</f>
        <v>-1233902.8600000003</v>
      </c>
      <c r="F27" s="71"/>
    </row>
    <row r="28" spans="2:6">
      <c r="B28" s="9" t="s">
        <v>18</v>
      </c>
      <c r="C28" s="10" t="s">
        <v>19</v>
      </c>
      <c r="D28" s="323">
        <v>3207821.14</v>
      </c>
      <c r="E28" s="275">
        <v>2847437.28</v>
      </c>
      <c r="F28" s="71"/>
    </row>
    <row r="29" spans="2:6">
      <c r="B29" s="181" t="s">
        <v>4</v>
      </c>
      <c r="C29" s="174" t="s">
        <v>20</v>
      </c>
      <c r="D29" s="324">
        <v>3207821.14</v>
      </c>
      <c r="E29" s="276">
        <v>2847437.28</v>
      </c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5096552.75</v>
      </c>
      <c r="E32" s="275">
        <f>SUM(E33:E39)</f>
        <v>4081340.14</v>
      </c>
      <c r="F32" s="71"/>
    </row>
    <row r="33" spans="2:6">
      <c r="B33" s="181" t="s">
        <v>4</v>
      </c>
      <c r="C33" s="174" t="s">
        <v>25</v>
      </c>
      <c r="D33" s="324">
        <v>5096552.75</v>
      </c>
      <c r="E33" s="276">
        <f>4056885.66+24461.11-6.63</f>
        <v>4081340.14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/>
      <c r="E35" s="276"/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/>
      <c r="E37" s="276"/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/>
      <c r="F39" s="71"/>
    </row>
    <row r="40" spans="2:6" ht="13.5" thickBot="1">
      <c r="B40" s="97" t="s">
        <v>35</v>
      </c>
      <c r="C40" s="98" t="s">
        <v>36</v>
      </c>
      <c r="D40" s="326">
        <v>5243387.07</v>
      </c>
      <c r="E40" s="279">
        <v>-2139090.9</v>
      </c>
    </row>
    <row r="41" spans="2:6" ht="13.5" thickBot="1">
      <c r="B41" s="99" t="s">
        <v>37</v>
      </c>
      <c r="C41" s="100" t="s">
        <v>38</v>
      </c>
      <c r="D41" s="327">
        <v>41088497.160000004</v>
      </c>
      <c r="E41" s="148">
        <f>E26+E27+E40</f>
        <v>37715503.399999999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8" customHeight="1" thickBot="1">
      <c r="B44" s="354" t="s">
        <v>121</v>
      </c>
      <c r="C44" s="358"/>
      <c r="D44" s="358"/>
      <c r="E44" s="358"/>
    </row>
    <row r="45" spans="2:6" ht="13.5" thickBot="1">
      <c r="B45" s="13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828481.25842600001</v>
      </c>
      <c r="E47" s="149">
        <v>787869.49459999998</v>
      </c>
    </row>
    <row r="48" spans="2:6">
      <c r="B48" s="123" t="s">
        <v>6</v>
      </c>
      <c r="C48" s="22" t="s">
        <v>41</v>
      </c>
      <c r="D48" s="200">
        <v>787869.49459999998</v>
      </c>
      <c r="E48" s="149">
        <v>764380.01039999991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02" t="s">
        <v>4</v>
      </c>
      <c r="C50" s="15" t="s">
        <v>40</v>
      </c>
      <c r="D50" s="200">
        <v>45.5458</v>
      </c>
      <c r="E50" s="149">
        <v>52.151400000000002</v>
      </c>
    </row>
    <row r="51" spans="2:5">
      <c r="B51" s="102" t="s">
        <v>6</v>
      </c>
      <c r="C51" s="15" t="s">
        <v>114</v>
      </c>
      <c r="D51" s="200">
        <v>45.451799999999999</v>
      </c>
      <c r="E51" s="75">
        <v>46.402000000000001</v>
      </c>
    </row>
    <row r="52" spans="2:5">
      <c r="B52" s="102" t="s">
        <v>8</v>
      </c>
      <c r="C52" s="15" t="s">
        <v>115</v>
      </c>
      <c r="D52" s="200">
        <v>52.151400000000002</v>
      </c>
      <c r="E52" s="75">
        <v>53.927300000000002</v>
      </c>
    </row>
    <row r="53" spans="2:5" ht="12.75" customHeight="1" thickBot="1">
      <c r="B53" s="103" t="s">
        <v>9</v>
      </c>
      <c r="C53" s="17" t="s">
        <v>41</v>
      </c>
      <c r="D53" s="202">
        <v>52.151400000000002</v>
      </c>
      <c r="E53" s="280">
        <v>49.341299999999997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6.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37715503.399999999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2.7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E12</f>
        <v>37715503.399999999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v>0</v>
      </c>
      <c r="E72" s="119">
        <v>0</v>
      </c>
    </row>
    <row r="73" spans="2:5">
      <c r="B73" s="132" t="s">
        <v>62</v>
      </c>
      <c r="C73" s="24" t="s">
        <v>65</v>
      </c>
      <c r="D73" s="25">
        <f>E17</f>
        <v>0</v>
      </c>
      <c r="E73" s="26">
        <f>D73/E21</f>
        <v>0</v>
      </c>
    </row>
    <row r="74" spans="2:5">
      <c r="B74" s="130" t="s">
        <v>64</v>
      </c>
      <c r="C74" s="121" t="s">
        <v>66</v>
      </c>
      <c r="D74" s="122">
        <f>D58-D73</f>
        <v>37715503.399999999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v>0</v>
      </c>
      <c r="E75" s="79">
        <v>0</v>
      </c>
    </row>
    <row r="76" spans="2:5">
      <c r="B76" s="102" t="s">
        <v>6</v>
      </c>
      <c r="C76" s="15" t="s">
        <v>119</v>
      </c>
      <c r="D76" s="78">
        <f>D74</f>
        <v>37715503.399999999</v>
      </c>
      <c r="E76" s="79">
        <f>E74</f>
        <v>1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" right="0.75" top="0.62" bottom="0.61" header="0.5" footer="0.5"/>
  <pageSetup paperSize="9" scale="70" orientation="portrait" r:id="rId1"/>
  <headerFooter alignWithMargins="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2"/>
  <dimension ref="A1:G81"/>
  <sheetViews>
    <sheetView zoomScale="80" zoomScaleNormal="80" workbookViewId="0">
      <selection activeCell="E41" sqref="E41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7"/>
      <c r="C4" s="147"/>
      <c r="D4" s="147"/>
      <c r="E4" s="147"/>
    </row>
    <row r="5" spans="2:7" ht="21" customHeight="1">
      <c r="B5" s="352" t="s">
        <v>1</v>
      </c>
      <c r="C5" s="352"/>
      <c r="D5" s="352"/>
      <c r="E5" s="352"/>
    </row>
    <row r="6" spans="2:7" ht="14.25" customHeight="1">
      <c r="B6" s="353" t="s">
        <v>79</v>
      </c>
      <c r="C6" s="353"/>
      <c r="D6" s="353"/>
      <c r="E6" s="353"/>
    </row>
    <row r="7" spans="2:7" ht="14.25">
      <c r="B7" s="225"/>
      <c r="C7" s="225"/>
      <c r="D7" s="225"/>
      <c r="E7" s="225"/>
    </row>
    <row r="8" spans="2:7" ht="13.5" customHeight="1">
      <c r="B8" s="355" t="s">
        <v>18</v>
      </c>
      <c r="C8" s="355"/>
      <c r="D8" s="355"/>
      <c r="E8" s="355"/>
    </row>
    <row r="9" spans="2:7" ht="16.5" customHeight="1" thickBot="1">
      <c r="B9" s="354" t="s">
        <v>103</v>
      </c>
      <c r="C9" s="354"/>
      <c r="D9" s="354"/>
      <c r="E9" s="354"/>
    </row>
    <row r="10" spans="2:7" ht="13.5" thickBot="1">
      <c r="B10" s="226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34774696.240000002</v>
      </c>
      <c r="E11" s="228">
        <f>SUM(E12:E14)</f>
        <v>33064935.779999997</v>
      </c>
    </row>
    <row r="12" spans="2:7">
      <c r="B12" s="173" t="s">
        <v>4</v>
      </c>
      <c r="C12" s="174" t="s">
        <v>5</v>
      </c>
      <c r="D12" s="241">
        <v>34774696.240000002</v>
      </c>
      <c r="E12" s="245">
        <v>33064935.779999997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customHeight="1" thickBot="1">
      <c r="B21" s="359" t="s">
        <v>110</v>
      </c>
      <c r="C21" s="371"/>
      <c r="D21" s="231">
        <v>34774696.240000002</v>
      </c>
      <c r="E21" s="148">
        <f>E11-E17</f>
        <v>33064935.779999997</v>
      </c>
      <c r="F21" s="77"/>
    </row>
    <row r="22" spans="2:6">
      <c r="B22" s="3"/>
      <c r="C22" s="7"/>
      <c r="D22" s="8"/>
      <c r="E22" s="8"/>
    </row>
    <row r="23" spans="2:6" ht="13.5" customHeight="1">
      <c r="B23" s="355" t="s">
        <v>104</v>
      </c>
      <c r="C23" s="355"/>
      <c r="D23" s="355"/>
      <c r="E23" s="355"/>
    </row>
    <row r="24" spans="2:6" ht="15.75" customHeight="1" thickBot="1">
      <c r="B24" s="354" t="s">
        <v>105</v>
      </c>
      <c r="C24" s="354"/>
      <c r="D24" s="354"/>
      <c r="E24" s="354"/>
    </row>
    <row r="25" spans="2:6" ht="13.5" thickBot="1">
      <c r="B25" s="226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31352304.68</v>
      </c>
      <c r="E26" s="217">
        <f>D21</f>
        <v>34774696.240000002</v>
      </c>
    </row>
    <row r="27" spans="2:6">
      <c r="B27" s="9" t="s">
        <v>17</v>
      </c>
      <c r="C27" s="10" t="s">
        <v>111</v>
      </c>
      <c r="D27" s="323">
        <v>-1439849.94</v>
      </c>
      <c r="E27" s="274">
        <f>E28-E32</f>
        <v>123793.26000000024</v>
      </c>
      <c r="F27" s="71"/>
    </row>
    <row r="28" spans="2:6">
      <c r="B28" s="9" t="s">
        <v>18</v>
      </c>
      <c r="C28" s="10" t="s">
        <v>19</v>
      </c>
      <c r="D28" s="323">
        <v>2633976.62</v>
      </c>
      <c r="E28" s="275">
        <v>2401858.81</v>
      </c>
      <c r="F28" s="71"/>
    </row>
    <row r="29" spans="2:6">
      <c r="B29" s="181" t="s">
        <v>4</v>
      </c>
      <c r="C29" s="174" t="s">
        <v>20</v>
      </c>
      <c r="D29" s="324">
        <v>2633976.62</v>
      </c>
      <c r="E29" s="276">
        <v>2401858.81</v>
      </c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4073826.56</v>
      </c>
      <c r="E32" s="275">
        <f>SUM(E33:E39)</f>
        <v>2278065.5499999998</v>
      </c>
      <c r="F32" s="71"/>
    </row>
    <row r="33" spans="2:6">
      <c r="B33" s="181" t="s">
        <v>4</v>
      </c>
      <c r="C33" s="174" t="s">
        <v>25</v>
      </c>
      <c r="D33" s="324">
        <v>4073826.56</v>
      </c>
      <c r="E33" s="276">
        <f>2278072.43-8.91+2.03</f>
        <v>2278065.5499999998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/>
      <c r="E35" s="276"/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/>
      <c r="E37" s="276"/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/>
      <c r="F39" s="71"/>
    </row>
    <row r="40" spans="2:6" ht="13.5" thickBot="1">
      <c r="B40" s="97" t="s">
        <v>35</v>
      </c>
      <c r="C40" s="98" t="s">
        <v>36</v>
      </c>
      <c r="D40" s="326">
        <v>4862241.5</v>
      </c>
      <c r="E40" s="279">
        <v>-1833553.72</v>
      </c>
    </row>
    <row r="41" spans="2:6" ht="13.5" thickBot="1">
      <c r="B41" s="99" t="s">
        <v>37</v>
      </c>
      <c r="C41" s="100" t="s">
        <v>38</v>
      </c>
      <c r="D41" s="327">
        <v>34774696.239999995</v>
      </c>
      <c r="E41" s="148">
        <f>E26+E27+E40</f>
        <v>33064935.780000001</v>
      </c>
      <c r="F41" s="77"/>
    </row>
    <row r="42" spans="2:6">
      <c r="B42" s="93"/>
      <c r="C42" s="93"/>
      <c r="D42" s="94"/>
      <c r="E42" s="94"/>
      <c r="F42" s="77"/>
    </row>
    <row r="43" spans="2:6" ht="13.5" customHeight="1">
      <c r="B43" s="356" t="s">
        <v>60</v>
      </c>
      <c r="C43" s="356"/>
      <c r="D43" s="356"/>
      <c r="E43" s="356"/>
    </row>
    <row r="44" spans="2:6" ht="18" customHeight="1" thickBot="1">
      <c r="B44" s="354" t="s">
        <v>121</v>
      </c>
      <c r="C44" s="354"/>
      <c r="D44" s="354"/>
      <c r="E44" s="354"/>
    </row>
    <row r="45" spans="2:6" ht="13.5" thickBot="1">
      <c r="B45" s="226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667678.32579000003</v>
      </c>
      <c r="E47" s="149">
        <v>637508.68480000005</v>
      </c>
    </row>
    <row r="48" spans="2:6">
      <c r="B48" s="186" t="s">
        <v>6</v>
      </c>
      <c r="C48" s="187" t="s">
        <v>41</v>
      </c>
      <c r="D48" s="200">
        <v>637508.68480000005</v>
      </c>
      <c r="E48" s="149">
        <v>640133.34649999999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84" t="s">
        <v>4</v>
      </c>
      <c r="C50" s="185" t="s">
        <v>40</v>
      </c>
      <c r="D50" s="200">
        <v>46.9572</v>
      </c>
      <c r="E50" s="149">
        <v>54.547800000000002</v>
      </c>
    </row>
    <row r="51" spans="2:5">
      <c r="B51" s="184" t="s">
        <v>6</v>
      </c>
      <c r="C51" s="185" t="s">
        <v>114</v>
      </c>
      <c r="D51" s="200">
        <v>46.864200000000004</v>
      </c>
      <c r="E51" s="75">
        <v>48.3262</v>
      </c>
    </row>
    <row r="52" spans="2:5">
      <c r="B52" s="184" t="s">
        <v>8</v>
      </c>
      <c r="C52" s="185" t="s">
        <v>115</v>
      </c>
      <c r="D52" s="200">
        <v>54.547800000000002</v>
      </c>
      <c r="E52" s="75">
        <v>56.163600000000002</v>
      </c>
    </row>
    <row r="53" spans="2:5" ht="13.5" customHeight="1" thickBot="1">
      <c r="B53" s="188" t="s">
        <v>9</v>
      </c>
      <c r="C53" s="189" t="s">
        <v>41</v>
      </c>
      <c r="D53" s="202">
        <v>54.547800000000002</v>
      </c>
      <c r="E53" s="280">
        <v>51.653199999999998</v>
      </c>
    </row>
    <row r="54" spans="2:5">
      <c r="B54" s="109"/>
      <c r="C54" s="110"/>
      <c r="D54" s="111"/>
      <c r="E54" s="111"/>
    </row>
    <row r="55" spans="2:5" ht="13.5" customHeight="1">
      <c r="B55" s="356" t="s">
        <v>62</v>
      </c>
      <c r="C55" s="356"/>
      <c r="D55" s="356"/>
      <c r="E55" s="356"/>
    </row>
    <row r="56" spans="2:5" ht="18" customHeight="1" thickBot="1">
      <c r="B56" s="354" t="s">
        <v>116</v>
      </c>
      <c r="C56" s="354"/>
      <c r="D56" s="354"/>
      <c r="E56" s="354"/>
    </row>
    <row r="57" spans="2:5" ht="23.25" customHeight="1" thickBot="1">
      <c r="B57" s="369" t="s">
        <v>42</v>
      </c>
      <c r="C57" s="37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33064935.779999997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3.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E12</f>
        <v>33064935.779999997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f>E17</f>
        <v>0</v>
      </c>
      <c r="E73" s="26">
        <f>D73/E21</f>
        <v>0</v>
      </c>
    </row>
    <row r="74" spans="2:5">
      <c r="B74" s="130" t="s">
        <v>64</v>
      </c>
      <c r="C74" s="121" t="s">
        <v>66</v>
      </c>
      <c r="D74" s="122">
        <f>D58-D73</f>
        <v>33064935.779999997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v>0</v>
      </c>
      <c r="E75" s="79">
        <v>0</v>
      </c>
    </row>
    <row r="76" spans="2:5">
      <c r="B76" s="102" t="s">
        <v>6</v>
      </c>
      <c r="C76" s="15" t="s">
        <v>119</v>
      </c>
      <c r="D76" s="78">
        <f>D74</f>
        <v>33064935.779999997</v>
      </c>
      <c r="E76" s="79">
        <f>E74</f>
        <v>1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75" right="0.75" top="0.71" bottom="0.63" header="0.5" footer="0.5"/>
  <pageSetup paperSize="9" scale="70" orientation="portrait" r:id="rId1"/>
  <headerFooter alignWithMargins="0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3"/>
  <dimension ref="A1:G81"/>
  <sheetViews>
    <sheetView zoomScale="80" zoomScaleNormal="80" workbookViewId="0">
      <selection activeCell="G10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7"/>
      <c r="C4" s="147"/>
      <c r="D4" s="147"/>
      <c r="E4" s="147"/>
    </row>
    <row r="5" spans="2:7" ht="21" customHeight="1">
      <c r="B5" s="352" t="s">
        <v>1</v>
      </c>
      <c r="C5" s="352"/>
      <c r="D5" s="352"/>
      <c r="E5" s="352"/>
    </row>
    <row r="6" spans="2:7" ht="14.25" customHeight="1">
      <c r="B6" s="353" t="s">
        <v>80</v>
      </c>
      <c r="C6" s="353"/>
      <c r="D6" s="353"/>
      <c r="E6" s="353"/>
    </row>
    <row r="7" spans="2:7" ht="14.25">
      <c r="B7" s="225"/>
      <c r="C7" s="225"/>
      <c r="D7" s="225"/>
      <c r="E7" s="225"/>
    </row>
    <row r="8" spans="2:7" ht="13.5" customHeight="1">
      <c r="B8" s="355" t="s">
        <v>18</v>
      </c>
      <c r="C8" s="355"/>
      <c r="D8" s="355"/>
      <c r="E8" s="355"/>
    </row>
    <row r="9" spans="2:7" ht="16.5" customHeight="1" thickBot="1">
      <c r="B9" s="354" t="s">
        <v>103</v>
      </c>
      <c r="C9" s="354"/>
      <c r="D9" s="354"/>
      <c r="E9" s="354"/>
    </row>
    <row r="10" spans="2:7" ht="13.5" thickBot="1">
      <c r="B10" s="226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33465586.559999999</v>
      </c>
      <c r="E11" s="228">
        <f>SUM(E12:E14)</f>
        <v>31223838.18</v>
      </c>
    </row>
    <row r="12" spans="2:7">
      <c r="B12" s="106" t="s">
        <v>4</v>
      </c>
      <c r="C12" s="6" t="s">
        <v>5</v>
      </c>
      <c r="D12" s="241">
        <v>33465586.559999999</v>
      </c>
      <c r="E12" s="245">
        <v>31223838.18</v>
      </c>
    </row>
    <row r="13" spans="2:7">
      <c r="B13" s="106" t="s">
        <v>6</v>
      </c>
      <c r="C13" s="68" t="s">
        <v>7</v>
      </c>
      <c r="D13" s="237"/>
      <c r="E13" s="246"/>
    </row>
    <row r="14" spans="2:7">
      <c r="B14" s="106" t="s">
        <v>8</v>
      </c>
      <c r="C14" s="68" t="s">
        <v>10</v>
      </c>
      <c r="D14" s="237"/>
      <c r="E14" s="246"/>
    </row>
    <row r="15" spans="2:7">
      <c r="B15" s="106" t="s">
        <v>106</v>
      </c>
      <c r="C15" s="68" t="s">
        <v>11</v>
      </c>
      <c r="D15" s="237"/>
      <c r="E15" s="246"/>
    </row>
    <row r="16" spans="2:7">
      <c r="B16" s="107" t="s">
        <v>107</v>
      </c>
      <c r="C16" s="91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06" t="s">
        <v>4</v>
      </c>
      <c r="C18" s="6" t="s">
        <v>11</v>
      </c>
      <c r="D18" s="239"/>
      <c r="E18" s="247"/>
    </row>
    <row r="19" spans="2:6" ht="15" customHeight="1">
      <c r="B19" s="106" t="s">
        <v>6</v>
      </c>
      <c r="C19" s="68" t="s">
        <v>108</v>
      </c>
      <c r="D19" s="237"/>
      <c r="E19" s="246"/>
    </row>
    <row r="20" spans="2:6" ht="13.5" thickBot="1">
      <c r="B20" s="108" t="s">
        <v>8</v>
      </c>
      <c r="C20" s="69" t="s">
        <v>14</v>
      </c>
      <c r="D20" s="229"/>
      <c r="E20" s="230"/>
    </row>
    <row r="21" spans="2:6" ht="13.5" customHeight="1" thickBot="1">
      <c r="B21" s="359" t="s">
        <v>110</v>
      </c>
      <c r="C21" s="371"/>
      <c r="D21" s="231">
        <v>33465586.559999999</v>
      </c>
      <c r="E21" s="148">
        <f>E11-E17</f>
        <v>31223838.18</v>
      </c>
      <c r="F21" s="77"/>
    </row>
    <row r="22" spans="2:6">
      <c r="B22" s="3"/>
      <c r="C22" s="7"/>
      <c r="D22" s="8"/>
      <c r="E22" s="8"/>
    </row>
    <row r="23" spans="2:6" ht="13.5" customHeight="1">
      <c r="B23" s="355" t="s">
        <v>104</v>
      </c>
      <c r="C23" s="355"/>
      <c r="D23" s="355"/>
      <c r="E23" s="355"/>
    </row>
    <row r="24" spans="2:6" ht="15.75" customHeight="1" thickBot="1">
      <c r="B24" s="354" t="s">
        <v>105</v>
      </c>
      <c r="C24" s="354"/>
      <c r="D24" s="354"/>
      <c r="E24" s="354"/>
    </row>
    <row r="25" spans="2:6" ht="13.5" thickBot="1">
      <c r="B25" s="226"/>
      <c r="C25" s="5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29619334.02</v>
      </c>
      <c r="E26" s="217">
        <f>D21</f>
        <v>33465586.559999999</v>
      </c>
    </row>
    <row r="27" spans="2:6">
      <c r="B27" s="9" t="s">
        <v>17</v>
      </c>
      <c r="C27" s="10" t="s">
        <v>111</v>
      </c>
      <c r="D27" s="323">
        <v>-814897.6400000006</v>
      </c>
      <c r="E27" s="274">
        <f>E28-E32</f>
        <v>-482453.68999999994</v>
      </c>
      <c r="F27" s="71"/>
    </row>
    <row r="28" spans="2:6">
      <c r="B28" s="9" t="s">
        <v>18</v>
      </c>
      <c r="C28" s="10" t="s">
        <v>19</v>
      </c>
      <c r="D28" s="323">
        <v>2547975.38</v>
      </c>
      <c r="E28" s="275">
        <v>2293102.9700000002</v>
      </c>
      <c r="F28" s="71"/>
    </row>
    <row r="29" spans="2:6">
      <c r="B29" s="104" t="s">
        <v>4</v>
      </c>
      <c r="C29" s="6" t="s">
        <v>20</v>
      </c>
      <c r="D29" s="324">
        <v>2547975.38</v>
      </c>
      <c r="E29" s="276">
        <v>2293102.9700000002</v>
      </c>
      <c r="F29" s="71"/>
    </row>
    <row r="30" spans="2:6">
      <c r="B30" s="104" t="s">
        <v>6</v>
      </c>
      <c r="C30" s="6" t="s">
        <v>21</v>
      </c>
      <c r="D30" s="324"/>
      <c r="E30" s="276"/>
      <c r="F30" s="71"/>
    </row>
    <row r="31" spans="2:6">
      <c r="B31" s="104" t="s">
        <v>8</v>
      </c>
      <c r="C31" s="6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3362873.0200000005</v>
      </c>
      <c r="E32" s="275">
        <f>SUM(E33:E39)</f>
        <v>2775556.66</v>
      </c>
      <c r="F32" s="71"/>
    </row>
    <row r="33" spans="2:6">
      <c r="B33" s="104" t="s">
        <v>4</v>
      </c>
      <c r="C33" s="6" t="s">
        <v>25</v>
      </c>
      <c r="D33" s="324">
        <v>3362873.0200000005</v>
      </c>
      <c r="E33" s="276">
        <f>2775572.56-17.88+1.98</f>
        <v>2775556.66</v>
      </c>
      <c r="F33" s="71"/>
    </row>
    <row r="34" spans="2:6">
      <c r="B34" s="104" t="s">
        <v>6</v>
      </c>
      <c r="C34" s="6" t="s">
        <v>26</v>
      </c>
      <c r="D34" s="324"/>
      <c r="E34" s="276"/>
      <c r="F34" s="71"/>
    </row>
    <row r="35" spans="2:6">
      <c r="B35" s="104" t="s">
        <v>8</v>
      </c>
      <c r="C35" s="6" t="s">
        <v>27</v>
      </c>
      <c r="D35" s="324"/>
      <c r="E35" s="276"/>
      <c r="F35" s="71"/>
    </row>
    <row r="36" spans="2:6">
      <c r="B36" s="104" t="s">
        <v>9</v>
      </c>
      <c r="C36" s="6" t="s">
        <v>28</v>
      </c>
      <c r="D36" s="324"/>
      <c r="E36" s="276"/>
      <c r="F36" s="71"/>
    </row>
    <row r="37" spans="2:6" ht="25.5">
      <c r="B37" s="104" t="s">
        <v>29</v>
      </c>
      <c r="C37" s="6" t="s">
        <v>30</v>
      </c>
      <c r="D37" s="324"/>
      <c r="E37" s="276"/>
      <c r="F37" s="71"/>
    </row>
    <row r="38" spans="2:6">
      <c r="B38" s="104" t="s">
        <v>31</v>
      </c>
      <c r="C38" s="6" t="s">
        <v>32</v>
      </c>
      <c r="D38" s="324"/>
      <c r="E38" s="276"/>
      <c r="F38" s="71"/>
    </row>
    <row r="39" spans="2:6">
      <c r="B39" s="105" t="s">
        <v>33</v>
      </c>
      <c r="C39" s="12" t="s">
        <v>34</v>
      </c>
      <c r="D39" s="325"/>
      <c r="E39" s="277"/>
      <c r="F39" s="71"/>
    </row>
    <row r="40" spans="2:6" ht="13.5" thickBot="1">
      <c r="B40" s="97" t="s">
        <v>35</v>
      </c>
      <c r="C40" s="98" t="s">
        <v>36</v>
      </c>
      <c r="D40" s="326">
        <v>4661150.18</v>
      </c>
      <c r="E40" s="279">
        <v>-1759294.69</v>
      </c>
    </row>
    <row r="41" spans="2:6" ht="13.5" thickBot="1">
      <c r="B41" s="99" t="s">
        <v>37</v>
      </c>
      <c r="C41" s="100" t="s">
        <v>38</v>
      </c>
      <c r="D41" s="327">
        <v>33465586.559999999</v>
      </c>
      <c r="E41" s="148">
        <f>E26+E27+E40</f>
        <v>31223838.179999996</v>
      </c>
      <c r="F41" s="77"/>
    </row>
    <row r="42" spans="2:6">
      <c r="B42" s="93"/>
      <c r="C42" s="93"/>
      <c r="D42" s="94"/>
      <c r="E42" s="94"/>
      <c r="F42" s="77"/>
    </row>
    <row r="43" spans="2:6" ht="13.5" customHeight="1">
      <c r="B43" s="356" t="s">
        <v>60</v>
      </c>
      <c r="C43" s="356"/>
      <c r="D43" s="356"/>
      <c r="E43" s="356"/>
    </row>
    <row r="44" spans="2:6" ht="18" customHeight="1" thickBot="1">
      <c r="B44" s="354" t="s">
        <v>121</v>
      </c>
      <c r="C44" s="354"/>
      <c r="D44" s="354"/>
      <c r="E44" s="354"/>
    </row>
    <row r="45" spans="2:6" ht="13.5" thickBot="1">
      <c r="B45" s="226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628289.66501999996</v>
      </c>
      <c r="E47" s="149">
        <v>611651.35759999999</v>
      </c>
    </row>
    <row r="48" spans="2:6">
      <c r="B48" s="123" t="s">
        <v>6</v>
      </c>
      <c r="C48" s="22" t="s">
        <v>41</v>
      </c>
      <c r="D48" s="200">
        <v>611651.35759999999</v>
      </c>
      <c r="E48" s="149">
        <v>602409.30579999997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02" t="s">
        <v>4</v>
      </c>
      <c r="C50" s="15" t="s">
        <v>40</v>
      </c>
      <c r="D50" s="200">
        <v>47.142800000000001</v>
      </c>
      <c r="E50" s="149">
        <v>54.713500000000003</v>
      </c>
    </row>
    <row r="51" spans="2:5">
      <c r="B51" s="102" t="s">
        <v>6</v>
      </c>
      <c r="C51" s="15" t="s">
        <v>114</v>
      </c>
      <c r="D51" s="200">
        <v>47.043900000000001</v>
      </c>
      <c r="E51" s="149">
        <v>48.468699999999998</v>
      </c>
    </row>
    <row r="52" spans="2:5">
      <c r="B52" s="102" t="s">
        <v>8</v>
      </c>
      <c r="C52" s="15" t="s">
        <v>115</v>
      </c>
      <c r="D52" s="200">
        <v>54.713500000000003</v>
      </c>
      <c r="E52" s="75">
        <v>56.316099999999999</v>
      </c>
    </row>
    <row r="53" spans="2:5" ht="13.5" customHeight="1" thickBot="1">
      <c r="B53" s="103" t="s">
        <v>9</v>
      </c>
      <c r="C53" s="17" t="s">
        <v>41</v>
      </c>
      <c r="D53" s="202">
        <v>54.713500000000003</v>
      </c>
      <c r="E53" s="280">
        <v>51.831600000000002</v>
      </c>
    </row>
    <row r="54" spans="2:5">
      <c r="B54" s="109"/>
      <c r="C54" s="110"/>
      <c r="D54" s="111"/>
      <c r="E54" s="111"/>
    </row>
    <row r="55" spans="2:5" ht="13.5" customHeight="1">
      <c r="B55" s="356" t="s">
        <v>62</v>
      </c>
      <c r="C55" s="356"/>
      <c r="D55" s="356"/>
      <c r="E55" s="356"/>
    </row>
    <row r="56" spans="2:5" ht="15.75" customHeight="1" thickBot="1">
      <c r="B56" s="354" t="s">
        <v>116</v>
      </c>
      <c r="C56" s="354"/>
      <c r="D56" s="354"/>
      <c r="E56" s="354"/>
    </row>
    <row r="57" spans="2:5" ht="23.25" customHeight="1" thickBot="1">
      <c r="B57" s="369" t="s">
        <v>42</v>
      </c>
      <c r="C57" s="37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31223838.18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2.7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E12</f>
        <v>31223838.18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f>E17</f>
        <v>0</v>
      </c>
      <c r="E73" s="26">
        <f>D73/E21</f>
        <v>0</v>
      </c>
    </row>
    <row r="74" spans="2:5">
      <c r="B74" s="130" t="s">
        <v>64</v>
      </c>
      <c r="C74" s="121" t="s">
        <v>66</v>
      </c>
      <c r="D74" s="122">
        <f>D58-D73</f>
        <v>31223838.18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v>0</v>
      </c>
      <c r="E75" s="79">
        <v>0</v>
      </c>
    </row>
    <row r="76" spans="2:5">
      <c r="B76" s="102" t="s">
        <v>6</v>
      </c>
      <c r="C76" s="15" t="s">
        <v>119</v>
      </c>
      <c r="D76" s="78">
        <f>D74</f>
        <v>31223838.18</v>
      </c>
      <c r="E76" s="79">
        <f>E74</f>
        <v>1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1" right="0.75" top="0.56000000000000005" bottom="0.5" header="0.5" footer="0.5"/>
  <pageSetup paperSize="9" scale="70" orientation="portrait" r:id="rId1"/>
  <headerFooter alignWithMargins="0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4"/>
  <dimension ref="A1:F81"/>
  <sheetViews>
    <sheetView zoomScale="80" zoomScaleNormal="80" workbookViewId="0">
      <selection activeCell="G13" sqref="G1:L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1" t="s">
        <v>0</v>
      </c>
      <c r="C2" s="351"/>
      <c r="D2" s="351"/>
      <c r="E2" s="351"/>
    </row>
    <row r="3" spans="2:5" ht="15.75">
      <c r="B3" s="351" t="s">
        <v>271</v>
      </c>
      <c r="C3" s="351"/>
      <c r="D3" s="351"/>
      <c r="E3" s="351"/>
    </row>
    <row r="4" spans="2:5" ht="15">
      <c r="B4" s="138"/>
      <c r="C4" s="138"/>
      <c r="D4" s="138"/>
      <c r="E4" s="138"/>
    </row>
    <row r="5" spans="2:5" ht="21" customHeight="1">
      <c r="B5" s="352" t="s">
        <v>1</v>
      </c>
      <c r="C5" s="352"/>
      <c r="D5" s="352"/>
      <c r="E5" s="352"/>
    </row>
    <row r="6" spans="2:5" ht="14.25">
      <c r="B6" s="353" t="s">
        <v>81</v>
      </c>
      <c r="C6" s="353"/>
      <c r="D6" s="353"/>
      <c r="E6" s="353"/>
    </row>
    <row r="7" spans="2:5" ht="14.25">
      <c r="B7" s="136"/>
      <c r="C7" s="136"/>
      <c r="D7" s="136"/>
      <c r="E7" s="136"/>
    </row>
    <row r="8" spans="2:5" ht="13.5">
      <c r="B8" s="355" t="s">
        <v>18</v>
      </c>
      <c r="C8" s="357"/>
      <c r="D8" s="357"/>
      <c r="E8" s="357"/>
    </row>
    <row r="9" spans="2:5" ht="16.5" thickBot="1">
      <c r="B9" s="354" t="s">
        <v>103</v>
      </c>
      <c r="C9" s="354"/>
      <c r="D9" s="354"/>
      <c r="E9" s="354"/>
    </row>
    <row r="10" spans="2:5" ht="13.5" thickBot="1">
      <c r="B10" s="137"/>
      <c r="C10" s="76" t="s">
        <v>2</v>
      </c>
      <c r="D10" s="70" t="s">
        <v>245</v>
      </c>
      <c r="E10" s="255" t="s">
        <v>265</v>
      </c>
    </row>
    <row r="11" spans="2:5">
      <c r="B11" s="90" t="s">
        <v>3</v>
      </c>
      <c r="C11" s="128" t="s">
        <v>109</v>
      </c>
      <c r="D11" s="227">
        <v>28398060.829999998</v>
      </c>
      <c r="E11" s="228">
        <f>SUM(E12:E14)</f>
        <v>27949104.030000001</v>
      </c>
    </row>
    <row r="12" spans="2:5">
      <c r="B12" s="173" t="s">
        <v>4</v>
      </c>
      <c r="C12" s="174" t="s">
        <v>5</v>
      </c>
      <c r="D12" s="241">
        <v>28398060.829999998</v>
      </c>
      <c r="E12" s="245">
        <v>27949104.030000001</v>
      </c>
    </row>
    <row r="13" spans="2:5">
      <c r="B13" s="173" t="s">
        <v>6</v>
      </c>
      <c r="C13" s="175" t="s">
        <v>7</v>
      </c>
      <c r="D13" s="237"/>
      <c r="E13" s="246"/>
    </row>
    <row r="14" spans="2:5">
      <c r="B14" s="173" t="s">
        <v>8</v>
      </c>
      <c r="C14" s="175" t="s">
        <v>10</v>
      </c>
      <c r="D14" s="237"/>
      <c r="E14" s="246"/>
    </row>
    <row r="15" spans="2:5">
      <c r="B15" s="173" t="s">
        <v>106</v>
      </c>
      <c r="C15" s="175" t="s">
        <v>11</v>
      </c>
      <c r="D15" s="237"/>
      <c r="E15" s="246"/>
    </row>
    <row r="16" spans="2:5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28398060.829999998</v>
      </c>
      <c r="E21" s="148">
        <f>E11-E17</f>
        <v>27949104.030000001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171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23196988.809999999</v>
      </c>
      <c r="E26" s="217">
        <f>D21</f>
        <v>28398060.829999998</v>
      </c>
    </row>
    <row r="27" spans="2:6">
      <c r="B27" s="9" t="s">
        <v>17</v>
      </c>
      <c r="C27" s="10" t="s">
        <v>111</v>
      </c>
      <c r="D27" s="323">
        <v>-883355.57999999984</v>
      </c>
      <c r="E27" s="274">
        <f>E28-E32</f>
        <v>-1300387.7399999998</v>
      </c>
      <c r="F27" s="71"/>
    </row>
    <row r="28" spans="2:6">
      <c r="B28" s="9" t="s">
        <v>18</v>
      </c>
      <c r="C28" s="10" t="s">
        <v>19</v>
      </c>
      <c r="D28" s="323">
        <v>2086587.53</v>
      </c>
      <c r="E28" s="275">
        <v>1853704.65</v>
      </c>
      <c r="F28" s="71"/>
    </row>
    <row r="29" spans="2:6">
      <c r="B29" s="181" t="s">
        <v>4</v>
      </c>
      <c r="C29" s="174" t="s">
        <v>20</v>
      </c>
      <c r="D29" s="324">
        <v>2086587.53</v>
      </c>
      <c r="E29" s="276">
        <v>1853704.65</v>
      </c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2969943.11</v>
      </c>
      <c r="E32" s="275">
        <f>SUM(E33:E39)</f>
        <v>3154092.3899999997</v>
      </c>
      <c r="F32" s="71"/>
    </row>
    <row r="33" spans="2:6">
      <c r="B33" s="181" t="s">
        <v>4</v>
      </c>
      <c r="C33" s="174" t="s">
        <v>25</v>
      </c>
      <c r="D33" s="324">
        <v>2969943.11</v>
      </c>
      <c r="E33" s="276">
        <f>3171261.28-17164.35-4.54</f>
        <v>3154092.3899999997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/>
      <c r="E35" s="276"/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/>
      <c r="E37" s="276"/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/>
      <c r="F39" s="71"/>
    </row>
    <row r="40" spans="2:6" ht="13.5" thickBot="1">
      <c r="B40" s="97" t="s">
        <v>35</v>
      </c>
      <c r="C40" s="98" t="s">
        <v>36</v>
      </c>
      <c r="D40" s="326">
        <v>6084427.5999999996</v>
      </c>
      <c r="E40" s="279">
        <v>851430.94</v>
      </c>
    </row>
    <row r="41" spans="2:6" ht="13.5" thickBot="1">
      <c r="B41" s="99" t="s">
        <v>37</v>
      </c>
      <c r="C41" s="100" t="s">
        <v>38</v>
      </c>
      <c r="D41" s="327">
        <v>28398060.829999998</v>
      </c>
      <c r="E41" s="148">
        <f>E26+E27+E40</f>
        <v>27949104.030000001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8" customHeight="1" thickBot="1">
      <c r="B44" s="354" t="s">
        <v>121</v>
      </c>
      <c r="C44" s="358"/>
      <c r="D44" s="358"/>
      <c r="E44" s="358"/>
    </row>
    <row r="45" spans="2:6" ht="13.5" thickBot="1">
      <c r="B45" s="13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1180923.0116000001</v>
      </c>
      <c r="E47" s="149">
        <v>1139102.8084999998</v>
      </c>
    </row>
    <row r="48" spans="2:6">
      <c r="B48" s="123" t="s">
        <v>6</v>
      </c>
      <c r="C48" s="22" t="s">
        <v>41</v>
      </c>
      <c r="D48" s="200">
        <v>1139102.8084999998</v>
      </c>
      <c r="E48" s="149">
        <v>1086178.2413000001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02" t="s">
        <v>4</v>
      </c>
      <c r="C50" s="15" t="s">
        <v>40</v>
      </c>
      <c r="D50" s="200">
        <v>19.6431</v>
      </c>
      <c r="E50" s="149">
        <v>24.930199999999999</v>
      </c>
    </row>
    <row r="51" spans="2:5">
      <c r="B51" s="102" t="s">
        <v>6</v>
      </c>
      <c r="C51" s="15" t="s">
        <v>114</v>
      </c>
      <c r="D51" s="200">
        <v>19.622700000000002</v>
      </c>
      <c r="E51" s="149">
        <v>22.602499999999999</v>
      </c>
    </row>
    <row r="52" spans="2:5">
      <c r="B52" s="102" t="s">
        <v>8</v>
      </c>
      <c r="C52" s="15" t="s">
        <v>115</v>
      </c>
      <c r="D52" s="200">
        <v>25.022400000000001</v>
      </c>
      <c r="E52" s="75">
        <v>25.954499999999999</v>
      </c>
    </row>
    <row r="53" spans="2:5" ht="12.75" customHeight="1" thickBot="1">
      <c r="B53" s="103" t="s">
        <v>9</v>
      </c>
      <c r="C53" s="17" t="s">
        <v>41</v>
      </c>
      <c r="D53" s="202">
        <v>24.930199999999999</v>
      </c>
      <c r="E53" s="280">
        <v>25.7316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5.7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27949104.030000001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3.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E12</f>
        <v>27949104.030000001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f>E17</f>
        <v>0</v>
      </c>
      <c r="E73" s="26">
        <f>D73/E21</f>
        <v>0</v>
      </c>
    </row>
    <row r="74" spans="2:5">
      <c r="B74" s="130" t="s">
        <v>64</v>
      </c>
      <c r="C74" s="121" t="s">
        <v>66</v>
      </c>
      <c r="D74" s="122">
        <f>D58-D73</f>
        <v>27949104.030000001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v>0</v>
      </c>
      <c r="E75" s="79">
        <v>0</v>
      </c>
    </row>
    <row r="76" spans="2:5">
      <c r="B76" s="102" t="s">
        <v>6</v>
      </c>
      <c r="C76" s="15" t="s">
        <v>119</v>
      </c>
      <c r="D76" s="78">
        <f>D74</f>
        <v>27949104.030000001</v>
      </c>
      <c r="E76" s="79">
        <f>E74</f>
        <v>1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9" right="0.75" top="0.61" bottom="0.51" header="0.5" footer="0.5"/>
  <pageSetup paperSize="9" scale="70" orientation="portrait" r:id="rId1"/>
  <headerFooter alignWithMargins="0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5"/>
  <dimension ref="A1:G81"/>
  <sheetViews>
    <sheetView zoomScale="80" zoomScaleNormal="80" workbookViewId="0">
      <selection activeCell="E41" sqref="E41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38"/>
      <c r="C4" s="138"/>
      <c r="D4" s="138"/>
      <c r="E4" s="138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82</v>
      </c>
      <c r="C6" s="353"/>
      <c r="D6" s="353"/>
      <c r="E6" s="353"/>
    </row>
    <row r="7" spans="2:7" ht="14.25">
      <c r="B7" s="136"/>
      <c r="C7" s="136"/>
      <c r="D7" s="136"/>
      <c r="E7" s="136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37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20469519.77</v>
      </c>
      <c r="E11" s="228">
        <f>SUM(E12:E14)</f>
        <v>20569987.079999998</v>
      </c>
    </row>
    <row r="12" spans="2:7">
      <c r="B12" s="106" t="s">
        <v>4</v>
      </c>
      <c r="C12" s="6" t="s">
        <v>5</v>
      </c>
      <c r="D12" s="241">
        <v>20469519.77</v>
      </c>
      <c r="E12" s="245">
        <v>20569987.079999998</v>
      </c>
    </row>
    <row r="13" spans="2:7">
      <c r="B13" s="106" t="s">
        <v>6</v>
      </c>
      <c r="C13" s="68" t="s">
        <v>7</v>
      </c>
      <c r="D13" s="237"/>
      <c r="E13" s="246"/>
    </row>
    <row r="14" spans="2:7">
      <c r="B14" s="106" t="s">
        <v>8</v>
      </c>
      <c r="C14" s="68" t="s">
        <v>10</v>
      </c>
      <c r="D14" s="237"/>
      <c r="E14" s="246"/>
    </row>
    <row r="15" spans="2:7">
      <c r="B15" s="106" t="s">
        <v>106</v>
      </c>
      <c r="C15" s="68" t="s">
        <v>11</v>
      </c>
      <c r="D15" s="237"/>
      <c r="E15" s="246"/>
    </row>
    <row r="16" spans="2:7">
      <c r="B16" s="107" t="s">
        <v>107</v>
      </c>
      <c r="C16" s="91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06" t="s">
        <v>4</v>
      </c>
      <c r="C18" s="6" t="s">
        <v>11</v>
      </c>
      <c r="D18" s="239"/>
      <c r="E18" s="247"/>
    </row>
    <row r="19" spans="2:6" ht="15" customHeight="1">
      <c r="B19" s="106" t="s">
        <v>6</v>
      </c>
      <c r="C19" s="68" t="s">
        <v>108</v>
      </c>
      <c r="D19" s="237"/>
      <c r="E19" s="246"/>
    </row>
    <row r="20" spans="2:6" ht="13.5" thickBot="1">
      <c r="B20" s="108" t="s">
        <v>8</v>
      </c>
      <c r="C20" s="6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20469519.77</v>
      </c>
      <c r="E21" s="148">
        <f>E11-E17</f>
        <v>20569987.079999998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3"/>
      <c r="D23" s="363"/>
      <c r="E23" s="363"/>
    </row>
    <row r="24" spans="2:6" ht="15.75" customHeight="1" thickBot="1">
      <c r="B24" s="354" t="s">
        <v>105</v>
      </c>
      <c r="C24" s="364"/>
      <c r="D24" s="364"/>
      <c r="E24" s="364"/>
    </row>
    <row r="25" spans="2:6" ht="13.5" thickBot="1">
      <c r="B25" s="137"/>
      <c r="C25" s="5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17650084.16</v>
      </c>
      <c r="E26" s="217">
        <f>D21</f>
        <v>20469519.77</v>
      </c>
    </row>
    <row r="27" spans="2:6">
      <c r="B27" s="9" t="s">
        <v>17</v>
      </c>
      <c r="C27" s="10" t="s">
        <v>111</v>
      </c>
      <c r="D27" s="323">
        <v>-1639427.92</v>
      </c>
      <c r="E27" s="274">
        <v>-559577.25</v>
      </c>
      <c r="F27" s="71"/>
    </row>
    <row r="28" spans="2:6">
      <c r="B28" s="9" t="s">
        <v>18</v>
      </c>
      <c r="C28" s="10" t="s">
        <v>19</v>
      </c>
      <c r="D28" s="323">
        <v>1572003.61</v>
      </c>
      <c r="E28" s="275">
        <v>1373641.22</v>
      </c>
      <c r="F28" s="71"/>
    </row>
    <row r="29" spans="2:6">
      <c r="B29" s="104" t="s">
        <v>4</v>
      </c>
      <c r="C29" s="6" t="s">
        <v>20</v>
      </c>
      <c r="D29" s="324">
        <v>1572003.61</v>
      </c>
      <c r="E29" s="276">
        <v>1373641.22</v>
      </c>
      <c r="F29" s="71"/>
    </row>
    <row r="30" spans="2:6">
      <c r="B30" s="104" t="s">
        <v>6</v>
      </c>
      <c r="C30" s="6" t="s">
        <v>21</v>
      </c>
      <c r="D30" s="324"/>
      <c r="E30" s="276"/>
      <c r="F30" s="71"/>
    </row>
    <row r="31" spans="2:6">
      <c r="B31" s="104" t="s">
        <v>8</v>
      </c>
      <c r="C31" s="6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3211431.53</v>
      </c>
      <c r="E32" s="275">
        <v>1933218.47</v>
      </c>
      <c r="F32" s="71"/>
    </row>
    <row r="33" spans="2:6">
      <c r="B33" s="104" t="s">
        <v>4</v>
      </c>
      <c r="C33" s="6" t="s">
        <v>25</v>
      </c>
      <c r="D33" s="324">
        <v>3211431.5300000003</v>
      </c>
      <c r="E33" s="276">
        <f>1933222.32-3.85</f>
        <v>1933218.47</v>
      </c>
      <c r="F33" s="71"/>
    </row>
    <row r="34" spans="2:6">
      <c r="B34" s="104" t="s">
        <v>6</v>
      </c>
      <c r="C34" s="6" t="s">
        <v>26</v>
      </c>
      <c r="D34" s="324"/>
      <c r="E34" s="276"/>
      <c r="F34" s="71"/>
    </row>
    <row r="35" spans="2:6">
      <c r="B35" s="104" t="s">
        <v>8</v>
      </c>
      <c r="C35" s="6" t="s">
        <v>27</v>
      </c>
      <c r="D35" s="324"/>
      <c r="E35" s="276"/>
      <c r="F35" s="71"/>
    </row>
    <row r="36" spans="2:6">
      <c r="B36" s="104" t="s">
        <v>9</v>
      </c>
      <c r="C36" s="6" t="s">
        <v>28</v>
      </c>
      <c r="D36" s="324"/>
      <c r="E36" s="276"/>
      <c r="F36" s="71"/>
    </row>
    <row r="37" spans="2:6" ht="25.5">
      <c r="B37" s="104" t="s">
        <v>29</v>
      </c>
      <c r="C37" s="6" t="s">
        <v>30</v>
      </c>
      <c r="D37" s="324"/>
      <c r="E37" s="276"/>
      <c r="F37" s="71"/>
    </row>
    <row r="38" spans="2:6">
      <c r="B38" s="104" t="s">
        <v>31</v>
      </c>
      <c r="C38" s="6" t="s">
        <v>32</v>
      </c>
      <c r="D38" s="324"/>
      <c r="E38" s="276"/>
      <c r="F38" s="71"/>
    </row>
    <row r="39" spans="2:6">
      <c r="B39" s="105" t="s">
        <v>33</v>
      </c>
      <c r="C39" s="12" t="s">
        <v>34</v>
      </c>
      <c r="D39" s="325"/>
      <c r="E39" s="277"/>
      <c r="F39" s="71"/>
    </row>
    <row r="40" spans="2:6" ht="13.5" thickBot="1">
      <c r="B40" s="97" t="s">
        <v>35</v>
      </c>
      <c r="C40" s="98" t="s">
        <v>36</v>
      </c>
      <c r="D40" s="326">
        <v>4458863.53</v>
      </c>
      <c r="E40" s="279">
        <v>660044.56000000006</v>
      </c>
    </row>
    <row r="41" spans="2:6" ht="13.5" thickBot="1">
      <c r="B41" s="99" t="s">
        <v>37</v>
      </c>
      <c r="C41" s="100" t="s">
        <v>38</v>
      </c>
      <c r="D41" s="327">
        <v>20469519.77</v>
      </c>
      <c r="E41" s="148">
        <f>E26+E27+E40</f>
        <v>20569987.079999998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8" customHeight="1" thickBot="1">
      <c r="B44" s="354" t="s">
        <v>121</v>
      </c>
      <c r="C44" s="358"/>
      <c r="D44" s="358"/>
      <c r="E44" s="358"/>
    </row>
    <row r="45" spans="2:6" ht="13.5" thickBot="1">
      <c r="B45" s="13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961663.54249999998</v>
      </c>
      <c r="E47" s="149">
        <v>881307.81790000002</v>
      </c>
    </row>
    <row r="48" spans="2:6">
      <c r="B48" s="123" t="s">
        <v>6</v>
      </c>
      <c r="C48" s="22" t="s">
        <v>41</v>
      </c>
      <c r="D48" s="200">
        <v>881307.81790000002</v>
      </c>
      <c r="E48" s="149">
        <v>856633.06259999995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02" t="s">
        <v>4</v>
      </c>
      <c r="C50" s="15" t="s">
        <v>40</v>
      </c>
      <c r="D50" s="200">
        <v>18.3537</v>
      </c>
      <c r="E50" s="149">
        <v>23.226299999999998</v>
      </c>
    </row>
    <row r="51" spans="2:5">
      <c r="B51" s="102" t="s">
        <v>6</v>
      </c>
      <c r="C51" s="15" t="s">
        <v>114</v>
      </c>
      <c r="D51" s="200">
        <v>18.3292</v>
      </c>
      <c r="E51" s="149">
        <v>21.341799999999999</v>
      </c>
    </row>
    <row r="52" spans="2:5">
      <c r="B52" s="102" t="s">
        <v>8</v>
      </c>
      <c r="C52" s="15" t="s">
        <v>115</v>
      </c>
      <c r="D52" s="200">
        <v>23.314399999999999</v>
      </c>
      <c r="E52" s="75">
        <v>24.155200000000001</v>
      </c>
    </row>
    <row r="53" spans="2:5" ht="13.5" customHeight="1" thickBot="1">
      <c r="B53" s="103" t="s">
        <v>9</v>
      </c>
      <c r="C53" s="17" t="s">
        <v>41</v>
      </c>
      <c r="D53" s="202">
        <v>23.226299999999998</v>
      </c>
      <c r="E53" s="280">
        <v>24.012599999999999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4.25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20569987.079999998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2.7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E12</f>
        <v>20569987.079999998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f>E17</f>
        <v>0</v>
      </c>
      <c r="E73" s="26">
        <f>D73/E21</f>
        <v>0</v>
      </c>
    </row>
    <row r="74" spans="2:5">
      <c r="B74" s="130" t="s">
        <v>64</v>
      </c>
      <c r="C74" s="121" t="s">
        <v>66</v>
      </c>
      <c r="D74" s="122">
        <f>D58-D73</f>
        <v>20569987.079999998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v>0</v>
      </c>
      <c r="E75" s="79">
        <v>0</v>
      </c>
    </row>
    <row r="76" spans="2:5">
      <c r="B76" s="102" t="s">
        <v>6</v>
      </c>
      <c r="C76" s="15" t="s">
        <v>119</v>
      </c>
      <c r="D76" s="78">
        <f>D74</f>
        <v>20569987.079999998</v>
      </c>
      <c r="E76" s="79">
        <f>E74</f>
        <v>1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1" right="0.75" top="0.68" bottom="0.65" header="0.5" footer="0.5"/>
  <pageSetup paperSize="9" scale="7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G81"/>
  <sheetViews>
    <sheetView zoomScale="80" zoomScaleNormal="80" workbookViewId="0">
      <selection activeCell="G16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85"/>
      <c r="C4" s="85"/>
      <c r="D4" s="85"/>
      <c r="E4" s="85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99</v>
      </c>
      <c r="C6" s="353"/>
      <c r="D6" s="353"/>
      <c r="E6" s="353"/>
    </row>
    <row r="7" spans="2:7" ht="14.25">
      <c r="B7" s="89"/>
      <c r="C7" s="89"/>
      <c r="D7" s="89"/>
      <c r="E7" s="8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226"/>
      <c r="C10" s="208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78462958.579999998</v>
      </c>
      <c r="E11" s="228">
        <f>SUM(E12:E14)</f>
        <v>84657160.230000004</v>
      </c>
    </row>
    <row r="12" spans="2:7">
      <c r="B12" s="173" t="s">
        <v>4</v>
      </c>
      <c r="C12" s="174" t="s">
        <v>5</v>
      </c>
      <c r="D12" s="241">
        <v>78311778.649999991</v>
      </c>
      <c r="E12" s="245">
        <f>85493859.47+373642.15-1324966.96</f>
        <v>84542534.660000011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>
        <v>151179.93</v>
      </c>
      <c r="E14" s="246">
        <f>E15</f>
        <v>114625.57</v>
      </c>
    </row>
    <row r="15" spans="2:7">
      <c r="B15" s="173" t="s">
        <v>106</v>
      </c>
      <c r="C15" s="175" t="s">
        <v>11</v>
      </c>
      <c r="D15" s="237">
        <v>151179.93</v>
      </c>
      <c r="E15" s="246">
        <v>114625.57</v>
      </c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>
        <v>33999.589999999997</v>
      </c>
      <c r="E17" s="248">
        <f>E18</f>
        <v>36427.96</v>
      </c>
    </row>
    <row r="18" spans="2:6">
      <c r="B18" s="173" t="s">
        <v>4</v>
      </c>
      <c r="C18" s="174" t="s">
        <v>11</v>
      </c>
      <c r="D18" s="239">
        <v>33999.589999999997</v>
      </c>
      <c r="E18" s="247">
        <v>36427.96</v>
      </c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78428958.989999995</v>
      </c>
      <c r="E21" s="148">
        <f>E11-E17</f>
        <v>84620732.270000011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3"/>
      <c r="D23" s="363"/>
      <c r="E23" s="363"/>
    </row>
    <row r="24" spans="2:6" ht="17.25" customHeight="1" thickBot="1">
      <c r="B24" s="354" t="s">
        <v>105</v>
      </c>
      <c r="C24" s="364"/>
      <c r="D24" s="364"/>
      <c r="E24" s="364"/>
    </row>
    <row r="25" spans="2:6" ht="13.5" thickBot="1">
      <c r="B25" s="86"/>
      <c r="C25" s="5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70485443.460000008</v>
      </c>
      <c r="E26" s="217">
        <f>D21</f>
        <v>78428958.989999995</v>
      </c>
    </row>
    <row r="27" spans="2:6">
      <c r="B27" s="9" t="s">
        <v>17</v>
      </c>
      <c r="C27" s="10" t="s">
        <v>111</v>
      </c>
      <c r="D27" s="323">
        <v>7104004.4799999818</v>
      </c>
      <c r="E27" s="274">
        <f>E28-E32</f>
        <v>5358876.26</v>
      </c>
      <c r="F27" s="71"/>
    </row>
    <row r="28" spans="2:6">
      <c r="B28" s="9" t="s">
        <v>18</v>
      </c>
      <c r="C28" s="10" t="s">
        <v>19</v>
      </c>
      <c r="D28" s="323">
        <v>20169527.18</v>
      </c>
      <c r="E28" s="275">
        <v>19972365.32</v>
      </c>
      <c r="F28" s="71"/>
    </row>
    <row r="29" spans="2:6">
      <c r="B29" s="104" t="s">
        <v>4</v>
      </c>
      <c r="C29" s="6" t="s">
        <v>20</v>
      </c>
      <c r="D29" s="324">
        <v>18003621.52</v>
      </c>
      <c r="E29" s="276">
        <v>17084236.140000001</v>
      </c>
      <c r="F29" s="71"/>
    </row>
    <row r="30" spans="2:6">
      <c r="B30" s="104" t="s">
        <v>6</v>
      </c>
      <c r="C30" s="6" t="s">
        <v>21</v>
      </c>
      <c r="D30" s="324"/>
      <c r="E30" s="276"/>
      <c r="F30" s="71"/>
    </row>
    <row r="31" spans="2:6">
      <c r="B31" s="104" t="s">
        <v>8</v>
      </c>
      <c r="C31" s="6" t="s">
        <v>22</v>
      </c>
      <c r="D31" s="324">
        <v>2165905.66</v>
      </c>
      <c r="E31" s="276">
        <v>2888129.1799999997</v>
      </c>
      <c r="F31" s="71"/>
    </row>
    <row r="32" spans="2:6">
      <c r="B32" s="92" t="s">
        <v>23</v>
      </c>
      <c r="C32" s="11" t="s">
        <v>24</v>
      </c>
      <c r="D32" s="323">
        <v>13065522.700000018</v>
      </c>
      <c r="E32" s="275">
        <f>SUM(E33:E39)</f>
        <v>14613489.060000001</v>
      </c>
      <c r="F32" s="71"/>
    </row>
    <row r="33" spans="2:6">
      <c r="B33" s="104" t="s">
        <v>4</v>
      </c>
      <c r="C33" s="6" t="s">
        <v>25</v>
      </c>
      <c r="D33" s="324">
        <v>10371900.58</v>
      </c>
      <c r="E33" s="276">
        <f>10891937.44-11108.04</f>
        <v>10880829.4</v>
      </c>
      <c r="F33" s="71"/>
    </row>
    <row r="34" spans="2:6">
      <c r="B34" s="104" t="s">
        <v>6</v>
      </c>
      <c r="C34" s="6" t="s">
        <v>26</v>
      </c>
      <c r="D34" s="324"/>
      <c r="E34" s="276"/>
      <c r="F34" s="71"/>
    </row>
    <row r="35" spans="2:6">
      <c r="B35" s="104" t="s">
        <v>8</v>
      </c>
      <c r="C35" s="6" t="s">
        <v>27</v>
      </c>
      <c r="D35" s="324">
        <v>1469200.1</v>
      </c>
      <c r="E35" s="276">
        <v>1492532.55</v>
      </c>
      <c r="F35" s="71"/>
    </row>
    <row r="36" spans="2:6">
      <c r="B36" s="104" t="s">
        <v>9</v>
      </c>
      <c r="C36" s="6" t="s">
        <v>28</v>
      </c>
      <c r="D36" s="324"/>
      <c r="E36" s="276"/>
      <c r="F36" s="71"/>
    </row>
    <row r="37" spans="2:6" ht="25.5">
      <c r="B37" s="104" t="s">
        <v>29</v>
      </c>
      <c r="C37" s="6" t="s">
        <v>30</v>
      </c>
      <c r="D37" s="324"/>
      <c r="E37" s="276"/>
      <c r="F37" s="71"/>
    </row>
    <row r="38" spans="2:6">
      <c r="B38" s="104" t="s">
        <v>31</v>
      </c>
      <c r="C38" s="6" t="s">
        <v>32</v>
      </c>
      <c r="D38" s="324"/>
      <c r="E38" s="276"/>
      <c r="F38" s="71"/>
    </row>
    <row r="39" spans="2:6">
      <c r="B39" s="105" t="s">
        <v>33</v>
      </c>
      <c r="C39" s="12" t="s">
        <v>34</v>
      </c>
      <c r="D39" s="325">
        <v>1224422.0200000179</v>
      </c>
      <c r="E39" s="277">
        <v>2240127.11</v>
      </c>
      <c r="F39" s="71"/>
    </row>
    <row r="40" spans="2:6" ht="13.5" thickBot="1">
      <c r="B40" s="97" t="s">
        <v>35</v>
      </c>
      <c r="C40" s="98" t="s">
        <v>36</v>
      </c>
      <c r="D40" s="326">
        <v>839511.05</v>
      </c>
      <c r="E40" s="279">
        <v>832897.02</v>
      </c>
    </row>
    <row r="41" spans="2:6" ht="13.5" thickBot="1">
      <c r="B41" s="99" t="s">
        <v>37</v>
      </c>
      <c r="C41" s="100" t="s">
        <v>38</v>
      </c>
      <c r="D41" s="327">
        <v>78428958.989999995</v>
      </c>
      <c r="E41" s="148">
        <f>E26+E27+E40</f>
        <v>84620732.269999996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7.25" customHeight="1" thickBot="1">
      <c r="B44" s="354" t="s">
        <v>121</v>
      </c>
      <c r="C44" s="358"/>
      <c r="D44" s="358"/>
      <c r="E44" s="358"/>
    </row>
    <row r="45" spans="2:6" ht="13.5" thickBot="1">
      <c r="B45" s="86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02" t="s">
        <v>4</v>
      </c>
      <c r="C47" s="15" t="s">
        <v>40</v>
      </c>
      <c r="D47" s="200">
        <v>6267415.9493199997</v>
      </c>
      <c r="E47" s="73">
        <v>6897366.5948000001</v>
      </c>
    </row>
    <row r="48" spans="2:6">
      <c r="B48" s="123" t="s">
        <v>6</v>
      </c>
      <c r="C48" s="22" t="s">
        <v>41</v>
      </c>
      <c r="D48" s="200">
        <v>6897366.5948000001</v>
      </c>
      <c r="E48" s="335">
        <v>7366784.1241999995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02" t="s">
        <v>4</v>
      </c>
      <c r="C50" s="15" t="s">
        <v>40</v>
      </c>
      <c r="D50" s="200">
        <v>11.2463324645959</v>
      </c>
      <c r="E50" s="73">
        <v>11.370900000000001</v>
      </c>
    </row>
    <row r="51" spans="2:5">
      <c r="B51" s="102" t="s">
        <v>6</v>
      </c>
      <c r="C51" s="15" t="s">
        <v>114</v>
      </c>
      <c r="D51" s="200">
        <v>11.2463</v>
      </c>
      <c r="E51" s="336">
        <v>11.3017</v>
      </c>
    </row>
    <row r="52" spans="2:5" ht="12.75" customHeight="1">
      <c r="B52" s="102" t="s">
        <v>8</v>
      </c>
      <c r="C52" s="15" t="s">
        <v>115</v>
      </c>
      <c r="D52" s="200">
        <v>11.3748</v>
      </c>
      <c r="E52" s="336">
        <v>11.4994</v>
      </c>
    </row>
    <row r="53" spans="2:5" ht="13.5" thickBot="1">
      <c r="B53" s="103" t="s">
        <v>9</v>
      </c>
      <c r="C53" s="17" t="s">
        <v>41</v>
      </c>
      <c r="D53" s="202">
        <v>11.370900000000001</v>
      </c>
      <c r="E53" s="337">
        <v>11.486800000000001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6.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SUM(D59:D70)</f>
        <v>84542534.660000011</v>
      </c>
      <c r="E58" s="31">
        <f>D58/E21</f>
        <v>0.9990759048296759</v>
      </c>
    </row>
    <row r="59" spans="2:5" ht="25.5">
      <c r="B59" s="21" t="s">
        <v>4</v>
      </c>
      <c r="C59" s="22" t="s">
        <v>44</v>
      </c>
      <c r="D59" s="80">
        <v>0</v>
      </c>
      <c r="E59" s="81">
        <v>0</v>
      </c>
    </row>
    <row r="60" spans="2:5" ht="24" customHeight="1">
      <c r="B60" s="14" t="s">
        <v>6</v>
      </c>
      <c r="C60" s="15" t="s">
        <v>45</v>
      </c>
      <c r="D60" s="78">
        <v>0</v>
      </c>
      <c r="E60" s="79">
        <v>0</v>
      </c>
    </row>
    <row r="61" spans="2:5">
      <c r="B61" s="14" t="s">
        <v>8</v>
      </c>
      <c r="C61" s="15" t="s">
        <v>46</v>
      </c>
      <c r="D61" s="78">
        <v>0</v>
      </c>
      <c r="E61" s="79">
        <v>0</v>
      </c>
    </row>
    <row r="62" spans="2:5">
      <c r="B62" s="14" t="s">
        <v>9</v>
      </c>
      <c r="C62" s="15" t="s">
        <v>47</v>
      </c>
      <c r="D62" s="78">
        <v>0</v>
      </c>
      <c r="E62" s="79">
        <v>0</v>
      </c>
    </row>
    <row r="63" spans="2:5">
      <c r="B63" s="14" t="s">
        <v>29</v>
      </c>
      <c r="C63" s="15" t="s">
        <v>48</v>
      </c>
      <c r="D63" s="78">
        <v>0</v>
      </c>
      <c r="E63" s="79">
        <v>0</v>
      </c>
    </row>
    <row r="64" spans="2:5">
      <c r="B64" s="21" t="s">
        <v>31</v>
      </c>
      <c r="C64" s="22" t="s">
        <v>49</v>
      </c>
      <c r="D64" s="234">
        <v>84168892.510000005</v>
      </c>
      <c r="E64" s="81">
        <f>D64/E21</f>
        <v>0.99466041302315467</v>
      </c>
    </row>
    <row r="65" spans="2:5">
      <c r="B65" s="21" t="s">
        <v>33</v>
      </c>
      <c r="C65" s="22" t="s">
        <v>118</v>
      </c>
      <c r="D65" s="80">
        <v>0</v>
      </c>
      <c r="E65" s="81">
        <v>0</v>
      </c>
    </row>
    <row r="66" spans="2:5">
      <c r="B66" s="21" t="s">
        <v>50</v>
      </c>
      <c r="C66" s="22" t="s">
        <v>51</v>
      </c>
      <c r="D66" s="80">
        <v>0</v>
      </c>
      <c r="E66" s="81">
        <v>0</v>
      </c>
    </row>
    <row r="67" spans="2:5">
      <c r="B67" s="14" t="s">
        <v>52</v>
      </c>
      <c r="C67" s="15" t="s">
        <v>53</v>
      </c>
      <c r="D67" s="78">
        <v>0</v>
      </c>
      <c r="E67" s="79">
        <v>0</v>
      </c>
    </row>
    <row r="68" spans="2:5">
      <c r="B68" s="14" t="s">
        <v>54</v>
      </c>
      <c r="C68" s="15" t="s">
        <v>55</v>
      </c>
      <c r="D68" s="78">
        <v>0</v>
      </c>
      <c r="E68" s="79">
        <v>0</v>
      </c>
    </row>
    <row r="69" spans="2:5">
      <c r="B69" s="14" t="s">
        <v>56</v>
      </c>
      <c r="C69" s="15" t="s">
        <v>57</v>
      </c>
      <c r="D69" s="302">
        <v>373642.15</v>
      </c>
      <c r="E69" s="79">
        <f>D69/E21</f>
        <v>4.4154918065210918E-3</v>
      </c>
    </row>
    <row r="70" spans="2:5">
      <c r="B70" s="112" t="s">
        <v>58</v>
      </c>
      <c r="C70" s="113" t="s">
        <v>59</v>
      </c>
      <c r="D70" s="114">
        <v>0</v>
      </c>
      <c r="E70" s="115">
        <v>0</v>
      </c>
    </row>
    <row r="71" spans="2:5">
      <c r="B71" s="120" t="s">
        <v>23</v>
      </c>
      <c r="C71" s="121" t="s">
        <v>61</v>
      </c>
      <c r="D71" s="122">
        <f>E13</f>
        <v>0</v>
      </c>
      <c r="E71" s="66">
        <v>0</v>
      </c>
    </row>
    <row r="72" spans="2:5">
      <c r="B72" s="116" t="s">
        <v>60</v>
      </c>
      <c r="C72" s="117" t="s">
        <v>63</v>
      </c>
      <c r="D72" s="118">
        <f>E14</f>
        <v>114625.57</v>
      </c>
      <c r="E72" s="119">
        <f>D72/E21</f>
        <v>1.3545802184063277E-3</v>
      </c>
    </row>
    <row r="73" spans="2:5">
      <c r="B73" s="23" t="s">
        <v>62</v>
      </c>
      <c r="C73" s="24" t="s">
        <v>65</v>
      </c>
      <c r="D73" s="25">
        <f>E17</f>
        <v>36427.96</v>
      </c>
      <c r="E73" s="26">
        <f>D73/E21</f>
        <v>4.3048504808217722E-4</v>
      </c>
    </row>
    <row r="74" spans="2:5">
      <c r="B74" s="120" t="s">
        <v>64</v>
      </c>
      <c r="C74" s="121" t="s">
        <v>66</v>
      </c>
      <c r="D74" s="122">
        <f>D58+D71+D72-D73</f>
        <v>84620732.270000011</v>
      </c>
      <c r="E74" s="66">
        <f>E58+E72-E73</f>
        <v>1.0000000000000002</v>
      </c>
    </row>
    <row r="75" spans="2:5">
      <c r="B75" s="14" t="s">
        <v>4</v>
      </c>
      <c r="C75" s="15" t="s">
        <v>67</v>
      </c>
      <c r="D75" s="78">
        <f>D74</f>
        <v>84620732.270000011</v>
      </c>
      <c r="E75" s="79">
        <f>E74</f>
        <v>1.0000000000000002</v>
      </c>
    </row>
    <row r="76" spans="2:5">
      <c r="B76" s="14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6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" right="0.75" top="0.61" bottom="0.55000000000000004" header="0.5" footer="0.5"/>
  <pageSetup paperSize="9" scale="70" orientation="portrait" r:id="rId1"/>
  <headerFooter alignWithMargins="0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6"/>
  <dimension ref="A1:G81"/>
  <sheetViews>
    <sheetView zoomScale="80" zoomScaleNormal="80" workbookViewId="0">
      <selection activeCell="G13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38"/>
      <c r="C4" s="138"/>
      <c r="D4" s="138"/>
      <c r="E4" s="138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83</v>
      </c>
      <c r="C6" s="353"/>
      <c r="D6" s="353"/>
      <c r="E6" s="353"/>
    </row>
    <row r="7" spans="2:7" ht="14.25">
      <c r="B7" s="136"/>
      <c r="C7" s="136"/>
      <c r="D7" s="136"/>
      <c r="E7" s="136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37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26495747.399999999</v>
      </c>
      <c r="E11" s="228">
        <f>SUM(E12:E14)</f>
        <v>25815889.300000001</v>
      </c>
    </row>
    <row r="12" spans="2:7">
      <c r="B12" s="173" t="s">
        <v>4</v>
      </c>
      <c r="C12" s="174" t="s">
        <v>5</v>
      </c>
      <c r="D12" s="241">
        <v>26495747.399999999</v>
      </c>
      <c r="E12" s="245">
        <v>25815889.300000001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26495747.399999999</v>
      </c>
      <c r="E21" s="148">
        <f>E11-E17</f>
        <v>25815889.300000001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21472235.779999997</v>
      </c>
      <c r="E26" s="217">
        <f>D21</f>
        <v>26495747.399999999</v>
      </c>
    </row>
    <row r="27" spans="2:6">
      <c r="B27" s="9" t="s">
        <v>17</v>
      </c>
      <c r="C27" s="10" t="s">
        <v>111</v>
      </c>
      <c r="D27" s="323">
        <v>-812558.14000000013</v>
      </c>
      <c r="E27" s="274">
        <v>-1478707.66</v>
      </c>
      <c r="F27" s="71"/>
    </row>
    <row r="28" spans="2:6">
      <c r="B28" s="9" t="s">
        <v>18</v>
      </c>
      <c r="C28" s="10" t="s">
        <v>19</v>
      </c>
      <c r="D28" s="323">
        <v>1987289.98</v>
      </c>
      <c r="E28" s="275">
        <v>1740698.82</v>
      </c>
      <c r="F28" s="71"/>
    </row>
    <row r="29" spans="2:6">
      <c r="B29" s="181" t="s">
        <v>4</v>
      </c>
      <c r="C29" s="174" t="s">
        <v>20</v>
      </c>
      <c r="D29" s="324">
        <v>1987289.98</v>
      </c>
      <c r="E29" s="276">
        <v>1740698.82</v>
      </c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2799848.12</v>
      </c>
      <c r="E32" s="275">
        <v>3219406.48</v>
      </c>
      <c r="F32" s="71"/>
    </row>
    <row r="33" spans="2:6">
      <c r="B33" s="181" t="s">
        <v>4</v>
      </c>
      <c r="C33" s="174" t="s">
        <v>25</v>
      </c>
      <c r="D33" s="324">
        <v>2799848.12</v>
      </c>
      <c r="E33" s="276">
        <f>3219411.44-4.96</f>
        <v>3219406.48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/>
      <c r="E35" s="276"/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/>
      <c r="E37" s="276"/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/>
      <c r="F39" s="71"/>
    </row>
    <row r="40" spans="2:6" ht="13.5" thickBot="1">
      <c r="B40" s="97" t="s">
        <v>35</v>
      </c>
      <c r="C40" s="98" t="s">
        <v>36</v>
      </c>
      <c r="D40" s="326">
        <v>5836069.7599999998</v>
      </c>
      <c r="E40" s="279">
        <v>798849.56</v>
      </c>
    </row>
    <row r="41" spans="2:6" ht="13.5" thickBot="1">
      <c r="B41" s="99" t="s">
        <v>37</v>
      </c>
      <c r="C41" s="100" t="s">
        <v>38</v>
      </c>
      <c r="D41" s="327">
        <v>26495747.399999999</v>
      </c>
      <c r="E41" s="148">
        <f>E26+E27+E40</f>
        <v>25815889.299999997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344">
        <v>1117798.3581000001</v>
      </c>
      <c r="E47" s="149">
        <v>1081657.7492</v>
      </c>
    </row>
    <row r="48" spans="2:6">
      <c r="B48" s="186" t="s">
        <v>6</v>
      </c>
      <c r="C48" s="187" t="s">
        <v>41</v>
      </c>
      <c r="D48" s="344">
        <v>1081657.7492</v>
      </c>
      <c r="E48" s="149">
        <v>1019915.1899</v>
      </c>
    </row>
    <row r="49" spans="2:5">
      <c r="B49" s="120" t="s">
        <v>23</v>
      </c>
      <c r="C49" s="124" t="s">
        <v>113</v>
      </c>
      <c r="D49" s="345"/>
      <c r="E49" s="149"/>
    </row>
    <row r="50" spans="2:5">
      <c r="B50" s="184" t="s">
        <v>4</v>
      </c>
      <c r="C50" s="185" t="s">
        <v>40</v>
      </c>
      <c r="D50" s="344">
        <v>19.209399999999999</v>
      </c>
      <c r="E50" s="149">
        <v>24.4955</v>
      </c>
    </row>
    <row r="51" spans="2:5">
      <c r="B51" s="184" t="s">
        <v>6</v>
      </c>
      <c r="C51" s="185" t="s">
        <v>114</v>
      </c>
      <c r="D51" s="344">
        <v>19.1859</v>
      </c>
      <c r="E51" s="75">
        <v>22.2988</v>
      </c>
    </row>
    <row r="52" spans="2:5">
      <c r="B52" s="184" t="s">
        <v>8</v>
      </c>
      <c r="C52" s="185" t="s">
        <v>115</v>
      </c>
      <c r="D52" s="344">
        <v>24.590299999999999</v>
      </c>
      <c r="E52" s="75">
        <v>25.5197</v>
      </c>
    </row>
    <row r="53" spans="2:5" ht="13.5" customHeight="1" thickBot="1">
      <c r="B53" s="188" t="s">
        <v>9</v>
      </c>
      <c r="C53" s="189" t="s">
        <v>41</v>
      </c>
      <c r="D53" s="346">
        <v>24.4955</v>
      </c>
      <c r="E53" s="280">
        <v>25.311800000000002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7.2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25815889.300000001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3.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25815889.300000001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25815889.300000001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v>0</v>
      </c>
      <c r="E75" s="79">
        <v>0</v>
      </c>
    </row>
    <row r="76" spans="2:5">
      <c r="B76" s="102" t="s">
        <v>6</v>
      </c>
      <c r="C76" s="15" t="s">
        <v>119</v>
      </c>
      <c r="D76" s="78">
        <f>D74</f>
        <v>25815889.300000001</v>
      </c>
      <c r="E76" s="79">
        <f>E74</f>
        <v>1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1" right="0.75" top="0.56999999999999995" bottom="0.55000000000000004" header="0.5" footer="0.5"/>
  <pageSetup paperSize="9" scale="70" orientation="portrait" r:id="rId1"/>
  <headerFooter alignWithMargins="0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7"/>
  <dimension ref="A1:G81"/>
  <sheetViews>
    <sheetView zoomScale="80" zoomScaleNormal="80" workbookViewId="0">
      <selection activeCell="G13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38"/>
      <c r="C4" s="138"/>
      <c r="D4" s="138"/>
      <c r="E4" s="138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183</v>
      </c>
      <c r="C6" s="353"/>
      <c r="D6" s="353"/>
      <c r="E6" s="353"/>
    </row>
    <row r="7" spans="2:7" ht="14.25">
      <c r="B7" s="136"/>
      <c r="C7" s="136"/>
      <c r="D7" s="136"/>
      <c r="E7" s="136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37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1782520.5999999999</v>
      </c>
      <c r="E11" s="228">
        <f>SUM(E12:E14)</f>
        <v>1173730.01</v>
      </c>
    </row>
    <row r="12" spans="2:7">
      <c r="B12" s="173" t="s">
        <v>4</v>
      </c>
      <c r="C12" s="174" t="s">
        <v>5</v>
      </c>
      <c r="D12" s="241">
        <v>1782520.5999999999</v>
      </c>
      <c r="E12" s="245">
        <v>1173730.01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1782520.5999999999</v>
      </c>
      <c r="E21" s="148">
        <f>E11-E17</f>
        <v>1173730.01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2352660.69</v>
      </c>
      <c r="E26" s="217">
        <f>D21</f>
        <v>1782520.5999999999</v>
      </c>
    </row>
    <row r="27" spans="2:6">
      <c r="B27" s="9" t="s">
        <v>17</v>
      </c>
      <c r="C27" s="10" t="s">
        <v>111</v>
      </c>
      <c r="D27" s="323">
        <v>-596494.48</v>
      </c>
      <c r="E27" s="274">
        <f>E28-E32</f>
        <v>-504047.03000000009</v>
      </c>
      <c r="F27" s="71"/>
    </row>
    <row r="28" spans="2:6">
      <c r="B28" s="9" t="s">
        <v>18</v>
      </c>
      <c r="C28" s="10" t="s">
        <v>19</v>
      </c>
      <c r="D28" s="323">
        <v>33466.85</v>
      </c>
      <c r="E28" s="275">
        <v>106196.54999999999</v>
      </c>
      <c r="F28" s="71"/>
    </row>
    <row r="29" spans="2:6">
      <c r="B29" s="181" t="s">
        <v>4</v>
      </c>
      <c r="C29" s="174" t="s">
        <v>20</v>
      </c>
      <c r="D29" s="324">
        <v>33228.17</v>
      </c>
      <c r="E29" s="276">
        <v>26441.87</v>
      </c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>
        <v>238.68</v>
      </c>
      <c r="E31" s="276">
        <v>79754.679999999993</v>
      </c>
      <c r="F31" s="71"/>
    </row>
    <row r="32" spans="2:6">
      <c r="B32" s="92" t="s">
        <v>23</v>
      </c>
      <c r="C32" s="11" t="s">
        <v>24</v>
      </c>
      <c r="D32" s="323">
        <v>629961.32999999996</v>
      </c>
      <c r="E32" s="275">
        <f>SUM(E33:E39)</f>
        <v>610243.58000000007</v>
      </c>
      <c r="F32" s="71"/>
    </row>
    <row r="33" spans="2:6">
      <c r="B33" s="181" t="s">
        <v>4</v>
      </c>
      <c r="C33" s="174" t="s">
        <v>25</v>
      </c>
      <c r="D33" s="324">
        <v>392657.70999999996</v>
      </c>
      <c r="E33" s="276">
        <f>133799.14+2427.35</f>
        <v>136226.49000000002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6949.63</v>
      </c>
      <c r="E35" s="276">
        <v>3930.11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33998.6</v>
      </c>
      <c r="E37" s="276">
        <v>18579.900000000001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>
        <v>196355.39</v>
      </c>
      <c r="E39" s="277">
        <v>451507.08</v>
      </c>
      <c r="F39" s="71"/>
    </row>
    <row r="40" spans="2:6" ht="13.5" thickBot="1">
      <c r="B40" s="97" t="s">
        <v>35</v>
      </c>
      <c r="C40" s="98" t="s">
        <v>36</v>
      </c>
      <c r="D40" s="326">
        <v>26354.39</v>
      </c>
      <c r="E40" s="279">
        <v>-104743.56</v>
      </c>
    </row>
    <row r="41" spans="2:6" ht="13.5" thickBot="1">
      <c r="B41" s="99" t="s">
        <v>37</v>
      </c>
      <c r="C41" s="100" t="s">
        <v>38</v>
      </c>
      <c r="D41" s="327">
        <v>1782520.5999999999</v>
      </c>
      <c r="E41" s="148">
        <f>E26+E27+E40</f>
        <v>1173730.0099999998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7814.0716000000002</v>
      </c>
      <c r="E47" s="149">
        <v>5862.2047869999997</v>
      </c>
    </row>
    <row r="48" spans="2:6">
      <c r="B48" s="186" t="s">
        <v>6</v>
      </c>
      <c r="C48" s="187" t="s">
        <v>41</v>
      </c>
      <c r="D48" s="200">
        <v>5862.2047869999997</v>
      </c>
      <c r="E48" s="149">
        <v>3599.736285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84" t="s">
        <v>4</v>
      </c>
      <c r="C50" s="185" t="s">
        <v>40</v>
      </c>
      <c r="D50" s="200">
        <v>301.08</v>
      </c>
      <c r="E50" s="149">
        <v>304.07</v>
      </c>
    </row>
    <row r="51" spans="2:5">
      <c r="B51" s="184" t="s">
        <v>6</v>
      </c>
      <c r="C51" s="185" t="s">
        <v>114</v>
      </c>
      <c r="D51" s="200">
        <v>291.20999999999998</v>
      </c>
      <c r="E51" s="75">
        <v>207.64</v>
      </c>
    </row>
    <row r="52" spans="2:5">
      <c r="B52" s="184" t="s">
        <v>8</v>
      </c>
      <c r="C52" s="185" t="s">
        <v>115</v>
      </c>
      <c r="D52" s="200">
        <v>318.66000000000003</v>
      </c>
      <c r="E52" s="75">
        <v>328.61</v>
      </c>
    </row>
    <row r="53" spans="2:5" ht="13.5" customHeight="1" thickBot="1">
      <c r="B53" s="188" t="s">
        <v>9</v>
      </c>
      <c r="C53" s="189" t="s">
        <v>41</v>
      </c>
      <c r="D53" s="202">
        <v>304.07</v>
      </c>
      <c r="E53" s="280">
        <v>326.06</v>
      </c>
    </row>
    <row r="54" spans="2:5">
      <c r="B54" s="109"/>
      <c r="C54" s="110"/>
      <c r="D54" s="111"/>
      <c r="E54" s="199"/>
    </row>
    <row r="55" spans="2:5" ht="13.5">
      <c r="B55" s="356" t="s">
        <v>62</v>
      </c>
      <c r="C55" s="357"/>
      <c r="D55" s="357"/>
      <c r="E55" s="357"/>
    </row>
    <row r="56" spans="2:5" ht="18.7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1173730.01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2.7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1173730.01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1173730.01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1173730.01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" right="0.75" top="0.65" bottom="0.33" header="0.5" footer="0.5"/>
  <pageSetup paperSize="9" scale="70" orientation="portrait" r:id="rId1"/>
  <headerFooter alignWithMargins="0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8"/>
  <dimension ref="A1:F81"/>
  <sheetViews>
    <sheetView zoomScale="80" zoomScaleNormal="80" workbookViewId="0">
      <selection activeCell="G16" sqref="G1:L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1" t="s">
        <v>0</v>
      </c>
      <c r="C2" s="351"/>
      <c r="D2" s="351"/>
      <c r="E2" s="351"/>
    </row>
    <row r="3" spans="2:5" ht="15.75">
      <c r="B3" s="351" t="s">
        <v>271</v>
      </c>
      <c r="C3" s="351"/>
      <c r="D3" s="351"/>
      <c r="E3" s="351"/>
    </row>
    <row r="4" spans="2:5" ht="15">
      <c r="B4" s="138"/>
      <c r="C4" s="138"/>
      <c r="D4" s="138"/>
      <c r="E4" s="138"/>
    </row>
    <row r="5" spans="2:5" ht="21" customHeight="1">
      <c r="B5" s="352" t="s">
        <v>1</v>
      </c>
      <c r="C5" s="352"/>
      <c r="D5" s="352"/>
      <c r="E5" s="352"/>
    </row>
    <row r="6" spans="2:5" ht="14.25">
      <c r="B6" s="353" t="s">
        <v>184</v>
      </c>
      <c r="C6" s="353"/>
      <c r="D6" s="353"/>
      <c r="E6" s="353"/>
    </row>
    <row r="7" spans="2:5" ht="14.25">
      <c r="B7" s="136"/>
      <c r="C7" s="136"/>
      <c r="D7" s="136"/>
      <c r="E7" s="136"/>
    </row>
    <row r="8" spans="2:5" ht="13.5">
      <c r="B8" s="355" t="s">
        <v>18</v>
      </c>
      <c r="C8" s="357"/>
      <c r="D8" s="357"/>
      <c r="E8" s="357"/>
    </row>
    <row r="9" spans="2:5" ht="16.5" thickBot="1">
      <c r="B9" s="354" t="s">
        <v>103</v>
      </c>
      <c r="C9" s="354"/>
      <c r="D9" s="354"/>
      <c r="E9" s="354"/>
    </row>
    <row r="10" spans="2:5" ht="13.5" thickBot="1">
      <c r="B10" s="137"/>
      <c r="C10" s="76" t="s">
        <v>2</v>
      </c>
      <c r="D10" s="70" t="s">
        <v>245</v>
      </c>
      <c r="E10" s="255" t="s">
        <v>265</v>
      </c>
    </row>
    <row r="11" spans="2:5">
      <c r="B11" s="90" t="s">
        <v>3</v>
      </c>
      <c r="C11" s="128" t="s">
        <v>109</v>
      </c>
      <c r="D11" s="227">
        <v>1076420.6200000001</v>
      </c>
      <c r="E11" s="228">
        <f>SUM(E12:E14)</f>
        <v>1042910.51</v>
      </c>
    </row>
    <row r="12" spans="2:5">
      <c r="B12" s="173" t="s">
        <v>4</v>
      </c>
      <c r="C12" s="174" t="s">
        <v>5</v>
      </c>
      <c r="D12" s="241">
        <v>1076420.6200000001</v>
      </c>
      <c r="E12" s="245">
        <v>1042910.51</v>
      </c>
    </row>
    <row r="13" spans="2:5">
      <c r="B13" s="173" t="s">
        <v>6</v>
      </c>
      <c r="C13" s="175" t="s">
        <v>7</v>
      </c>
      <c r="D13" s="237"/>
      <c r="E13" s="246"/>
    </row>
    <row r="14" spans="2:5">
      <c r="B14" s="173" t="s">
        <v>8</v>
      </c>
      <c r="C14" s="175" t="s">
        <v>10</v>
      </c>
      <c r="D14" s="237"/>
      <c r="E14" s="246"/>
    </row>
    <row r="15" spans="2:5">
      <c r="B15" s="173" t="s">
        <v>106</v>
      </c>
      <c r="C15" s="175" t="s">
        <v>11</v>
      </c>
      <c r="D15" s="237"/>
      <c r="E15" s="246"/>
    </row>
    <row r="16" spans="2:5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1076420.6200000001</v>
      </c>
      <c r="E21" s="148">
        <f>E11-E17</f>
        <v>1042910.51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830081.62</v>
      </c>
      <c r="E26" s="217">
        <f>D21</f>
        <v>1076420.6200000001</v>
      </c>
    </row>
    <row r="27" spans="2:6">
      <c r="B27" s="9" t="s">
        <v>17</v>
      </c>
      <c r="C27" s="10" t="s">
        <v>111</v>
      </c>
      <c r="D27" s="323">
        <v>-182563.1</v>
      </c>
      <c r="E27" s="274">
        <f>E28-E32</f>
        <v>-115356.79000000004</v>
      </c>
      <c r="F27" s="71"/>
    </row>
    <row r="28" spans="2:6">
      <c r="B28" s="9" t="s">
        <v>18</v>
      </c>
      <c r="C28" s="10" t="s">
        <v>19</v>
      </c>
      <c r="D28" s="323">
        <v>7535954.9799999995</v>
      </c>
      <c r="E28" s="275">
        <v>683788.3</v>
      </c>
      <c r="F28" s="71"/>
    </row>
    <row r="29" spans="2:6">
      <c r="B29" s="181" t="s">
        <v>4</v>
      </c>
      <c r="C29" s="174" t="s">
        <v>20</v>
      </c>
      <c r="D29" s="324">
        <v>12741.67</v>
      </c>
      <c r="E29" s="276">
        <v>22801.19</v>
      </c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>
        <v>7523213.3099999996</v>
      </c>
      <c r="E31" s="276">
        <v>660987.11</v>
      </c>
      <c r="F31" s="71"/>
    </row>
    <row r="32" spans="2:6">
      <c r="B32" s="92" t="s">
        <v>23</v>
      </c>
      <c r="C32" s="11" t="s">
        <v>24</v>
      </c>
      <c r="D32" s="323">
        <v>7718518.0800000001</v>
      </c>
      <c r="E32" s="275">
        <f>SUM(E33:E39)</f>
        <v>799145.09000000008</v>
      </c>
      <c r="F32" s="71"/>
    </row>
    <row r="33" spans="2:6">
      <c r="B33" s="181" t="s">
        <v>4</v>
      </c>
      <c r="C33" s="174" t="s">
        <v>25</v>
      </c>
      <c r="D33" s="324">
        <v>7453759.4400000004</v>
      </c>
      <c r="E33" s="276">
        <f>254915.85+1726.09</f>
        <v>256641.94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4532.2299999999996</v>
      </c>
      <c r="E35" s="276">
        <v>5248.31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86025.18</v>
      </c>
      <c r="E37" s="276">
        <v>15154.95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>
        <v>174201.23</v>
      </c>
      <c r="E39" s="277">
        <v>522099.89</v>
      </c>
      <c r="F39" s="71"/>
    </row>
    <row r="40" spans="2:6" ht="13.5" thickBot="1">
      <c r="B40" s="97" t="s">
        <v>35</v>
      </c>
      <c r="C40" s="98" t="s">
        <v>36</v>
      </c>
      <c r="D40" s="326">
        <v>428902.1</v>
      </c>
      <c r="E40" s="279">
        <v>81846.679999999993</v>
      </c>
    </row>
    <row r="41" spans="2:6" ht="13.5" thickBot="1">
      <c r="B41" s="99" t="s">
        <v>37</v>
      </c>
      <c r="C41" s="100" t="s">
        <v>38</v>
      </c>
      <c r="D41" s="327">
        <v>1076420.6200000001</v>
      </c>
      <c r="E41" s="148">
        <f>E26+E27+E40</f>
        <v>1042910.51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2669.4160999999999</v>
      </c>
      <c r="E47" s="149">
        <v>3294.6272800000002</v>
      </c>
    </row>
    <row r="48" spans="2:6">
      <c r="B48" s="186" t="s">
        <v>6</v>
      </c>
      <c r="C48" s="187" t="s">
        <v>41</v>
      </c>
      <c r="D48" s="200">
        <v>3294.6272800000002</v>
      </c>
      <c r="E48" s="149">
        <v>2958.8631810000002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84" t="s">
        <v>4</v>
      </c>
      <c r="C50" s="185" t="s">
        <v>40</v>
      </c>
      <c r="D50" s="200">
        <v>310.95999999999998</v>
      </c>
      <c r="E50" s="149">
        <v>326.72000000000003</v>
      </c>
    </row>
    <row r="51" spans="2:5">
      <c r="B51" s="184" t="s">
        <v>6</v>
      </c>
      <c r="C51" s="185" t="s">
        <v>114</v>
      </c>
      <c r="D51" s="200">
        <v>310.79000000000002</v>
      </c>
      <c r="E51" s="75">
        <v>325.04000000000002</v>
      </c>
    </row>
    <row r="52" spans="2:5">
      <c r="B52" s="184" t="s">
        <v>8</v>
      </c>
      <c r="C52" s="185" t="s">
        <v>115</v>
      </c>
      <c r="D52" s="200">
        <v>328.76</v>
      </c>
      <c r="E52" s="75">
        <v>352.79</v>
      </c>
    </row>
    <row r="53" spans="2:5" ht="12.75" customHeight="1" thickBot="1">
      <c r="B53" s="188" t="s">
        <v>9</v>
      </c>
      <c r="C53" s="189" t="s">
        <v>41</v>
      </c>
      <c r="D53" s="202">
        <v>326.72000000000003</v>
      </c>
      <c r="E53" s="280">
        <v>352.47</v>
      </c>
    </row>
    <row r="54" spans="2:5">
      <c r="B54" s="109"/>
      <c r="C54" s="110"/>
      <c r="D54" s="111"/>
      <c r="E54" s="199"/>
    </row>
    <row r="55" spans="2:5" ht="13.5">
      <c r="B55" s="356" t="s">
        <v>62</v>
      </c>
      <c r="C55" s="357"/>
      <c r="D55" s="357"/>
      <c r="E55" s="357"/>
    </row>
    <row r="56" spans="2:5" ht="17.2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1042910.51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2.7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1042910.51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1042910.51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1042910.51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6999999999999995" right="0.75" top="0.61" bottom="0.6" header="0.5" footer="0.5"/>
  <pageSetup paperSize="9" scale="70" orientation="portrait" r:id="rId1"/>
  <headerFooter alignWithMargins="0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9"/>
  <dimension ref="A1:G81"/>
  <sheetViews>
    <sheetView zoomScale="80" zoomScaleNormal="80" workbookViewId="0">
      <selection activeCell="G19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38"/>
      <c r="C4" s="138"/>
      <c r="D4" s="138"/>
      <c r="E4" s="138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240</v>
      </c>
      <c r="C6" s="353"/>
      <c r="D6" s="353"/>
      <c r="E6" s="353"/>
    </row>
    <row r="7" spans="2:7" ht="14.25">
      <c r="B7" s="136"/>
      <c r="C7" s="136"/>
      <c r="D7" s="136"/>
      <c r="E7" s="136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37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16385.25</v>
      </c>
      <c r="E11" s="228">
        <f>SUM(E12:E14)</f>
        <v>16257.28</v>
      </c>
    </row>
    <row r="12" spans="2:7">
      <c r="B12" s="173" t="s">
        <v>4</v>
      </c>
      <c r="C12" s="174" t="s">
        <v>5</v>
      </c>
      <c r="D12" s="241">
        <v>16385.25</v>
      </c>
      <c r="E12" s="245">
        <v>16257.28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16385.25</v>
      </c>
      <c r="E21" s="148">
        <f>E11-E17</f>
        <v>16257.28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105306.51999999999</v>
      </c>
      <c r="E26" s="217">
        <f>D21</f>
        <v>16385.25</v>
      </c>
    </row>
    <row r="27" spans="2:6">
      <c r="B27" s="9" t="s">
        <v>17</v>
      </c>
      <c r="C27" s="10" t="s">
        <v>111</v>
      </c>
      <c r="D27" s="323">
        <v>-89355.510000000009</v>
      </c>
      <c r="E27" s="274">
        <f>E28-E32</f>
        <v>-2390.7999999999997</v>
      </c>
      <c r="F27" s="71"/>
    </row>
    <row r="28" spans="2:6">
      <c r="B28" s="9" t="s">
        <v>18</v>
      </c>
      <c r="C28" s="10" t="s">
        <v>19</v>
      </c>
      <c r="D28" s="323">
        <v>5354.81</v>
      </c>
      <c r="E28" s="275">
        <v>1283.9000000000001</v>
      </c>
      <c r="F28" s="71"/>
    </row>
    <row r="29" spans="2:6">
      <c r="B29" s="181" t="s">
        <v>4</v>
      </c>
      <c r="C29" s="174" t="s">
        <v>20</v>
      </c>
      <c r="D29" s="324">
        <v>5354.81</v>
      </c>
      <c r="E29" s="276">
        <v>1283.9000000000001</v>
      </c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94710.32</v>
      </c>
      <c r="E32" s="275">
        <f>SUM(E33:E39)</f>
        <v>3674.7</v>
      </c>
      <c r="F32" s="71"/>
    </row>
    <row r="33" spans="2:6">
      <c r="B33" s="181" t="s">
        <v>4</v>
      </c>
      <c r="C33" s="174" t="s">
        <v>25</v>
      </c>
      <c r="D33" s="324">
        <v>92667.48</v>
      </c>
      <c r="E33" s="276">
        <f>1170.32+214.44</f>
        <v>1384.76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218.13</v>
      </c>
      <c r="E35" s="276">
        <v>134.74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1824.71</v>
      </c>
      <c r="E37" s="276">
        <v>152.11000000000001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>
        <v>2003.09</v>
      </c>
      <c r="F39" s="71"/>
    </row>
    <row r="40" spans="2:6" ht="13.5" thickBot="1">
      <c r="B40" s="97" t="s">
        <v>35</v>
      </c>
      <c r="C40" s="98" t="s">
        <v>36</v>
      </c>
      <c r="D40" s="326">
        <v>434.24</v>
      </c>
      <c r="E40" s="279">
        <v>2262.83</v>
      </c>
    </row>
    <row r="41" spans="2:6" ht="13.5" thickBot="1">
      <c r="B41" s="99" t="s">
        <v>37</v>
      </c>
      <c r="C41" s="100" t="s">
        <v>38</v>
      </c>
      <c r="D41" s="327">
        <v>16385.249999999982</v>
      </c>
      <c r="E41" s="148">
        <f>E26+E27+E40</f>
        <v>16257.28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750.90216999999996</v>
      </c>
      <c r="E47" s="149">
        <v>113.62861700000001</v>
      </c>
    </row>
    <row r="48" spans="2:6">
      <c r="B48" s="186" t="s">
        <v>6</v>
      </c>
      <c r="C48" s="187" t="s">
        <v>41</v>
      </c>
      <c r="D48" s="200">
        <v>113.62861700000001</v>
      </c>
      <c r="E48" s="149">
        <v>99.033127000000007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84" t="s">
        <v>4</v>
      </c>
      <c r="C50" s="185" t="s">
        <v>40</v>
      </c>
      <c r="D50" s="200">
        <v>140.24</v>
      </c>
      <c r="E50" s="149">
        <v>144.19999999999999</v>
      </c>
    </row>
    <row r="51" spans="2:5">
      <c r="B51" s="184" t="s">
        <v>6</v>
      </c>
      <c r="C51" s="185" t="s">
        <v>114</v>
      </c>
      <c r="D51" s="200">
        <v>137.11000000000001</v>
      </c>
      <c r="E51" s="75">
        <v>103.79</v>
      </c>
    </row>
    <row r="52" spans="2:5">
      <c r="B52" s="184" t="s">
        <v>8</v>
      </c>
      <c r="C52" s="185" t="s">
        <v>115</v>
      </c>
      <c r="D52" s="200">
        <v>154.70000000000002</v>
      </c>
      <c r="E52" s="75">
        <v>165.42</v>
      </c>
    </row>
    <row r="53" spans="2:5" ht="13.5" customHeight="1" thickBot="1">
      <c r="B53" s="188" t="s">
        <v>9</v>
      </c>
      <c r="C53" s="189" t="s">
        <v>41</v>
      </c>
      <c r="D53" s="202">
        <v>144.19999999999999</v>
      </c>
      <c r="E53" s="280">
        <v>164.16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5.7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16257.28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2.7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E12</f>
        <v>16257.28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f>E17</f>
        <v>0</v>
      </c>
      <c r="E73" s="26">
        <f>D73/E21</f>
        <v>0</v>
      </c>
    </row>
    <row r="74" spans="2:5">
      <c r="B74" s="130" t="s">
        <v>64</v>
      </c>
      <c r="C74" s="121" t="s">
        <v>66</v>
      </c>
      <c r="D74" s="122">
        <f>D58-D73</f>
        <v>16257.28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16257.28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3" right="0.75" top="0.53" bottom="0.56000000000000005" header="0.5" footer="0.5"/>
  <pageSetup paperSize="9" scale="70" orientation="portrait" r:id="rId1"/>
  <headerFooter alignWithMargins="0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0"/>
  <dimension ref="A1:G81"/>
  <sheetViews>
    <sheetView topLeftCell="A16" zoomScale="80" zoomScaleNormal="80" workbookViewId="0">
      <selection activeCell="G16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38"/>
      <c r="C4" s="138"/>
      <c r="D4" s="138"/>
      <c r="E4" s="138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185</v>
      </c>
      <c r="C6" s="353"/>
      <c r="D6" s="353"/>
      <c r="E6" s="353"/>
    </row>
    <row r="7" spans="2:7" ht="14.25">
      <c r="B7" s="136"/>
      <c r="C7" s="136"/>
      <c r="D7" s="136"/>
      <c r="E7" s="136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37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16010.75</v>
      </c>
      <c r="E11" s="228">
        <f>SUM(E12:E14)</f>
        <v>18957.599999999999</v>
      </c>
    </row>
    <row r="12" spans="2:7">
      <c r="B12" s="173" t="s">
        <v>4</v>
      </c>
      <c r="C12" s="174" t="s">
        <v>5</v>
      </c>
      <c r="D12" s="241">
        <v>16010.75</v>
      </c>
      <c r="E12" s="245">
        <v>18957.599999999999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16010.75</v>
      </c>
      <c r="E21" s="148">
        <f>E11-E17</f>
        <v>18957.599999999999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16442.86</v>
      </c>
      <c r="E26" s="217">
        <f>D21</f>
        <v>16010.75</v>
      </c>
    </row>
    <row r="27" spans="2:6">
      <c r="B27" s="9" t="s">
        <v>17</v>
      </c>
      <c r="C27" s="10" t="s">
        <v>111</v>
      </c>
      <c r="D27" s="323">
        <v>-1233.6999999999998</v>
      </c>
      <c r="E27" s="274">
        <v>-205.9</v>
      </c>
      <c r="F27" s="71"/>
    </row>
    <row r="28" spans="2:6">
      <c r="B28" s="9" t="s">
        <v>18</v>
      </c>
      <c r="C28" s="10" t="s">
        <v>19</v>
      </c>
      <c r="D28" s="323">
        <v>0</v>
      </c>
      <c r="E28" s="275">
        <v>0</v>
      </c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1233.6999999999998</v>
      </c>
      <c r="E32" s="275">
        <v>205.9</v>
      </c>
      <c r="F32" s="71"/>
    </row>
    <row r="33" spans="2:6">
      <c r="B33" s="181" t="s">
        <v>4</v>
      </c>
      <c r="C33" s="174" t="s">
        <v>25</v>
      </c>
      <c r="D33" s="324">
        <v>964.77</v>
      </c>
      <c r="E33" s="276"/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35.81</v>
      </c>
      <c r="E35" s="276">
        <v>27.67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233.12</v>
      </c>
      <c r="E37" s="276">
        <v>178.23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/>
      <c r="F39" s="71"/>
    </row>
    <row r="40" spans="2:6" ht="13.5" thickBot="1">
      <c r="B40" s="97" t="s">
        <v>35</v>
      </c>
      <c r="C40" s="98" t="s">
        <v>36</v>
      </c>
      <c r="D40" s="326">
        <v>801.59</v>
      </c>
      <c r="E40" s="279">
        <v>3152.75</v>
      </c>
    </row>
    <row r="41" spans="2:6" ht="13.5" thickBot="1">
      <c r="B41" s="99" t="s">
        <v>37</v>
      </c>
      <c r="C41" s="100" t="s">
        <v>38</v>
      </c>
      <c r="D41" s="327">
        <v>16010.75</v>
      </c>
      <c r="E41" s="148">
        <f>E26+E27+E40</f>
        <v>18957.599999999999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90.023899999999998</v>
      </c>
      <c r="E47" s="149">
        <v>83.77328</v>
      </c>
    </row>
    <row r="48" spans="2:6">
      <c r="B48" s="186" t="s">
        <v>6</v>
      </c>
      <c r="C48" s="187" t="s">
        <v>41</v>
      </c>
      <c r="D48" s="200">
        <v>83.77328</v>
      </c>
      <c r="E48" s="149">
        <v>82.686779999999999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84" t="s">
        <v>4</v>
      </c>
      <c r="C50" s="185" t="s">
        <v>40</v>
      </c>
      <c r="D50" s="200">
        <v>182.65</v>
      </c>
      <c r="E50" s="149">
        <v>191.12</v>
      </c>
    </row>
    <row r="51" spans="2:5">
      <c r="B51" s="184" t="s">
        <v>6</v>
      </c>
      <c r="C51" s="185" t="s">
        <v>114</v>
      </c>
      <c r="D51" s="200">
        <v>179.01</v>
      </c>
      <c r="E51" s="75">
        <v>144.97</v>
      </c>
    </row>
    <row r="52" spans="2:5">
      <c r="B52" s="184" t="s">
        <v>8</v>
      </c>
      <c r="C52" s="185" t="s">
        <v>115</v>
      </c>
      <c r="D52" s="200">
        <v>200.97</v>
      </c>
      <c r="E52" s="75">
        <v>229.27</v>
      </c>
    </row>
    <row r="53" spans="2:5" ht="14.25" customHeight="1" thickBot="1">
      <c r="B53" s="188" t="s">
        <v>9</v>
      </c>
      <c r="C53" s="189" t="s">
        <v>41</v>
      </c>
      <c r="D53" s="202">
        <v>191.12</v>
      </c>
      <c r="E53" s="280">
        <v>229.27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7.2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18957.599999999999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18957.599999999999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18957.599999999999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18957.599999999999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1">
    <pageSetUpPr fitToPage="1"/>
  </sheetPr>
  <dimension ref="A1:G81"/>
  <sheetViews>
    <sheetView zoomScale="80" zoomScaleNormal="80" workbookViewId="0">
      <selection activeCell="E41" sqref="E41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38"/>
      <c r="C4" s="138"/>
      <c r="D4" s="138"/>
      <c r="E4" s="138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186</v>
      </c>
      <c r="C6" s="353"/>
      <c r="D6" s="353"/>
      <c r="E6" s="353"/>
    </row>
    <row r="7" spans="2:7" ht="14.25">
      <c r="B7" s="136"/>
      <c r="C7" s="136"/>
      <c r="D7" s="136"/>
      <c r="E7" s="136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37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4523465.21</v>
      </c>
      <c r="E11" s="228">
        <f>SUM(E12:E14)</f>
        <v>3153633.93</v>
      </c>
    </row>
    <row r="12" spans="2:7">
      <c r="B12" s="173" t="s">
        <v>4</v>
      </c>
      <c r="C12" s="174" t="s">
        <v>5</v>
      </c>
      <c r="D12" s="241">
        <v>4523465.21</v>
      </c>
      <c r="E12" s="245">
        <v>3153633.93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4523465.21</v>
      </c>
      <c r="E21" s="148">
        <f>E11-E17</f>
        <v>3153633.93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5339211.8</v>
      </c>
      <c r="E26" s="217">
        <f>D21</f>
        <v>4523465.21</v>
      </c>
    </row>
    <row r="27" spans="2:6">
      <c r="B27" s="9" t="s">
        <v>17</v>
      </c>
      <c r="C27" s="10" t="s">
        <v>111</v>
      </c>
      <c r="D27" s="323">
        <v>-1732593.94</v>
      </c>
      <c r="E27" s="274">
        <v>-1047467.24</v>
      </c>
      <c r="F27" s="71"/>
    </row>
    <row r="28" spans="2:6">
      <c r="B28" s="9" t="s">
        <v>18</v>
      </c>
      <c r="C28" s="10" t="s">
        <v>19</v>
      </c>
      <c r="D28" s="323">
        <v>0</v>
      </c>
      <c r="E28" s="275">
        <v>25267.39</v>
      </c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>
        <v>25267.39</v>
      </c>
      <c r="F31" s="71"/>
    </row>
    <row r="32" spans="2:6">
      <c r="B32" s="92" t="s">
        <v>23</v>
      </c>
      <c r="C32" s="11" t="s">
        <v>24</v>
      </c>
      <c r="D32" s="323">
        <v>1732593.94</v>
      </c>
      <c r="E32" s="275">
        <v>1072734.6300000001</v>
      </c>
      <c r="F32" s="71"/>
    </row>
    <row r="33" spans="2:6">
      <c r="B33" s="181" t="s">
        <v>4</v>
      </c>
      <c r="C33" s="174" t="s">
        <v>25</v>
      </c>
      <c r="D33" s="324">
        <v>485989.92</v>
      </c>
      <c r="E33" s="276">
        <v>974477.46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21348.46</v>
      </c>
      <c r="E35" s="276">
        <v>27902.33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74768.84</v>
      </c>
      <c r="E37" s="276">
        <v>53301.49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>
        <v>1150486.72</v>
      </c>
      <c r="E39" s="277">
        <v>17053.349999999999</v>
      </c>
      <c r="F39" s="71"/>
    </row>
    <row r="40" spans="2:6" ht="13.5" thickBot="1">
      <c r="B40" s="97" t="s">
        <v>35</v>
      </c>
      <c r="C40" s="98" t="s">
        <v>36</v>
      </c>
      <c r="D40" s="326">
        <v>916847.35</v>
      </c>
      <c r="E40" s="279">
        <v>-322364.03999999998</v>
      </c>
    </row>
    <row r="41" spans="2:6" ht="13.5" thickBot="1">
      <c r="B41" s="99" t="s">
        <v>37</v>
      </c>
      <c r="C41" s="100" t="s">
        <v>38</v>
      </c>
      <c r="D41" s="327">
        <v>4523465.21</v>
      </c>
      <c r="E41" s="148">
        <f>E26+E27+E40</f>
        <v>3153633.9299999997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36024.639300000003</v>
      </c>
      <c r="E47" s="149">
        <v>24924.046539999999</v>
      </c>
    </row>
    <row r="48" spans="2:6">
      <c r="B48" s="186" t="s">
        <v>6</v>
      </c>
      <c r="C48" s="187" t="s">
        <v>41</v>
      </c>
      <c r="D48" s="200">
        <v>24924.046539999999</v>
      </c>
      <c r="E48" s="149">
        <v>18575.91994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84" t="s">
        <v>4</v>
      </c>
      <c r="C50" s="185" t="s">
        <v>40</v>
      </c>
      <c r="D50" s="200">
        <v>148.21</v>
      </c>
      <c r="E50" s="149">
        <v>181.49</v>
      </c>
    </row>
    <row r="51" spans="2:5">
      <c r="B51" s="184" t="s">
        <v>6</v>
      </c>
      <c r="C51" s="185" t="s">
        <v>114</v>
      </c>
      <c r="D51" s="200">
        <v>147.83000000000001</v>
      </c>
      <c r="E51" s="75">
        <v>122.21</v>
      </c>
    </row>
    <row r="52" spans="2:5">
      <c r="B52" s="184" t="s">
        <v>8</v>
      </c>
      <c r="C52" s="185" t="s">
        <v>115</v>
      </c>
      <c r="D52" s="200">
        <v>183.18</v>
      </c>
      <c r="E52" s="75">
        <v>189.48</v>
      </c>
    </row>
    <row r="53" spans="2:5" ht="12.75" customHeight="1" thickBot="1">
      <c r="B53" s="188" t="s">
        <v>9</v>
      </c>
      <c r="C53" s="189" t="s">
        <v>41</v>
      </c>
      <c r="D53" s="202">
        <v>181.49</v>
      </c>
      <c r="E53" s="280">
        <v>169.77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6.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3153633.93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3.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3153633.93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3153633.93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3153633.93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2"/>
  <dimension ref="A1:G81"/>
  <sheetViews>
    <sheetView zoomScale="80" zoomScaleNormal="80" workbookViewId="0">
      <selection activeCell="G13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38"/>
      <c r="C4" s="138"/>
      <c r="D4" s="138"/>
      <c r="E4" s="138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187</v>
      </c>
      <c r="C6" s="353"/>
      <c r="D6" s="353"/>
      <c r="E6" s="353"/>
    </row>
    <row r="7" spans="2:7" ht="14.25">
      <c r="B7" s="136"/>
      <c r="C7" s="136"/>
      <c r="D7" s="136"/>
      <c r="E7" s="136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37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6222312.5700000003</v>
      </c>
      <c r="E11" s="228">
        <f>SUM(E12:E14)</f>
        <v>4994971.47</v>
      </c>
    </row>
    <row r="12" spans="2:7">
      <c r="B12" s="173" t="s">
        <v>4</v>
      </c>
      <c r="C12" s="174" t="s">
        <v>5</v>
      </c>
      <c r="D12" s="241">
        <v>6222312.5700000003</v>
      </c>
      <c r="E12" s="245">
        <v>4994971.47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6222312.5700000003</v>
      </c>
      <c r="E21" s="148">
        <f>E11-E17</f>
        <v>4994971.47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12495527.130000001</v>
      </c>
      <c r="E26" s="217">
        <f>D21</f>
        <v>6222312.5700000003</v>
      </c>
    </row>
    <row r="27" spans="2:6">
      <c r="B27" s="9" t="s">
        <v>17</v>
      </c>
      <c r="C27" s="10" t="s">
        <v>111</v>
      </c>
      <c r="D27" s="323">
        <v>-7228860.1900000004</v>
      </c>
      <c r="E27" s="274">
        <v>-1345297.99</v>
      </c>
      <c r="F27" s="71"/>
    </row>
    <row r="28" spans="2:6">
      <c r="B28" s="9" t="s">
        <v>18</v>
      </c>
      <c r="C28" s="10" t="s">
        <v>19</v>
      </c>
      <c r="D28" s="323">
        <v>0</v>
      </c>
      <c r="E28" s="275">
        <v>300</v>
      </c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>
        <v>300</v>
      </c>
      <c r="F31" s="71"/>
    </row>
    <row r="32" spans="2:6">
      <c r="B32" s="92" t="s">
        <v>23</v>
      </c>
      <c r="C32" s="11" t="s">
        <v>24</v>
      </c>
      <c r="D32" s="323">
        <v>7228860.1900000004</v>
      </c>
      <c r="E32" s="275">
        <v>1345597.99</v>
      </c>
      <c r="F32" s="71"/>
    </row>
    <row r="33" spans="2:6">
      <c r="B33" s="181" t="s">
        <v>4</v>
      </c>
      <c r="C33" s="174" t="s">
        <v>25</v>
      </c>
      <c r="D33" s="324">
        <v>2228319.0099999998</v>
      </c>
      <c r="E33" s="276">
        <v>1237156.44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13941.11</v>
      </c>
      <c r="E35" s="276">
        <v>18889.39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137873.37</v>
      </c>
      <c r="E37" s="276">
        <v>86931.81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>
        <v>4848726.7</v>
      </c>
      <c r="E39" s="277">
        <v>2620.35</v>
      </c>
      <c r="F39" s="71"/>
    </row>
    <row r="40" spans="2:6" ht="13.5" thickBot="1">
      <c r="B40" s="97" t="s">
        <v>35</v>
      </c>
      <c r="C40" s="98" t="s">
        <v>36</v>
      </c>
      <c r="D40" s="326">
        <v>955645.63</v>
      </c>
      <c r="E40" s="279">
        <v>117956.89</v>
      </c>
    </row>
    <row r="41" spans="2:6" ht="13.5" thickBot="1">
      <c r="B41" s="99" t="s">
        <v>37</v>
      </c>
      <c r="C41" s="100" t="s">
        <v>38</v>
      </c>
      <c r="D41" s="327">
        <v>6222312.5700000003</v>
      </c>
      <c r="E41" s="148">
        <f>E26+E27+E40</f>
        <v>4994971.47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73339.166200000007</v>
      </c>
      <c r="E47" s="149">
        <v>33056.965250000001</v>
      </c>
    </row>
    <row r="48" spans="2:6">
      <c r="B48" s="186" t="s">
        <v>6</v>
      </c>
      <c r="C48" s="187" t="s">
        <v>41</v>
      </c>
      <c r="D48" s="200">
        <v>33056.965250000001</v>
      </c>
      <c r="E48" s="149">
        <v>25624.436819999999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84" t="s">
        <v>4</v>
      </c>
      <c r="C50" s="185" t="s">
        <v>40</v>
      </c>
      <c r="D50" s="200">
        <v>170.38</v>
      </c>
      <c r="E50" s="149">
        <v>188.23</v>
      </c>
    </row>
    <row r="51" spans="2:5">
      <c r="B51" s="184" t="s">
        <v>6</v>
      </c>
      <c r="C51" s="185" t="s">
        <v>114</v>
      </c>
      <c r="D51" s="200">
        <v>170.36</v>
      </c>
      <c r="E51" s="149">
        <v>150.76</v>
      </c>
    </row>
    <row r="52" spans="2:5">
      <c r="B52" s="184" t="s">
        <v>8</v>
      </c>
      <c r="C52" s="185" t="s">
        <v>115</v>
      </c>
      <c r="D52" s="200">
        <v>188.26</v>
      </c>
      <c r="E52" s="75">
        <v>194.99</v>
      </c>
    </row>
    <row r="53" spans="2:5" ht="13.5" customHeight="1" thickBot="1">
      <c r="B53" s="188" t="s">
        <v>9</v>
      </c>
      <c r="C53" s="189" t="s">
        <v>41</v>
      </c>
      <c r="D53" s="202">
        <v>188.23</v>
      </c>
      <c r="E53" s="280">
        <v>194.93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7.2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4994971.47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2.7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4994971.47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4994971.47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4994971.47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3"/>
  <dimension ref="A1:F81"/>
  <sheetViews>
    <sheetView zoomScale="80" zoomScaleNormal="80" workbookViewId="0">
      <selection activeCell="G1" sqref="G1:L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1" t="s">
        <v>0</v>
      </c>
      <c r="C2" s="351"/>
      <c r="D2" s="351"/>
      <c r="E2" s="351"/>
    </row>
    <row r="3" spans="2:5" ht="15.75">
      <c r="B3" s="351" t="s">
        <v>271</v>
      </c>
      <c r="C3" s="351"/>
      <c r="D3" s="351"/>
      <c r="E3" s="351"/>
    </row>
    <row r="4" spans="2:5" ht="15">
      <c r="B4" s="138"/>
      <c r="C4" s="138"/>
      <c r="D4" s="138"/>
      <c r="E4" s="138"/>
    </row>
    <row r="5" spans="2:5" ht="21" customHeight="1">
      <c r="B5" s="352" t="s">
        <v>1</v>
      </c>
      <c r="C5" s="352"/>
      <c r="D5" s="352"/>
      <c r="E5" s="352"/>
    </row>
    <row r="6" spans="2:5" ht="14.25">
      <c r="B6" s="353" t="s">
        <v>188</v>
      </c>
      <c r="C6" s="353"/>
      <c r="D6" s="353"/>
      <c r="E6" s="353"/>
    </row>
    <row r="7" spans="2:5" ht="14.25">
      <c r="B7" s="136"/>
      <c r="C7" s="136"/>
      <c r="D7" s="136"/>
      <c r="E7" s="136"/>
    </row>
    <row r="8" spans="2:5" ht="13.5">
      <c r="B8" s="355" t="s">
        <v>18</v>
      </c>
      <c r="C8" s="357"/>
      <c r="D8" s="357"/>
      <c r="E8" s="357"/>
    </row>
    <row r="9" spans="2:5" ht="16.5" thickBot="1">
      <c r="B9" s="354" t="s">
        <v>103</v>
      </c>
      <c r="C9" s="354"/>
      <c r="D9" s="354"/>
      <c r="E9" s="354"/>
    </row>
    <row r="10" spans="2:5" ht="13.5" thickBot="1">
      <c r="B10" s="137"/>
      <c r="C10" s="76" t="s">
        <v>2</v>
      </c>
      <c r="D10" s="70" t="s">
        <v>245</v>
      </c>
      <c r="E10" s="255" t="s">
        <v>265</v>
      </c>
    </row>
    <row r="11" spans="2:5">
      <c r="B11" s="90" t="s">
        <v>3</v>
      </c>
      <c r="C11" s="128" t="s">
        <v>109</v>
      </c>
      <c r="D11" s="227">
        <v>5901768.1600000001</v>
      </c>
      <c r="E11" s="228">
        <f>SUM(E12:E14)</f>
        <v>3763913.8200000003</v>
      </c>
    </row>
    <row r="12" spans="2:5">
      <c r="B12" s="173" t="s">
        <v>4</v>
      </c>
      <c r="C12" s="174" t="s">
        <v>5</v>
      </c>
      <c r="D12" s="241">
        <v>5901768.1600000001</v>
      </c>
      <c r="E12" s="245">
        <v>3763913.8200000003</v>
      </c>
    </row>
    <row r="13" spans="2:5">
      <c r="B13" s="173" t="s">
        <v>6</v>
      </c>
      <c r="C13" s="175" t="s">
        <v>7</v>
      </c>
      <c r="D13" s="237"/>
      <c r="E13" s="246"/>
    </row>
    <row r="14" spans="2:5">
      <c r="B14" s="173" t="s">
        <v>8</v>
      </c>
      <c r="C14" s="175" t="s">
        <v>10</v>
      </c>
      <c r="D14" s="237"/>
      <c r="E14" s="246"/>
    </row>
    <row r="15" spans="2:5">
      <c r="B15" s="173" t="s">
        <v>106</v>
      </c>
      <c r="C15" s="175" t="s">
        <v>11</v>
      </c>
      <c r="D15" s="237"/>
      <c r="E15" s="246"/>
    </row>
    <row r="16" spans="2:5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5901768.1600000001</v>
      </c>
      <c r="E21" s="148">
        <f>E11-E17</f>
        <v>3763913.8200000003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6626092.6600000001</v>
      </c>
      <c r="E26" s="217">
        <f>D21</f>
        <v>5901768.1600000001</v>
      </c>
    </row>
    <row r="27" spans="2:6">
      <c r="B27" s="9" t="s">
        <v>17</v>
      </c>
      <c r="C27" s="10" t="s">
        <v>111</v>
      </c>
      <c r="D27" s="323">
        <v>-2246748.9199999995</v>
      </c>
      <c r="E27" s="274">
        <f>E28-E32</f>
        <v>-1506709.49</v>
      </c>
      <c r="F27" s="71"/>
    </row>
    <row r="28" spans="2:6">
      <c r="B28" s="9" t="s">
        <v>18</v>
      </c>
      <c r="C28" s="10" t="s">
        <v>19</v>
      </c>
      <c r="D28" s="323">
        <v>118770.43</v>
      </c>
      <c r="E28" s="275">
        <v>22274.41</v>
      </c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>
        <v>118770.43</v>
      </c>
      <c r="E31" s="276">
        <v>22274.41</v>
      </c>
      <c r="F31" s="71"/>
    </row>
    <row r="32" spans="2:6">
      <c r="B32" s="92" t="s">
        <v>23</v>
      </c>
      <c r="C32" s="11" t="s">
        <v>24</v>
      </c>
      <c r="D32" s="323">
        <v>2365519.3499999996</v>
      </c>
      <c r="E32" s="275">
        <f>SUM(E33:E39)</f>
        <v>1528983.9</v>
      </c>
      <c r="F32" s="71"/>
    </row>
    <row r="33" spans="2:6">
      <c r="B33" s="181" t="s">
        <v>4</v>
      </c>
      <c r="C33" s="174" t="s">
        <v>25</v>
      </c>
      <c r="D33" s="324">
        <v>1991343.3</v>
      </c>
      <c r="E33" s="276">
        <f>569547.63-1.14</f>
        <v>569546.49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13956.7</v>
      </c>
      <c r="E35" s="276">
        <v>16003.3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107278.65</v>
      </c>
      <c r="E37" s="276">
        <v>67562.66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>
        <v>252940.69999999969</v>
      </c>
      <c r="E39" s="277">
        <v>875871.45</v>
      </c>
      <c r="F39" s="71"/>
    </row>
    <row r="40" spans="2:6" ht="13.5" thickBot="1">
      <c r="B40" s="97" t="s">
        <v>35</v>
      </c>
      <c r="C40" s="98" t="s">
        <v>36</v>
      </c>
      <c r="D40" s="326">
        <v>1522424.42</v>
      </c>
      <c r="E40" s="279">
        <v>-631144.85</v>
      </c>
    </row>
    <row r="41" spans="2:6" ht="13.5" thickBot="1">
      <c r="B41" s="99" t="s">
        <v>37</v>
      </c>
      <c r="C41" s="100" t="s">
        <v>38</v>
      </c>
      <c r="D41" s="327">
        <v>5901768.1600000001</v>
      </c>
      <c r="E41" s="148">
        <f>E26+E27+E40</f>
        <v>3763913.82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32159.253830000001</v>
      </c>
      <c r="E47" s="149">
        <v>22821.11349</v>
      </c>
    </row>
    <row r="48" spans="2:6">
      <c r="B48" s="186" t="s">
        <v>6</v>
      </c>
      <c r="C48" s="187" t="s">
        <v>41</v>
      </c>
      <c r="D48" s="200">
        <v>22821.11349</v>
      </c>
      <c r="E48" s="149">
        <v>15739.373689999999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84" t="s">
        <v>4</v>
      </c>
      <c r="C50" s="185" t="s">
        <v>40</v>
      </c>
      <c r="D50" s="200">
        <v>206.04</v>
      </c>
      <c r="E50" s="149">
        <v>258.61</v>
      </c>
    </row>
    <row r="51" spans="2:5">
      <c r="B51" s="184" t="s">
        <v>6</v>
      </c>
      <c r="C51" s="185" t="s">
        <v>114</v>
      </c>
      <c r="D51" s="200">
        <v>205.27</v>
      </c>
      <c r="E51" s="75">
        <v>176.86</v>
      </c>
    </row>
    <row r="52" spans="2:5">
      <c r="B52" s="184" t="s">
        <v>8</v>
      </c>
      <c r="C52" s="185" t="s">
        <v>115</v>
      </c>
      <c r="D52" s="200">
        <v>261.02</v>
      </c>
      <c r="E52" s="75">
        <v>269.08</v>
      </c>
    </row>
    <row r="53" spans="2:5" ht="13.5" customHeight="1" thickBot="1">
      <c r="B53" s="188" t="s">
        <v>9</v>
      </c>
      <c r="C53" s="189" t="s">
        <v>41</v>
      </c>
      <c r="D53" s="202">
        <v>258.61</v>
      </c>
      <c r="E53" s="280">
        <v>239.14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6.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3763913.8200000003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3.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E12</f>
        <v>3763913.8200000003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f>E17</f>
        <v>0</v>
      </c>
      <c r="E73" s="26">
        <f>D73/E21</f>
        <v>0</v>
      </c>
    </row>
    <row r="74" spans="2:5">
      <c r="B74" s="130" t="s">
        <v>64</v>
      </c>
      <c r="C74" s="121" t="s">
        <v>66</v>
      </c>
      <c r="D74" s="122">
        <f>D58-D73</f>
        <v>3763913.8200000003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3763913.8200000003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4"/>
  <dimension ref="A1:F81"/>
  <sheetViews>
    <sheetView zoomScale="80" zoomScaleNormal="80" workbookViewId="0">
      <selection activeCell="G19" sqref="G1:L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1" t="s">
        <v>0</v>
      </c>
      <c r="C2" s="351"/>
      <c r="D2" s="351"/>
      <c r="E2" s="351"/>
    </row>
    <row r="3" spans="2:5" ht="15.75">
      <c r="B3" s="351" t="s">
        <v>271</v>
      </c>
      <c r="C3" s="351"/>
      <c r="D3" s="351"/>
      <c r="E3" s="351"/>
    </row>
    <row r="4" spans="2:5" ht="15">
      <c r="B4" s="138"/>
      <c r="C4" s="138"/>
      <c r="D4" s="138"/>
      <c r="E4" s="138"/>
    </row>
    <row r="5" spans="2:5" ht="21" customHeight="1">
      <c r="B5" s="352" t="s">
        <v>1</v>
      </c>
      <c r="C5" s="352"/>
      <c r="D5" s="352"/>
      <c r="E5" s="352"/>
    </row>
    <row r="6" spans="2:5" ht="14.25">
      <c r="B6" s="353" t="s">
        <v>189</v>
      </c>
      <c r="C6" s="353"/>
      <c r="D6" s="353"/>
      <c r="E6" s="353"/>
    </row>
    <row r="7" spans="2:5" ht="14.25">
      <c r="B7" s="136"/>
      <c r="C7" s="136"/>
      <c r="D7" s="136"/>
      <c r="E7" s="136"/>
    </row>
    <row r="8" spans="2:5" ht="13.5">
      <c r="B8" s="355" t="s">
        <v>18</v>
      </c>
      <c r="C8" s="357"/>
      <c r="D8" s="357"/>
      <c r="E8" s="357"/>
    </row>
    <row r="9" spans="2:5" ht="16.5" thickBot="1">
      <c r="B9" s="354" t="s">
        <v>103</v>
      </c>
      <c r="C9" s="354"/>
      <c r="D9" s="354"/>
      <c r="E9" s="354"/>
    </row>
    <row r="10" spans="2:5" ht="13.5" thickBot="1">
      <c r="B10" s="137"/>
      <c r="C10" s="76" t="s">
        <v>2</v>
      </c>
      <c r="D10" s="70" t="s">
        <v>245</v>
      </c>
      <c r="E10" s="255" t="s">
        <v>265</v>
      </c>
    </row>
    <row r="11" spans="2:5">
      <c r="B11" s="90" t="s">
        <v>3</v>
      </c>
      <c r="C11" s="128" t="s">
        <v>109</v>
      </c>
      <c r="D11" s="227">
        <v>3708226.65</v>
      </c>
      <c r="E11" s="228">
        <f>SUM(E12:E14)</f>
        <v>653808.55000000005</v>
      </c>
    </row>
    <row r="12" spans="2:5">
      <c r="B12" s="173" t="s">
        <v>4</v>
      </c>
      <c r="C12" s="174" t="s">
        <v>5</v>
      </c>
      <c r="D12" s="241">
        <v>3708226.65</v>
      </c>
      <c r="E12" s="245">
        <v>653808.55000000005</v>
      </c>
    </row>
    <row r="13" spans="2:5">
      <c r="B13" s="173" t="s">
        <v>6</v>
      </c>
      <c r="C13" s="175" t="s">
        <v>7</v>
      </c>
      <c r="D13" s="237"/>
      <c r="E13" s="246"/>
    </row>
    <row r="14" spans="2:5">
      <c r="B14" s="173" t="s">
        <v>8</v>
      </c>
      <c r="C14" s="175" t="s">
        <v>10</v>
      </c>
      <c r="D14" s="237"/>
      <c r="E14" s="246"/>
    </row>
    <row r="15" spans="2:5">
      <c r="B15" s="173" t="s">
        <v>106</v>
      </c>
      <c r="C15" s="175" t="s">
        <v>11</v>
      </c>
      <c r="D15" s="237"/>
      <c r="E15" s="246"/>
    </row>
    <row r="16" spans="2:5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3708226.65</v>
      </c>
      <c r="E21" s="148">
        <f>E11-E17</f>
        <v>653808.55000000005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3323449.45</v>
      </c>
      <c r="E26" s="217">
        <f>D21</f>
        <v>3708226.65</v>
      </c>
    </row>
    <row r="27" spans="2:6">
      <c r="B27" s="9" t="s">
        <v>17</v>
      </c>
      <c r="C27" s="10" t="s">
        <v>111</v>
      </c>
      <c r="D27" s="323">
        <v>-194057.52</v>
      </c>
      <c r="E27" s="274">
        <f>E28-E32</f>
        <v>-2116819.6800000002</v>
      </c>
      <c r="F27" s="71"/>
    </row>
    <row r="28" spans="2:6">
      <c r="B28" s="9" t="s">
        <v>18</v>
      </c>
      <c r="C28" s="10" t="s">
        <v>19</v>
      </c>
      <c r="D28" s="323">
        <v>146.57</v>
      </c>
      <c r="E28" s="275">
        <v>20073.439999999999</v>
      </c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>
        <v>146.57</v>
      </c>
      <c r="E31" s="276">
        <v>20073.439999999999</v>
      </c>
      <c r="F31" s="71"/>
    </row>
    <row r="32" spans="2:6">
      <c r="B32" s="92" t="s">
        <v>23</v>
      </c>
      <c r="C32" s="11" t="s">
        <v>24</v>
      </c>
      <c r="D32" s="323">
        <v>194204.09</v>
      </c>
      <c r="E32" s="275">
        <f>SUM(E33:E39)</f>
        <v>2136893.12</v>
      </c>
      <c r="F32" s="71"/>
    </row>
    <row r="33" spans="2:6">
      <c r="B33" s="181" t="s">
        <v>4</v>
      </c>
      <c r="C33" s="174" t="s">
        <v>25</v>
      </c>
      <c r="D33" s="324">
        <v>91987.75</v>
      </c>
      <c r="E33" s="276">
        <f>59347.18-0.45</f>
        <v>59346.73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3121.74</v>
      </c>
      <c r="E35" s="276">
        <v>2939.26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55286.61</v>
      </c>
      <c r="E37" s="276">
        <v>20745.400000000001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>
        <v>43807.99</v>
      </c>
      <c r="E39" s="277">
        <v>2053861.73</v>
      </c>
      <c r="F39" s="71"/>
    </row>
    <row r="40" spans="2:6" ht="13.5" thickBot="1">
      <c r="B40" s="97" t="s">
        <v>35</v>
      </c>
      <c r="C40" s="98" t="s">
        <v>36</v>
      </c>
      <c r="D40" s="326">
        <v>578834.72</v>
      </c>
      <c r="E40" s="279">
        <v>-937598.42</v>
      </c>
    </row>
    <row r="41" spans="2:6" ht="13.5" thickBot="1">
      <c r="B41" s="99" t="s">
        <v>37</v>
      </c>
      <c r="C41" s="100" t="s">
        <v>38</v>
      </c>
      <c r="D41" s="327">
        <v>3708226.6500000004</v>
      </c>
      <c r="E41" s="148">
        <f>E26+E27+E40</f>
        <v>653808.5499999997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18916.55444</v>
      </c>
      <c r="E47" s="149">
        <v>17901.166561999999</v>
      </c>
    </row>
    <row r="48" spans="2:6">
      <c r="B48" s="186" t="s">
        <v>6</v>
      </c>
      <c r="C48" s="187" t="s">
        <v>41</v>
      </c>
      <c r="D48" s="200">
        <v>17901.166561999999</v>
      </c>
      <c r="E48" s="149">
        <v>3343.2631919999999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84" t="s">
        <v>4</v>
      </c>
      <c r="C50" s="185" t="s">
        <v>40</v>
      </c>
      <c r="D50" s="200">
        <v>175.69</v>
      </c>
      <c r="E50" s="149">
        <v>207.15</v>
      </c>
    </row>
    <row r="51" spans="2:5">
      <c r="B51" s="184" t="s">
        <v>6</v>
      </c>
      <c r="C51" s="185" t="s">
        <v>114</v>
      </c>
      <c r="D51" s="200">
        <v>172.38</v>
      </c>
      <c r="E51" s="75">
        <v>136.03</v>
      </c>
    </row>
    <row r="52" spans="2:5">
      <c r="B52" s="184" t="s">
        <v>8</v>
      </c>
      <c r="C52" s="185" t="s">
        <v>115</v>
      </c>
      <c r="D52" s="200">
        <v>210.55</v>
      </c>
      <c r="E52" s="75">
        <v>208.83</v>
      </c>
    </row>
    <row r="53" spans="2:5" ht="12.75" customHeight="1" thickBot="1">
      <c r="B53" s="188" t="s">
        <v>9</v>
      </c>
      <c r="C53" s="189" t="s">
        <v>41</v>
      </c>
      <c r="D53" s="202">
        <v>207.15</v>
      </c>
      <c r="E53" s="280">
        <v>195.56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7.2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653808.55000000005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2.7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653808.55000000005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653808.55000000005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653808.55000000005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6999999999999995" right="0.75" top="0.6" bottom="0.49" header="0.5" footer="0.5"/>
  <pageSetup paperSize="9" scale="70" orientation="portrait" r:id="rId1"/>
  <headerFooter alignWithMargins="0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5"/>
  <dimension ref="A1:F81"/>
  <sheetViews>
    <sheetView zoomScale="80" zoomScaleNormal="80" workbookViewId="0">
      <selection activeCell="G16" sqref="G1:L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1" t="s">
        <v>0</v>
      </c>
      <c r="C2" s="351"/>
      <c r="D2" s="351"/>
      <c r="E2" s="351"/>
    </row>
    <row r="3" spans="2:5" ht="15.75">
      <c r="B3" s="351" t="s">
        <v>271</v>
      </c>
      <c r="C3" s="351"/>
      <c r="D3" s="351"/>
      <c r="E3" s="351"/>
    </row>
    <row r="4" spans="2:5" ht="15">
      <c r="B4" s="138"/>
      <c r="C4" s="138"/>
      <c r="D4" s="138"/>
      <c r="E4" s="138"/>
    </row>
    <row r="5" spans="2:5" ht="21" customHeight="1">
      <c r="B5" s="352" t="s">
        <v>1</v>
      </c>
      <c r="C5" s="352"/>
      <c r="D5" s="352"/>
      <c r="E5" s="352"/>
    </row>
    <row r="6" spans="2:5" ht="14.25">
      <c r="B6" s="353" t="s">
        <v>190</v>
      </c>
      <c r="C6" s="353"/>
      <c r="D6" s="353"/>
      <c r="E6" s="353"/>
    </row>
    <row r="7" spans="2:5" ht="14.25">
      <c r="B7" s="136"/>
      <c r="C7" s="136"/>
      <c r="D7" s="136"/>
      <c r="E7" s="136"/>
    </row>
    <row r="8" spans="2:5" ht="13.5">
      <c r="B8" s="355" t="s">
        <v>18</v>
      </c>
      <c r="C8" s="357"/>
      <c r="D8" s="357"/>
      <c r="E8" s="357"/>
    </row>
    <row r="9" spans="2:5" ht="16.5" thickBot="1">
      <c r="B9" s="354" t="s">
        <v>103</v>
      </c>
      <c r="C9" s="354"/>
      <c r="D9" s="354"/>
      <c r="E9" s="354"/>
    </row>
    <row r="10" spans="2:5" ht="13.5" thickBot="1">
      <c r="B10" s="137"/>
      <c r="C10" s="76" t="s">
        <v>2</v>
      </c>
      <c r="D10" s="70" t="s">
        <v>245</v>
      </c>
      <c r="E10" s="255" t="s">
        <v>265</v>
      </c>
    </row>
    <row r="11" spans="2:5">
      <c r="B11" s="90" t="s">
        <v>3</v>
      </c>
      <c r="C11" s="128" t="s">
        <v>109</v>
      </c>
      <c r="D11" s="227">
        <v>246269.2</v>
      </c>
      <c r="E11" s="228">
        <f>SUM(E12:E14)</f>
        <v>162095.23000000001</v>
      </c>
    </row>
    <row r="12" spans="2:5">
      <c r="B12" s="173" t="s">
        <v>4</v>
      </c>
      <c r="C12" s="174" t="s">
        <v>5</v>
      </c>
      <c r="D12" s="241">
        <v>246269.2</v>
      </c>
      <c r="E12" s="245">
        <v>162095.23000000001</v>
      </c>
    </row>
    <row r="13" spans="2:5">
      <c r="B13" s="173" t="s">
        <v>6</v>
      </c>
      <c r="C13" s="175" t="s">
        <v>7</v>
      </c>
      <c r="D13" s="237"/>
      <c r="E13" s="246"/>
    </row>
    <row r="14" spans="2:5">
      <c r="B14" s="173" t="s">
        <v>8</v>
      </c>
      <c r="C14" s="175" t="s">
        <v>10</v>
      </c>
      <c r="D14" s="237"/>
      <c r="E14" s="246"/>
    </row>
    <row r="15" spans="2:5">
      <c r="B15" s="173" t="s">
        <v>106</v>
      </c>
      <c r="C15" s="175" t="s">
        <v>11</v>
      </c>
      <c r="D15" s="237"/>
      <c r="E15" s="246"/>
    </row>
    <row r="16" spans="2:5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246269.2</v>
      </c>
      <c r="E21" s="148">
        <f>E11-E17</f>
        <v>162095.23000000001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243859.62</v>
      </c>
      <c r="E26" s="217">
        <f>D21</f>
        <v>246269.2</v>
      </c>
    </row>
    <row r="27" spans="2:6">
      <c r="B27" s="9" t="s">
        <v>17</v>
      </c>
      <c r="C27" s="10" t="s">
        <v>111</v>
      </c>
      <c r="D27" s="323">
        <v>-35026.239999999998</v>
      </c>
      <c r="E27" s="274">
        <v>-125446.16000000002</v>
      </c>
      <c r="F27" s="71"/>
    </row>
    <row r="28" spans="2:6">
      <c r="B28" s="9" t="s">
        <v>18</v>
      </c>
      <c r="C28" s="10" t="s">
        <v>19</v>
      </c>
      <c r="D28" s="323">
        <v>0</v>
      </c>
      <c r="E28" s="275">
        <v>100599.7</v>
      </c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>
        <v>100599.7</v>
      </c>
      <c r="F31" s="71"/>
    </row>
    <row r="32" spans="2:6">
      <c r="B32" s="92" t="s">
        <v>23</v>
      </c>
      <c r="C32" s="11" t="s">
        <v>24</v>
      </c>
      <c r="D32" s="323">
        <v>35026.239999999998</v>
      </c>
      <c r="E32" s="275">
        <v>226045.86000000002</v>
      </c>
      <c r="F32" s="71"/>
    </row>
    <row r="33" spans="2:6">
      <c r="B33" s="181" t="s">
        <v>4</v>
      </c>
      <c r="C33" s="174" t="s">
        <v>25</v>
      </c>
      <c r="D33" s="324">
        <v>31256.69</v>
      </c>
      <c r="E33" s="276">
        <v>222809.87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19.62</v>
      </c>
      <c r="E35" s="276">
        <v>99.1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3749.93</v>
      </c>
      <c r="E37" s="276">
        <v>3136.89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/>
      <c r="F39" s="71"/>
    </row>
    <row r="40" spans="2:6" ht="13.5" thickBot="1">
      <c r="B40" s="97" t="s">
        <v>35</v>
      </c>
      <c r="C40" s="98" t="s">
        <v>36</v>
      </c>
      <c r="D40" s="326">
        <v>37435.82</v>
      </c>
      <c r="E40" s="279">
        <v>41272.19</v>
      </c>
    </row>
    <row r="41" spans="2:6" ht="13.5" thickBot="1">
      <c r="B41" s="99" t="s">
        <v>37</v>
      </c>
      <c r="C41" s="100" t="s">
        <v>38</v>
      </c>
      <c r="D41" s="327">
        <v>246269.2</v>
      </c>
      <c r="E41" s="148">
        <f>E26+E27+E40</f>
        <v>162095.22999999998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2055.2854000000002</v>
      </c>
      <c r="E47" s="149">
        <v>1782.75083</v>
      </c>
    </row>
    <row r="48" spans="2:6">
      <c r="B48" s="186" t="s">
        <v>6</v>
      </c>
      <c r="C48" s="187" t="s">
        <v>41</v>
      </c>
      <c r="D48" s="200">
        <v>1782.75083</v>
      </c>
      <c r="E48" s="149">
        <v>1015.44339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84" t="s">
        <v>4</v>
      </c>
      <c r="C50" s="185" t="s">
        <v>40</v>
      </c>
      <c r="D50" s="200">
        <v>118.65</v>
      </c>
      <c r="E50" s="149">
        <v>138.13999999999999</v>
      </c>
    </row>
    <row r="51" spans="2:5">
      <c r="B51" s="184" t="s">
        <v>6</v>
      </c>
      <c r="C51" s="185" t="s">
        <v>114</v>
      </c>
      <c r="D51" s="200">
        <v>115.46000000000001</v>
      </c>
      <c r="E51" s="75">
        <v>99.47</v>
      </c>
    </row>
    <row r="52" spans="2:5">
      <c r="B52" s="184" t="s">
        <v>8</v>
      </c>
      <c r="C52" s="185" t="s">
        <v>115</v>
      </c>
      <c r="D52" s="200">
        <v>138.25</v>
      </c>
      <c r="E52" s="75">
        <v>159.63</v>
      </c>
    </row>
    <row r="53" spans="2:5" ht="13.5" customHeight="1" thickBot="1">
      <c r="B53" s="188" t="s">
        <v>9</v>
      </c>
      <c r="C53" s="189" t="s">
        <v>41</v>
      </c>
      <c r="D53" s="202">
        <v>138.13999999999999</v>
      </c>
      <c r="E53" s="280">
        <v>159.63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5.7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162095.23000000001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162095.23000000001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162095.23000000001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162095.23000000001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H81"/>
  <sheetViews>
    <sheetView zoomScale="80" zoomScaleNormal="80" workbookViewId="0">
      <selection activeCell="G13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85"/>
      <c r="C4" s="85"/>
      <c r="D4" s="85"/>
      <c r="E4" s="85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91</v>
      </c>
      <c r="C6" s="353"/>
      <c r="D6" s="353"/>
      <c r="E6" s="353"/>
    </row>
    <row r="7" spans="2:7" ht="14.25">
      <c r="B7" s="89"/>
      <c r="C7" s="89"/>
      <c r="D7" s="89"/>
      <c r="E7" s="8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86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68377054.690000013</v>
      </c>
      <c r="E11" s="228">
        <f>SUM(E12:E14)</f>
        <v>85196263.070000008</v>
      </c>
    </row>
    <row r="12" spans="2:7">
      <c r="B12" s="106" t="s">
        <v>4</v>
      </c>
      <c r="C12" s="6" t="s">
        <v>5</v>
      </c>
      <c r="D12" s="241">
        <v>68187706.930000007</v>
      </c>
      <c r="E12" s="245">
        <f>84824449.73+351096.55-615049.97</f>
        <v>84560496.310000002</v>
      </c>
    </row>
    <row r="13" spans="2:7">
      <c r="B13" s="106" t="s">
        <v>6</v>
      </c>
      <c r="C13" s="68" t="s">
        <v>7</v>
      </c>
      <c r="D13" s="237"/>
      <c r="E13" s="246"/>
    </row>
    <row r="14" spans="2:7">
      <c r="B14" s="106" t="s">
        <v>8</v>
      </c>
      <c r="C14" s="68" t="s">
        <v>10</v>
      </c>
      <c r="D14" s="237">
        <v>189347.76</v>
      </c>
      <c r="E14" s="246">
        <f>E15</f>
        <v>635766.76</v>
      </c>
    </row>
    <row r="15" spans="2:7">
      <c r="B15" s="106" t="s">
        <v>106</v>
      </c>
      <c r="C15" s="68" t="s">
        <v>11</v>
      </c>
      <c r="D15" s="237">
        <v>189347.76</v>
      </c>
      <c r="E15" s="246">
        <v>635766.76</v>
      </c>
    </row>
    <row r="16" spans="2:7">
      <c r="B16" s="107" t="s">
        <v>107</v>
      </c>
      <c r="C16" s="91" t="s">
        <v>12</v>
      </c>
      <c r="D16" s="239"/>
      <c r="E16" s="247"/>
    </row>
    <row r="17" spans="2:8">
      <c r="B17" s="9" t="s">
        <v>13</v>
      </c>
      <c r="C17" s="11" t="s">
        <v>65</v>
      </c>
      <c r="D17" s="240">
        <v>87608</v>
      </c>
      <c r="E17" s="248">
        <f>E18</f>
        <v>108280.82</v>
      </c>
    </row>
    <row r="18" spans="2:8">
      <c r="B18" s="106" t="s">
        <v>4</v>
      </c>
      <c r="C18" s="6" t="s">
        <v>11</v>
      </c>
      <c r="D18" s="239">
        <v>87608</v>
      </c>
      <c r="E18" s="247">
        <v>108280.82</v>
      </c>
      <c r="H18" s="67"/>
    </row>
    <row r="19" spans="2:8" ht="15" customHeight="1">
      <c r="B19" s="106" t="s">
        <v>6</v>
      </c>
      <c r="C19" s="68" t="s">
        <v>108</v>
      </c>
      <c r="D19" s="237"/>
      <c r="E19" s="246"/>
    </row>
    <row r="20" spans="2:8" ht="13.5" thickBot="1">
      <c r="B20" s="108" t="s">
        <v>8</v>
      </c>
      <c r="C20" s="69" t="s">
        <v>14</v>
      </c>
      <c r="D20" s="229"/>
      <c r="E20" s="230"/>
    </row>
    <row r="21" spans="2:8" ht="13.5" thickBot="1">
      <c r="B21" s="361" t="s">
        <v>110</v>
      </c>
      <c r="C21" s="362"/>
      <c r="D21" s="231">
        <v>68289446.690000013</v>
      </c>
      <c r="E21" s="148">
        <f>E11-E17</f>
        <v>85087982.250000015</v>
      </c>
      <c r="F21" s="77"/>
    </row>
    <row r="22" spans="2:8">
      <c r="B22" s="3"/>
      <c r="C22" s="7"/>
      <c r="D22" s="8"/>
      <c r="E22" s="8"/>
    </row>
    <row r="23" spans="2:8" ht="13.5">
      <c r="B23" s="355" t="s">
        <v>104</v>
      </c>
      <c r="C23" s="363"/>
      <c r="D23" s="363"/>
      <c r="E23" s="363"/>
    </row>
    <row r="24" spans="2:8" ht="15.75" customHeight="1" thickBot="1">
      <c r="B24" s="354" t="s">
        <v>105</v>
      </c>
      <c r="C24" s="364"/>
      <c r="D24" s="364"/>
      <c r="E24" s="364"/>
    </row>
    <row r="25" spans="2:8" ht="13.5" thickBot="1">
      <c r="B25" s="86"/>
      <c r="C25" s="5" t="s">
        <v>2</v>
      </c>
      <c r="D25" s="70" t="s">
        <v>245</v>
      </c>
      <c r="E25" s="255" t="s">
        <v>265</v>
      </c>
    </row>
    <row r="26" spans="2:8">
      <c r="B26" s="95" t="s">
        <v>15</v>
      </c>
      <c r="C26" s="96" t="s">
        <v>16</v>
      </c>
      <c r="D26" s="322">
        <v>59555182.450000003</v>
      </c>
      <c r="E26" s="217">
        <f>D21</f>
        <v>68289446.690000013</v>
      </c>
    </row>
    <row r="27" spans="2:8">
      <c r="B27" s="9" t="s">
        <v>17</v>
      </c>
      <c r="C27" s="10" t="s">
        <v>111</v>
      </c>
      <c r="D27" s="323">
        <v>7822604.2800000142</v>
      </c>
      <c r="E27" s="274">
        <f>E28-E32</f>
        <v>12785511.190000001</v>
      </c>
      <c r="F27" s="71"/>
    </row>
    <row r="28" spans="2:8">
      <c r="B28" s="9" t="s">
        <v>18</v>
      </c>
      <c r="C28" s="10" t="s">
        <v>19</v>
      </c>
      <c r="D28" s="323">
        <v>18436518.109999999</v>
      </c>
      <c r="E28" s="275">
        <v>29072909.940000001</v>
      </c>
      <c r="F28" s="71"/>
    </row>
    <row r="29" spans="2:8">
      <c r="B29" s="104" t="s">
        <v>4</v>
      </c>
      <c r="C29" s="6" t="s">
        <v>20</v>
      </c>
      <c r="D29" s="324">
        <v>16545453.379999999</v>
      </c>
      <c r="E29" s="276">
        <v>19738099.960000001</v>
      </c>
      <c r="F29" s="71"/>
    </row>
    <row r="30" spans="2:8">
      <c r="B30" s="104" t="s">
        <v>6</v>
      </c>
      <c r="C30" s="6" t="s">
        <v>21</v>
      </c>
      <c r="D30" s="324"/>
      <c r="E30" s="276"/>
      <c r="F30" s="71"/>
    </row>
    <row r="31" spans="2:8">
      <c r="B31" s="104" t="s">
        <v>8</v>
      </c>
      <c r="C31" s="6" t="s">
        <v>22</v>
      </c>
      <c r="D31" s="324">
        <v>1891064.73</v>
      </c>
      <c r="E31" s="276">
        <v>9334809.9800000004</v>
      </c>
      <c r="F31" s="71"/>
    </row>
    <row r="32" spans="2:8">
      <c r="B32" s="92" t="s">
        <v>23</v>
      </c>
      <c r="C32" s="11" t="s">
        <v>24</v>
      </c>
      <c r="D32" s="323">
        <v>10613913.829999985</v>
      </c>
      <c r="E32" s="275">
        <f>SUM(E33:E39)</f>
        <v>16287398.75</v>
      </c>
      <c r="F32" s="71"/>
    </row>
    <row r="33" spans="2:6">
      <c r="B33" s="104" t="s">
        <v>4</v>
      </c>
      <c r="C33" s="6" t="s">
        <v>25</v>
      </c>
      <c r="D33" s="324">
        <v>8437293.5700000003</v>
      </c>
      <c r="E33" s="276">
        <f>9808446.35-1807.24</f>
        <v>9806639.1099999994</v>
      </c>
      <c r="F33" s="71"/>
    </row>
    <row r="34" spans="2:6">
      <c r="B34" s="104" t="s">
        <v>6</v>
      </c>
      <c r="C34" s="6" t="s">
        <v>26</v>
      </c>
      <c r="D34" s="324"/>
      <c r="E34" s="276"/>
      <c r="F34" s="71"/>
    </row>
    <row r="35" spans="2:6">
      <c r="B35" s="104" t="s">
        <v>8</v>
      </c>
      <c r="C35" s="6" t="s">
        <v>27</v>
      </c>
      <c r="D35" s="324">
        <v>1570737.62</v>
      </c>
      <c r="E35" s="276">
        <v>1626653.97</v>
      </c>
      <c r="F35" s="71"/>
    </row>
    <row r="36" spans="2:6">
      <c r="B36" s="104" t="s">
        <v>9</v>
      </c>
      <c r="C36" s="6" t="s">
        <v>28</v>
      </c>
      <c r="D36" s="324"/>
      <c r="E36" s="276"/>
      <c r="F36" s="71"/>
    </row>
    <row r="37" spans="2:6" ht="25.5">
      <c r="B37" s="104" t="s">
        <v>29</v>
      </c>
      <c r="C37" s="6" t="s">
        <v>30</v>
      </c>
      <c r="D37" s="324"/>
      <c r="E37" s="276"/>
      <c r="F37" s="71"/>
    </row>
    <row r="38" spans="2:6">
      <c r="B38" s="104" t="s">
        <v>31</v>
      </c>
      <c r="C38" s="6" t="s">
        <v>32</v>
      </c>
      <c r="D38" s="324"/>
      <c r="E38" s="276"/>
      <c r="F38" s="71"/>
    </row>
    <row r="39" spans="2:6">
      <c r="B39" s="105" t="s">
        <v>33</v>
      </c>
      <c r="C39" s="12" t="s">
        <v>34</v>
      </c>
      <c r="D39" s="325">
        <v>605882.63999998383</v>
      </c>
      <c r="E39" s="277">
        <v>4854105.67</v>
      </c>
      <c r="F39" s="71"/>
    </row>
    <row r="40" spans="2:6" ht="13.5" thickBot="1">
      <c r="B40" s="97" t="s">
        <v>35</v>
      </c>
      <c r="C40" s="98" t="s">
        <v>36</v>
      </c>
      <c r="D40" s="326">
        <v>911659.96</v>
      </c>
      <c r="E40" s="279">
        <v>4013024.37</v>
      </c>
    </row>
    <row r="41" spans="2:6" ht="13.5" thickBot="1">
      <c r="B41" s="99" t="s">
        <v>37</v>
      </c>
      <c r="C41" s="100" t="s">
        <v>38</v>
      </c>
      <c r="D41" s="327">
        <v>68289446.690000013</v>
      </c>
      <c r="E41" s="148">
        <f>E26+E27+E40</f>
        <v>85087982.250000015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57"/>
      <c r="D43" s="357"/>
      <c r="E43" s="357"/>
    </row>
    <row r="44" spans="2:6" ht="17.25" customHeight="1" thickBot="1">
      <c r="B44" s="354" t="s">
        <v>121</v>
      </c>
      <c r="C44" s="358"/>
      <c r="D44" s="358"/>
      <c r="E44" s="358"/>
    </row>
    <row r="45" spans="2:6" ht="13.5" thickBot="1">
      <c r="B45" s="86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210"/>
      <c r="E46" s="28"/>
    </row>
    <row r="47" spans="2:6">
      <c r="B47" s="102" t="s">
        <v>4</v>
      </c>
      <c r="C47" s="15" t="s">
        <v>40</v>
      </c>
      <c r="D47" s="200">
        <v>4861973.9389199996</v>
      </c>
      <c r="E47" s="73">
        <v>5494161.6903999997</v>
      </c>
    </row>
    <row r="48" spans="2:6">
      <c r="B48" s="123" t="s">
        <v>6</v>
      </c>
      <c r="C48" s="22" t="s">
        <v>41</v>
      </c>
      <c r="D48" s="200">
        <v>5494161.6903999997</v>
      </c>
      <c r="E48" s="335">
        <v>6483694.3091000002</v>
      </c>
    </row>
    <row r="49" spans="2:5">
      <c r="B49" s="120" t="s">
        <v>23</v>
      </c>
      <c r="C49" s="124" t="s">
        <v>113</v>
      </c>
      <c r="D49" s="201"/>
      <c r="E49" s="125"/>
    </row>
    <row r="50" spans="2:5">
      <c r="B50" s="102" t="s">
        <v>4</v>
      </c>
      <c r="C50" s="15" t="s">
        <v>40</v>
      </c>
      <c r="D50" s="200">
        <v>12.2491776381711</v>
      </c>
      <c r="E50" s="233">
        <v>12.429500000000001</v>
      </c>
    </row>
    <row r="51" spans="2:5">
      <c r="B51" s="102" t="s">
        <v>6</v>
      </c>
      <c r="C51" s="15" t="s">
        <v>114</v>
      </c>
      <c r="D51" s="200">
        <v>12.1929</v>
      </c>
      <c r="E51" s="294">
        <v>12.3536</v>
      </c>
    </row>
    <row r="52" spans="2:5" ht="12" customHeight="1">
      <c r="B52" s="102" t="s">
        <v>8</v>
      </c>
      <c r="C52" s="15" t="s">
        <v>115</v>
      </c>
      <c r="D52" s="200">
        <v>12.602</v>
      </c>
      <c r="E52" s="75">
        <v>13.225099999999999</v>
      </c>
    </row>
    <row r="53" spans="2:5" ht="13.5" thickBot="1">
      <c r="B53" s="103" t="s">
        <v>9</v>
      </c>
      <c r="C53" s="17" t="s">
        <v>41</v>
      </c>
      <c r="D53" s="202">
        <v>12.429500000000001</v>
      </c>
      <c r="E53" s="280">
        <v>13.1234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6.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SUM(D59:D70)</f>
        <v>84560496.310000002</v>
      </c>
      <c r="E58" s="31">
        <f>D58/E21</f>
        <v>0.99380069986322883</v>
      </c>
    </row>
    <row r="59" spans="2:5" ht="25.5">
      <c r="B59" s="21" t="s">
        <v>4</v>
      </c>
      <c r="C59" s="22" t="s">
        <v>44</v>
      </c>
      <c r="D59" s="80">
        <v>0</v>
      </c>
      <c r="E59" s="81">
        <v>0</v>
      </c>
    </row>
    <row r="60" spans="2:5" ht="24" customHeight="1">
      <c r="B60" s="14" t="s">
        <v>6</v>
      </c>
      <c r="C60" s="15" t="s">
        <v>45</v>
      </c>
      <c r="D60" s="78">
        <v>0</v>
      </c>
      <c r="E60" s="79">
        <v>0</v>
      </c>
    </row>
    <row r="61" spans="2:5">
      <c r="B61" s="14" t="s">
        <v>8</v>
      </c>
      <c r="C61" s="15" t="s">
        <v>46</v>
      </c>
      <c r="D61" s="78">
        <v>0</v>
      </c>
      <c r="E61" s="79">
        <v>0</v>
      </c>
    </row>
    <row r="62" spans="2:5">
      <c r="B62" s="14" t="s">
        <v>9</v>
      </c>
      <c r="C62" s="15" t="s">
        <v>47</v>
      </c>
      <c r="D62" s="78">
        <v>0</v>
      </c>
      <c r="E62" s="79">
        <v>0</v>
      </c>
    </row>
    <row r="63" spans="2:5">
      <c r="B63" s="14" t="s">
        <v>29</v>
      </c>
      <c r="C63" s="15" t="s">
        <v>48</v>
      </c>
      <c r="D63" s="78">
        <v>0</v>
      </c>
      <c r="E63" s="79">
        <v>0</v>
      </c>
    </row>
    <row r="64" spans="2:5">
      <c r="B64" s="21" t="s">
        <v>31</v>
      </c>
      <c r="C64" s="22" t="s">
        <v>49</v>
      </c>
      <c r="D64" s="234">
        <v>84209399.760000005</v>
      </c>
      <c r="E64" s="81">
        <f>D64/E21</f>
        <v>0.98967442326439692</v>
      </c>
    </row>
    <row r="65" spans="2:5">
      <c r="B65" s="21" t="s">
        <v>33</v>
      </c>
      <c r="C65" s="22" t="s">
        <v>118</v>
      </c>
      <c r="D65" s="80">
        <v>0</v>
      </c>
      <c r="E65" s="81">
        <v>0</v>
      </c>
    </row>
    <row r="66" spans="2:5">
      <c r="B66" s="21" t="s">
        <v>50</v>
      </c>
      <c r="C66" s="22" t="s">
        <v>51</v>
      </c>
      <c r="D66" s="80">
        <v>0</v>
      </c>
      <c r="E66" s="81">
        <v>0</v>
      </c>
    </row>
    <row r="67" spans="2:5">
      <c r="B67" s="14" t="s">
        <v>52</v>
      </c>
      <c r="C67" s="15" t="s">
        <v>53</v>
      </c>
      <c r="D67" s="78">
        <v>0</v>
      </c>
      <c r="E67" s="79">
        <v>0</v>
      </c>
    </row>
    <row r="68" spans="2:5">
      <c r="B68" s="14" t="s">
        <v>54</v>
      </c>
      <c r="C68" s="15" t="s">
        <v>55</v>
      </c>
      <c r="D68" s="78">
        <v>0</v>
      </c>
      <c r="E68" s="79">
        <v>0</v>
      </c>
    </row>
    <row r="69" spans="2:5">
      <c r="B69" s="14" t="s">
        <v>56</v>
      </c>
      <c r="C69" s="15" t="s">
        <v>57</v>
      </c>
      <c r="D69" s="302">
        <v>351096.55</v>
      </c>
      <c r="E69" s="79">
        <f>D69/E21</f>
        <v>4.1262765988319102E-3</v>
      </c>
    </row>
    <row r="70" spans="2:5">
      <c r="B70" s="112" t="s">
        <v>58</v>
      </c>
      <c r="C70" s="113" t="s">
        <v>59</v>
      </c>
      <c r="D70" s="114">
        <v>0</v>
      </c>
      <c r="E70" s="115">
        <v>0</v>
      </c>
    </row>
    <row r="71" spans="2:5">
      <c r="B71" s="120" t="s">
        <v>23</v>
      </c>
      <c r="C71" s="121" t="s">
        <v>61</v>
      </c>
      <c r="D71" s="122">
        <f>E13</f>
        <v>0</v>
      </c>
      <c r="E71" s="66">
        <v>0</v>
      </c>
    </row>
    <row r="72" spans="2:5">
      <c r="B72" s="116" t="s">
        <v>60</v>
      </c>
      <c r="C72" s="117" t="s">
        <v>63</v>
      </c>
      <c r="D72" s="118">
        <f>E14</f>
        <v>635766.76</v>
      </c>
      <c r="E72" s="119">
        <f>D72/E21</f>
        <v>7.4718749133341903E-3</v>
      </c>
    </row>
    <row r="73" spans="2:5">
      <c r="B73" s="23" t="s">
        <v>62</v>
      </c>
      <c r="C73" s="24" t="s">
        <v>65</v>
      </c>
      <c r="D73" s="25">
        <f>E17</f>
        <v>108280.82</v>
      </c>
      <c r="E73" s="26">
        <f>D73/E21</f>
        <v>1.2725747765631144E-3</v>
      </c>
    </row>
    <row r="74" spans="2:5">
      <c r="B74" s="120" t="s">
        <v>64</v>
      </c>
      <c r="C74" s="121" t="s">
        <v>66</v>
      </c>
      <c r="D74" s="122">
        <f>D58+D71+D72-D73</f>
        <v>85087982.250000015</v>
      </c>
      <c r="E74" s="66">
        <f>E58+E72-E73</f>
        <v>0.99999999999999989</v>
      </c>
    </row>
    <row r="75" spans="2:5">
      <c r="B75" s="14" t="s">
        <v>4</v>
      </c>
      <c r="C75" s="15" t="s">
        <v>67</v>
      </c>
      <c r="D75" s="78">
        <f>D74</f>
        <v>85087982.250000015</v>
      </c>
      <c r="E75" s="79">
        <f>E74</f>
        <v>0.99999999999999989</v>
      </c>
    </row>
    <row r="76" spans="2:5">
      <c r="B76" s="14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6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6"/>
  <dimension ref="A1:G81"/>
  <sheetViews>
    <sheetView zoomScale="80" zoomScaleNormal="80" workbookViewId="0">
      <selection activeCell="G16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38"/>
      <c r="C4" s="138"/>
      <c r="D4" s="138"/>
      <c r="E4" s="138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191</v>
      </c>
      <c r="C6" s="353"/>
      <c r="D6" s="353"/>
      <c r="E6" s="353"/>
    </row>
    <row r="7" spans="2:7" ht="14.25">
      <c r="B7" s="136"/>
      <c r="C7" s="136"/>
      <c r="D7" s="136"/>
      <c r="E7" s="136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37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1848451.8</v>
      </c>
      <c r="E11" s="228">
        <f>SUM(E12:E14)</f>
        <v>3902970.36</v>
      </c>
    </row>
    <row r="12" spans="2:7">
      <c r="B12" s="173" t="s">
        <v>4</v>
      </c>
      <c r="C12" s="174" t="s">
        <v>5</v>
      </c>
      <c r="D12" s="241">
        <v>1848451.8</v>
      </c>
      <c r="E12" s="245">
        <v>3902970.36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1848451.8</v>
      </c>
      <c r="E21" s="148">
        <f>E11-E17</f>
        <v>3902970.36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3172633.79</v>
      </c>
      <c r="E26" s="217">
        <f>D21</f>
        <v>1848451.8</v>
      </c>
    </row>
    <row r="27" spans="2:6">
      <c r="B27" s="9" t="s">
        <v>17</v>
      </c>
      <c r="C27" s="10" t="s">
        <v>111</v>
      </c>
      <c r="D27" s="323">
        <v>-1574750.03</v>
      </c>
      <c r="E27" s="274">
        <v>2122434.61</v>
      </c>
      <c r="F27" s="71"/>
    </row>
    <row r="28" spans="2:6">
      <c r="B28" s="9" t="s">
        <v>18</v>
      </c>
      <c r="C28" s="10" t="s">
        <v>19</v>
      </c>
      <c r="D28" s="323">
        <v>226911.35</v>
      </c>
      <c r="E28" s="275">
        <v>2511610.96</v>
      </c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>
        <v>226911.35</v>
      </c>
      <c r="E31" s="276">
        <v>2511610.96</v>
      </c>
      <c r="F31" s="71"/>
    </row>
    <row r="32" spans="2:6">
      <c r="B32" s="92" t="s">
        <v>23</v>
      </c>
      <c r="C32" s="11" t="s">
        <v>24</v>
      </c>
      <c r="D32" s="323">
        <v>1801661.38</v>
      </c>
      <c r="E32" s="275">
        <v>389176.35</v>
      </c>
      <c r="F32" s="71"/>
    </row>
    <row r="33" spans="2:6">
      <c r="B33" s="181" t="s">
        <v>4</v>
      </c>
      <c r="C33" s="174" t="s">
        <v>25</v>
      </c>
      <c r="D33" s="324">
        <v>1756682</v>
      </c>
      <c r="E33" s="276">
        <v>140199.41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3531</v>
      </c>
      <c r="E35" s="276">
        <v>1624.13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41448.379999999997</v>
      </c>
      <c r="E37" s="276">
        <v>57245.440000000002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>
        <v>190107.37</v>
      </c>
      <c r="F39" s="71"/>
    </row>
    <row r="40" spans="2:6" ht="13.5" thickBot="1">
      <c r="B40" s="97" t="s">
        <v>35</v>
      </c>
      <c r="C40" s="98" t="s">
        <v>36</v>
      </c>
      <c r="D40" s="326">
        <v>250568.04</v>
      </c>
      <c r="E40" s="279">
        <v>-67916.05</v>
      </c>
    </row>
    <row r="41" spans="2:6" ht="13.5" thickBot="1">
      <c r="B41" s="99" t="s">
        <v>37</v>
      </c>
      <c r="C41" s="100" t="s">
        <v>38</v>
      </c>
      <c r="D41" s="327">
        <v>1848451.8</v>
      </c>
      <c r="E41" s="148">
        <f>E26+E27+E40</f>
        <v>3902970.3600000003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37193.830999999998</v>
      </c>
      <c r="E47" s="149">
        <v>19721.026320000001</v>
      </c>
    </row>
    <row r="48" spans="2:6">
      <c r="B48" s="186" t="s">
        <v>6</v>
      </c>
      <c r="C48" s="187" t="s">
        <v>41</v>
      </c>
      <c r="D48" s="200">
        <v>19721.026320000001</v>
      </c>
      <c r="E48" s="149">
        <v>41980.965429999997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84" t="s">
        <v>4</v>
      </c>
      <c r="C50" s="185" t="s">
        <v>40</v>
      </c>
      <c r="D50" s="200">
        <v>85.3</v>
      </c>
      <c r="E50" s="149">
        <v>93.73</v>
      </c>
    </row>
    <row r="51" spans="2:5">
      <c r="B51" s="184" t="s">
        <v>6</v>
      </c>
      <c r="C51" s="185" t="s">
        <v>114</v>
      </c>
      <c r="D51" s="200">
        <v>85.3</v>
      </c>
      <c r="E51" s="149">
        <v>75.56</v>
      </c>
    </row>
    <row r="52" spans="2:5">
      <c r="B52" s="184" t="s">
        <v>8</v>
      </c>
      <c r="C52" s="185" t="s">
        <v>115</v>
      </c>
      <c r="D52" s="200">
        <v>93.73</v>
      </c>
      <c r="E52" s="75">
        <v>93.97</v>
      </c>
    </row>
    <row r="53" spans="2:5" ht="12.75" customHeight="1" thickBot="1">
      <c r="B53" s="188" t="s">
        <v>9</v>
      </c>
      <c r="C53" s="189" t="s">
        <v>41</v>
      </c>
      <c r="D53" s="202">
        <v>93.73</v>
      </c>
      <c r="E53" s="280">
        <v>92.97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6.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3902970.36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3902970.36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3902970.36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3902970.36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7"/>
  <dimension ref="A1:G81"/>
  <sheetViews>
    <sheetView zoomScale="80" zoomScaleNormal="80" workbookViewId="0">
      <selection activeCell="G13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38"/>
      <c r="C4" s="138"/>
      <c r="D4" s="138"/>
      <c r="E4" s="138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192</v>
      </c>
      <c r="C6" s="353"/>
      <c r="D6" s="353"/>
      <c r="E6" s="353"/>
    </row>
    <row r="7" spans="2:7" ht="14.25">
      <c r="B7" s="136"/>
      <c r="C7" s="136"/>
      <c r="D7" s="136"/>
      <c r="E7" s="136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37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614174.27</v>
      </c>
      <c r="E11" s="228">
        <f>SUM(E12:E14)</f>
        <v>156439.49</v>
      </c>
    </row>
    <row r="12" spans="2:7">
      <c r="B12" s="173" t="s">
        <v>4</v>
      </c>
      <c r="C12" s="174" t="s">
        <v>5</v>
      </c>
      <c r="D12" s="241">
        <v>614174.27</v>
      </c>
      <c r="E12" s="245">
        <v>156439.49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614174.27</v>
      </c>
      <c r="E21" s="148">
        <f>E11-E17</f>
        <v>156439.49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620886.81000000006</v>
      </c>
      <c r="E26" s="217">
        <f>D21</f>
        <v>614174.27</v>
      </c>
    </row>
    <row r="27" spans="2:6">
      <c r="B27" s="9" t="s">
        <v>17</v>
      </c>
      <c r="C27" s="10" t="s">
        <v>111</v>
      </c>
      <c r="D27" s="323">
        <v>-140328.82</v>
      </c>
      <c r="E27" s="274">
        <v>-415653.64</v>
      </c>
      <c r="F27" s="71"/>
    </row>
    <row r="28" spans="2:6">
      <c r="B28" s="9" t="s">
        <v>18</v>
      </c>
      <c r="C28" s="10" t="s">
        <v>19</v>
      </c>
      <c r="D28" s="323">
        <v>94975.62</v>
      </c>
      <c r="E28" s="275">
        <v>11403.01</v>
      </c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>
        <v>94975.62</v>
      </c>
      <c r="E31" s="276">
        <v>11403.01</v>
      </c>
      <c r="F31" s="71"/>
    </row>
    <row r="32" spans="2:6">
      <c r="B32" s="92" t="s">
        <v>23</v>
      </c>
      <c r="C32" s="11" t="s">
        <v>24</v>
      </c>
      <c r="D32" s="323">
        <v>235304.44</v>
      </c>
      <c r="E32" s="275">
        <v>427056.65</v>
      </c>
      <c r="F32" s="71"/>
    </row>
    <row r="33" spans="2:6">
      <c r="B33" s="181" t="s">
        <v>4</v>
      </c>
      <c r="C33" s="174" t="s">
        <v>25</v>
      </c>
      <c r="D33" s="324">
        <v>82078.960000000006</v>
      </c>
      <c r="E33" s="276">
        <v>169140.86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448.13</v>
      </c>
      <c r="E35" s="276">
        <v>321.22000000000003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11077.05</v>
      </c>
      <c r="E37" s="276">
        <v>5309.13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>
        <v>141700.29999999999</v>
      </c>
      <c r="E39" s="277">
        <v>252285.44</v>
      </c>
      <c r="F39" s="71"/>
    </row>
    <row r="40" spans="2:6" ht="13.5" thickBot="1">
      <c r="B40" s="97" t="s">
        <v>35</v>
      </c>
      <c r="C40" s="98" t="s">
        <v>36</v>
      </c>
      <c r="D40" s="326">
        <v>133616.28</v>
      </c>
      <c r="E40" s="279">
        <v>-42081.14</v>
      </c>
    </row>
    <row r="41" spans="2:6" ht="13.5" thickBot="1">
      <c r="B41" s="99" t="s">
        <v>37</v>
      </c>
      <c r="C41" s="100" t="s">
        <v>38</v>
      </c>
      <c r="D41" s="327">
        <v>614174.27</v>
      </c>
      <c r="E41" s="148">
        <f>E26+E27+E40</f>
        <v>156439.49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3346.9182999999998</v>
      </c>
      <c r="E47" s="149">
        <v>2707.7606500000002</v>
      </c>
    </row>
    <row r="48" spans="2:6">
      <c r="B48" s="186" t="s">
        <v>6</v>
      </c>
      <c r="C48" s="187" t="s">
        <v>41</v>
      </c>
      <c r="D48" s="200">
        <v>2707.7606500000002</v>
      </c>
      <c r="E48" s="149">
        <v>698.17238999999995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84" t="s">
        <v>4</v>
      </c>
      <c r="C50" s="185" t="s">
        <v>40</v>
      </c>
      <c r="D50" s="200">
        <v>185.51</v>
      </c>
      <c r="E50" s="149">
        <v>226.82</v>
      </c>
    </row>
    <row r="51" spans="2:5">
      <c r="B51" s="184" t="s">
        <v>6</v>
      </c>
      <c r="C51" s="185" t="s">
        <v>114</v>
      </c>
      <c r="D51" s="200">
        <v>184.16</v>
      </c>
      <c r="E51" s="75">
        <v>151.97</v>
      </c>
    </row>
    <row r="52" spans="2:5">
      <c r="B52" s="184" t="s">
        <v>8</v>
      </c>
      <c r="C52" s="185" t="s">
        <v>115</v>
      </c>
      <c r="D52" s="200">
        <v>227.63</v>
      </c>
      <c r="E52" s="75">
        <v>231.55</v>
      </c>
    </row>
    <row r="53" spans="2:5" ht="12.75" customHeight="1" thickBot="1">
      <c r="B53" s="188" t="s">
        <v>9</v>
      </c>
      <c r="C53" s="189" t="s">
        <v>41</v>
      </c>
      <c r="D53" s="202">
        <v>226.82</v>
      </c>
      <c r="E53" s="280">
        <v>224.07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6.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156439.49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156439.49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156439.49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156439.49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8"/>
  <dimension ref="A1:F81"/>
  <sheetViews>
    <sheetView zoomScale="80" zoomScaleNormal="80" workbookViewId="0">
      <selection activeCell="G16" sqref="G1:M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1" t="s">
        <v>0</v>
      </c>
      <c r="C2" s="351"/>
      <c r="D2" s="351"/>
      <c r="E2" s="351"/>
    </row>
    <row r="3" spans="2:5" ht="15.75">
      <c r="B3" s="351" t="s">
        <v>271</v>
      </c>
      <c r="C3" s="351"/>
      <c r="D3" s="351"/>
      <c r="E3" s="351"/>
    </row>
    <row r="4" spans="2:5" ht="15">
      <c r="B4" s="138"/>
      <c r="C4" s="138"/>
      <c r="D4" s="138"/>
      <c r="E4" s="138"/>
    </row>
    <row r="5" spans="2:5" ht="21" customHeight="1">
      <c r="B5" s="352" t="s">
        <v>1</v>
      </c>
      <c r="C5" s="352"/>
      <c r="D5" s="352"/>
      <c r="E5" s="352"/>
    </row>
    <row r="6" spans="2:5" ht="14.25">
      <c r="B6" s="353" t="s">
        <v>193</v>
      </c>
      <c r="C6" s="353"/>
      <c r="D6" s="353"/>
      <c r="E6" s="353"/>
    </row>
    <row r="7" spans="2:5" ht="14.25">
      <c r="B7" s="136"/>
      <c r="C7" s="136"/>
      <c r="D7" s="136"/>
      <c r="E7" s="136"/>
    </row>
    <row r="8" spans="2:5" ht="13.5">
      <c r="B8" s="355" t="s">
        <v>18</v>
      </c>
      <c r="C8" s="357"/>
      <c r="D8" s="357"/>
      <c r="E8" s="357"/>
    </row>
    <row r="9" spans="2:5" ht="16.5" thickBot="1">
      <c r="B9" s="354" t="s">
        <v>103</v>
      </c>
      <c r="C9" s="354"/>
      <c r="D9" s="354"/>
      <c r="E9" s="354"/>
    </row>
    <row r="10" spans="2:5" ht="13.5" thickBot="1">
      <c r="B10" s="137"/>
      <c r="C10" s="76" t="s">
        <v>2</v>
      </c>
      <c r="D10" s="70" t="s">
        <v>245</v>
      </c>
      <c r="E10" s="255" t="s">
        <v>265</v>
      </c>
    </row>
    <row r="11" spans="2:5">
      <c r="B11" s="90" t="s">
        <v>3</v>
      </c>
      <c r="C11" s="128" t="s">
        <v>109</v>
      </c>
      <c r="D11" s="227">
        <v>53043.67</v>
      </c>
      <c r="E11" s="228">
        <f>SUM(E12:E14)</f>
        <v>50262.98</v>
      </c>
    </row>
    <row r="12" spans="2:5">
      <c r="B12" s="173" t="s">
        <v>4</v>
      </c>
      <c r="C12" s="174" t="s">
        <v>5</v>
      </c>
      <c r="D12" s="241">
        <v>53043.67</v>
      </c>
      <c r="E12" s="245">
        <v>50262.98</v>
      </c>
    </row>
    <row r="13" spans="2:5">
      <c r="B13" s="173" t="s">
        <v>6</v>
      </c>
      <c r="C13" s="175" t="s">
        <v>7</v>
      </c>
      <c r="D13" s="237"/>
      <c r="E13" s="246"/>
    </row>
    <row r="14" spans="2:5">
      <c r="B14" s="173" t="s">
        <v>8</v>
      </c>
      <c r="C14" s="175" t="s">
        <v>10</v>
      </c>
      <c r="D14" s="237"/>
      <c r="E14" s="246"/>
    </row>
    <row r="15" spans="2:5">
      <c r="B15" s="173" t="s">
        <v>106</v>
      </c>
      <c r="C15" s="175" t="s">
        <v>11</v>
      </c>
      <c r="D15" s="237"/>
      <c r="E15" s="246"/>
    </row>
    <row r="16" spans="2:5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53043.67</v>
      </c>
      <c r="E21" s="148">
        <f>E11-E17</f>
        <v>50262.98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57250.65</v>
      </c>
      <c r="E26" s="217">
        <f>D21</f>
        <v>53043.67</v>
      </c>
    </row>
    <row r="27" spans="2:6">
      <c r="B27" s="9" t="s">
        <v>17</v>
      </c>
      <c r="C27" s="10" t="s">
        <v>111</v>
      </c>
      <c r="D27" s="323">
        <v>-7043.45</v>
      </c>
      <c r="E27" s="274">
        <v>-3105</v>
      </c>
      <c r="F27" s="71"/>
    </row>
    <row r="28" spans="2:6">
      <c r="B28" s="9" t="s">
        <v>18</v>
      </c>
      <c r="C28" s="10" t="s">
        <v>19</v>
      </c>
      <c r="D28" s="323">
        <v>0</v>
      </c>
      <c r="E28" s="275">
        <v>0</v>
      </c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7043.45</v>
      </c>
      <c r="E32" s="275">
        <v>3105</v>
      </c>
      <c r="F32" s="71"/>
    </row>
    <row r="33" spans="2:6">
      <c r="B33" s="181" t="s">
        <v>4</v>
      </c>
      <c r="C33" s="174" t="s">
        <v>25</v>
      </c>
      <c r="D33" s="324">
        <v>5948.42</v>
      </c>
      <c r="E33" s="276">
        <v>1994.28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340.66</v>
      </c>
      <c r="E35" s="276">
        <v>373.63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754.37</v>
      </c>
      <c r="E37" s="276">
        <v>737.09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/>
      <c r="F39" s="71"/>
    </row>
    <row r="40" spans="2:6" ht="13.5" thickBot="1">
      <c r="B40" s="97" t="s">
        <v>35</v>
      </c>
      <c r="C40" s="98" t="s">
        <v>36</v>
      </c>
      <c r="D40" s="326">
        <v>2836.47</v>
      </c>
      <c r="E40" s="279">
        <v>324.31</v>
      </c>
    </row>
    <row r="41" spans="2:6" ht="13.5" thickBot="1">
      <c r="B41" s="99" t="s">
        <v>37</v>
      </c>
      <c r="C41" s="100" t="s">
        <v>38</v>
      </c>
      <c r="D41" s="327">
        <v>53043.670000000006</v>
      </c>
      <c r="E41" s="148">
        <f>E26+E27+E40</f>
        <v>50262.979999999996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487.94549999999998</v>
      </c>
      <c r="E47" s="149">
        <v>429.39909999999998</v>
      </c>
    </row>
    <row r="48" spans="2:6">
      <c r="B48" s="186" t="s">
        <v>6</v>
      </c>
      <c r="C48" s="187" t="s">
        <v>41</v>
      </c>
      <c r="D48" s="200">
        <v>429.39909999999998</v>
      </c>
      <c r="E48" s="149">
        <v>403.97832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84" t="s">
        <v>4</v>
      </c>
      <c r="C50" s="185" t="s">
        <v>40</v>
      </c>
      <c r="D50" s="200">
        <v>117.33</v>
      </c>
      <c r="E50" s="149">
        <v>123.53</v>
      </c>
    </row>
    <row r="51" spans="2:5">
      <c r="B51" s="184" t="s">
        <v>6</v>
      </c>
      <c r="C51" s="185" t="s">
        <v>114</v>
      </c>
      <c r="D51" s="200">
        <v>117.02</v>
      </c>
      <c r="E51" s="149">
        <v>112.78</v>
      </c>
    </row>
    <row r="52" spans="2:5">
      <c r="B52" s="184" t="s">
        <v>8</v>
      </c>
      <c r="C52" s="185" t="s">
        <v>115</v>
      </c>
      <c r="D52" s="200">
        <v>123.9</v>
      </c>
      <c r="E52" s="75">
        <v>126.54</v>
      </c>
    </row>
    <row r="53" spans="2:5" ht="13.5" customHeight="1" thickBot="1">
      <c r="B53" s="188" t="s">
        <v>9</v>
      </c>
      <c r="C53" s="189" t="s">
        <v>41</v>
      </c>
      <c r="D53" s="202">
        <v>123.53</v>
      </c>
      <c r="E53" s="280">
        <v>124.42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8.7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50262.98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50262.98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50262.98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50262.98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9"/>
  <dimension ref="A1:G81"/>
  <sheetViews>
    <sheetView topLeftCell="A16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7"/>
      <c r="C4" s="147"/>
      <c r="D4" s="147"/>
      <c r="E4" s="147"/>
    </row>
    <row r="5" spans="2:7" ht="14.25">
      <c r="B5" s="352" t="s">
        <v>1</v>
      </c>
      <c r="C5" s="352"/>
      <c r="D5" s="352"/>
      <c r="E5" s="352"/>
    </row>
    <row r="6" spans="2:7" ht="14.25">
      <c r="B6" s="353" t="s">
        <v>194</v>
      </c>
      <c r="C6" s="353"/>
      <c r="D6" s="353"/>
      <c r="E6" s="353"/>
    </row>
    <row r="7" spans="2:7" ht="14.25">
      <c r="B7" s="164"/>
      <c r="C7" s="164"/>
      <c r="D7" s="164"/>
      <c r="E7" s="164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65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/>
      <c r="E11" s="228"/>
    </row>
    <row r="12" spans="2:7">
      <c r="B12" s="173" t="s">
        <v>4</v>
      </c>
      <c r="C12" s="174" t="s">
        <v>5</v>
      </c>
      <c r="D12" s="241"/>
      <c r="E12" s="245"/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/>
      <c r="E21" s="148"/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0</v>
      </c>
      <c r="E26" s="217">
        <f>D21</f>
        <v>0</v>
      </c>
    </row>
    <row r="27" spans="2:6">
      <c r="B27" s="9" t="s">
        <v>17</v>
      </c>
      <c r="C27" s="10" t="s">
        <v>111</v>
      </c>
      <c r="D27" s="323">
        <v>-2.81</v>
      </c>
      <c r="E27" s="274">
        <f>E28-E32</f>
        <v>-2369.2700000000004</v>
      </c>
      <c r="F27" s="71"/>
    </row>
    <row r="28" spans="2:6">
      <c r="B28" s="9" t="s">
        <v>18</v>
      </c>
      <c r="C28" s="10" t="s">
        <v>19</v>
      </c>
      <c r="D28" s="323"/>
      <c r="E28" s="275">
        <v>30002.6</v>
      </c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>
        <v>30002.6</v>
      </c>
      <c r="F31" s="71"/>
    </row>
    <row r="32" spans="2:6">
      <c r="B32" s="92" t="s">
        <v>23</v>
      </c>
      <c r="C32" s="11" t="s">
        <v>24</v>
      </c>
      <c r="D32" s="323">
        <v>2.81</v>
      </c>
      <c r="E32" s="275">
        <f>SUM(E33:E39)</f>
        <v>32371.87</v>
      </c>
      <c r="F32" s="71"/>
    </row>
    <row r="33" spans="2:6">
      <c r="B33" s="181" t="s">
        <v>4</v>
      </c>
      <c r="C33" s="174" t="s">
        <v>25</v>
      </c>
      <c r="D33" s="324">
        <v>2.81</v>
      </c>
      <c r="E33" s="276">
        <v>1.77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/>
      <c r="E35" s="276">
        <v>25.13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/>
      <c r="E37" s="276">
        <v>207.81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>
        <v>32137.16</v>
      </c>
      <c r="F39" s="71"/>
    </row>
    <row r="40" spans="2:6" ht="13.5" thickBot="1">
      <c r="B40" s="97" t="s">
        <v>35</v>
      </c>
      <c r="C40" s="98" t="s">
        <v>36</v>
      </c>
      <c r="D40" s="326">
        <v>2.81</v>
      </c>
      <c r="E40" s="279">
        <v>2369.27</v>
      </c>
    </row>
    <row r="41" spans="2:6" ht="13.5" thickBot="1">
      <c r="B41" s="99" t="s">
        <v>37</v>
      </c>
      <c r="C41" s="100" t="s">
        <v>38</v>
      </c>
      <c r="D41" s="327">
        <v>0</v>
      </c>
      <c r="E41" s="148">
        <f>E26+E27+E40</f>
        <v>0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/>
      <c r="E47" s="149"/>
    </row>
    <row r="48" spans="2:6">
      <c r="B48" s="186" t="s">
        <v>6</v>
      </c>
      <c r="C48" s="187" t="s">
        <v>41</v>
      </c>
      <c r="D48" s="200"/>
      <c r="E48" s="149"/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84" t="s">
        <v>4</v>
      </c>
      <c r="C50" s="185" t="s">
        <v>40</v>
      </c>
      <c r="D50" s="200"/>
      <c r="E50" s="149"/>
    </row>
    <row r="51" spans="2:5">
      <c r="B51" s="184" t="s">
        <v>6</v>
      </c>
      <c r="C51" s="185" t="s">
        <v>114</v>
      </c>
      <c r="D51" s="200">
        <v>107.08</v>
      </c>
      <c r="E51" s="149">
        <v>90.67</v>
      </c>
    </row>
    <row r="52" spans="2:5">
      <c r="B52" s="184" t="s">
        <v>8</v>
      </c>
      <c r="C52" s="185" t="s">
        <v>115</v>
      </c>
      <c r="D52" s="200">
        <v>124.06</v>
      </c>
      <c r="E52" s="75">
        <v>132.78</v>
      </c>
    </row>
    <row r="53" spans="2:5" ht="13.5" thickBot="1">
      <c r="B53" s="188" t="s">
        <v>9</v>
      </c>
      <c r="C53" s="189" t="s">
        <v>41</v>
      </c>
      <c r="D53" s="202"/>
      <c r="E53" s="280"/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4.25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0</v>
      </c>
      <c r="E58" s="31">
        <v>0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0</v>
      </c>
      <c r="E64" s="81">
        <f>E58</f>
        <v>0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0</v>
      </c>
      <c r="E74" s="66">
        <f>E58+E72-E73</f>
        <v>0</v>
      </c>
    </row>
    <row r="75" spans="2:5">
      <c r="B75" s="102" t="s">
        <v>4</v>
      </c>
      <c r="C75" s="15" t="s">
        <v>67</v>
      </c>
      <c r="D75" s="78">
        <f>D74</f>
        <v>0</v>
      </c>
      <c r="E75" s="79">
        <f>E74</f>
        <v>0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6:E56"/>
    <mergeCell ref="B57:C57"/>
    <mergeCell ref="B21:C21"/>
    <mergeCell ref="B23:E23"/>
    <mergeCell ref="B24:E24"/>
    <mergeCell ref="B43:E43"/>
    <mergeCell ref="B44:E44"/>
    <mergeCell ref="B55:E55"/>
    <mergeCell ref="B9:E9"/>
    <mergeCell ref="B2:E2"/>
    <mergeCell ref="B3:E3"/>
    <mergeCell ref="B5:E5"/>
    <mergeCell ref="B6:E6"/>
    <mergeCell ref="B8:E8"/>
  </mergeCells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1"/>
  <dimension ref="A1:G81"/>
  <sheetViews>
    <sheetView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1"/>
      <c r="C4" s="141"/>
      <c r="D4" s="141"/>
      <c r="E4" s="141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195</v>
      </c>
      <c r="C6" s="353"/>
      <c r="D6" s="353"/>
      <c r="E6" s="353"/>
    </row>
    <row r="7" spans="2:7" ht="14.25">
      <c r="B7" s="139"/>
      <c r="C7" s="139"/>
      <c r="D7" s="139"/>
      <c r="E7" s="13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40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33933.9</v>
      </c>
      <c r="E11" s="228">
        <f>SUM(E12:E14)</f>
        <v>21825.79</v>
      </c>
    </row>
    <row r="12" spans="2:7">
      <c r="B12" s="173" t="s">
        <v>4</v>
      </c>
      <c r="C12" s="174" t="s">
        <v>5</v>
      </c>
      <c r="D12" s="241">
        <v>33933.9</v>
      </c>
      <c r="E12" s="245">
        <v>21825.79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33933.9</v>
      </c>
      <c r="E21" s="148">
        <f>E11-E17</f>
        <v>21825.79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33899.839999999997</v>
      </c>
      <c r="E26" s="217">
        <f>D21</f>
        <v>33933.9</v>
      </c>
    </row>
    <row r="27" spans="2:6">
      <c r="B27" s="9" t="s">
        <v>17</v>
      </c>
      <c r="C27" s="10" t="s">
        <v>111</v>
      </c>
      <c r="D27" s="323">
        <v>-3332.7699999999995</v>
      </c>
      <c r="E27" s="274">
        <v>-15899.71</v>
      </c>
      <c r="F27" s="71"/>
    </row>
    <row r="28" spans="2:6">
      <c r="B28" s="9" t="s">
        <v>18</v>
      </c>
      <c r="C28" s="10" t="s">
        <v>19</v>
      </c>
      <c r="D28" s="323"/>
      <c r="E28" s="275"/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3332.7699999999995</v>
      </c>
      <c r="E32" s="275">
        <v>15899.71</v>
      </c>
      <c r="F32" s="71"/>
    </row>
    <row r="33" spans="2:6">
      <c r="B33" s="181" t="s">
        <v>4</v>
      </c>
      <c r="C33" s="174" t="s">
        <v>25</v>
      </c>
      <c r="D33" s="324">
        <v>2033.72</v>
      </c>
      <c r="E33" s="276">
        <v>891.6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659.31</v>
      </c>
      <c r="E35" s="276">
        <v>857.59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639.74</v>
      </c>
      <c r="E37" s="276">
        <v>589.61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>
        <v>13560.91</v>
      </c>
      <c r="F39" s="71"/>
    </row>
    <row r="40" spans="2:6" ht="13.5" thickBot="1">
      <c r="B40" s="97" t="s">
        <v>35</v>
      </c>
      <c r="C40" s="98" t="s">
        <v>36</v>
      </c>
      <c r="D40" s="326">
        <v>3366.83</v>
      </c>
      <c r="E40" s="279">
        <v>3791.6</v>
      </c>
    </row>
    <row r="41" spans="2:6" ht="13.5" thickBot="1">
      <c r="B41" s="99" t="s">
        <v>37</v>
      </c>
      <c r="C41" s="100" t="s">
        <v>38</v>
      </c>
      <c r="D41" s="327">
        <v>33933.899999999994</v>
      </c>
      <c r="E41" s="148">
        <f>E26+E27+E40</f>
        <v>21825.79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399.85660000000001</v>
      </c>
      <c r="E47" s="149">
        <v>362.69670000000002</v>
      </c>
    </row>
    <row r="48" spans="2:6">
      <c r="B48" s="186" t="s">
        <v>6</v>
      </c>
      <c r="C48" s="187" t="s">
        <v>41</v>
      </c>
      <c r="D48" s="200">
        <v>362.69670000000002</v>
      </c>
      <c r="E48" s="149">
        <v>198.77770000000001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84" t="s">
        <v>4</v>
      </c>
      <c r="C50" s="185" t="s">
        <v>40</v>
      </c>
      <c r="D50" s="200">
        <v>84.78</v>
      </c>
      <c r="E50" s="149">
        <v>93.56</v>
      </c>
    </row>
    <row r="51" spans="2:5">
      <c r="B51" s="184" t="s">
        <v>6</v>
      </c>
      <c r="C51" s="185" t="s">
        <v>114</v>
      </c>
      <c r="D51" s="200">
        <v>84.44</v>
      </c>
      <c r="E51" s="75">
        <v>60.44</v>
      </c>
    </row>
    <row r="52" spans="2:5">
      <c r="B52" s="184" t="s">
        <v>8</v>
      </c>
      <c r="C52" s="185" t="s">
        <v>115</v>
      </c>
      <c r="D52" s="200">
        <v>94.02</v>
      </c>
      <c r="E52" s="75">
        <v>109.8</v>
      </c>
    </row>
    <row r="53" spans="2:5" ht="12.75" customHeight="1" thickBot="1">
      <c r="B53" s="188" t="s">
        <v>9</v>
      </c>
      <c r="C53" s="189" t="s">
        <v>41</v>
      </c>
      <c r="D53" s="202">
        <v>93.56</v>
      </c>
      <c r="E53" s="280">
        <v>109.8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6.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21825.79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21825.79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21825.79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21825.79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2">
    <pageSetUpPr fitToPage="1"/>
  </sheetPr>
  <dimension ref="A1:G81"/>
  <sheetViews>
    <sheetView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 customFormat="1">
      <c r="B1" s="1"/>
      <c r="C1" s="1"/>
      <c r="D1" s="2"/>
      <c r="E1" s="2"/>
    </row>
    <row r="2" spans="2:7" customFormat="1" ht="15.75">
      <c r="B2" s="351" t="s">
        <v>0</v>
      </c>
      <c r="C2" s="351"/>
      <c r="D2" s="351"/>
      <c r="E2" s="351"/>
      <c r="G2" s="71"/>
    </row>
    <row r="3" spans="2:7" customFormat="1" ht="15.75">
      <c r="B3" s="351" t="s">
        <v>271</v>
      </c>
      <c r="C3" s="351"/>
      <c r="D3" s="351"/>
      <c r="E3" s="351"/>
    </row>
    <row r="4" spans="2:7" customFormat="1" ht="15">
      <c r="B4" s="141"/>
      <c r="C4" s="141"/>
      <c r="D4" s="141"/>
      <c r="E4" s="141"/>
    </row>
    <row r="5" spans="2:7" customFormat="1" ht="21" customHeight="1">
      <c r="B5" s="352" t="s">
        <v>1</v>
      </c>
      <c r="C5" s="352"/>
      <c r="D5" s="352"/>
      <c r="E5" s="352"/>
    </row>
    <row r="6" spans="2:7" customFormat="1" ht="14.25">
      <c r="B6" s="353" t="s">
        <v>261</v>
      </c>
      <c r="C6" s="353"/>
      <c r="D6" s="353"/>
      <c r="E6" s="353"/>
    </row>
    <row r="7" spans="2:7" customFormat="1" ht="14.25">
      <c r="B7" s="139"/>
      <c r="C7" s="139"/>
      <c r="D7" s="139"/>
      <c r="E7" s="139"/>
    </row>
    <row r="8" spans="2:7" customFormat="1" ht="13.5">
      <c r="B8" s="355" t="s">
        <v>18</v>
      </c>
      <c r="C8" s="357"/>
      <c r="D8" s="357"/>
      <c r="E8" s="357"/>
    </row>
    <row r="9" spans="2:7" customFormat="1" ht="16.5" thickBot="1">
      <c r="B9" s="354" t="s">
        <v>103</v>
      </c>
      <c r="C9" s="354"/>
      <c r="D9" s="354"/>
      <c r="E9" s="354"/>
    </row>
    <row r="10" spans="2:7" customFormat="1" ht="13.5" thickBot="1">
      <c r="B10" s="140"/>
      <c r="C10" s="76" t="s">
        <v>2</v>
      </c>
      <c r="D10" s="70" t="s">
        <v>245</v>
      </c>
      <c r="E10" s="255" t="s">
        <v>265</v>
      </c>
    </row>
    <row r="11" spans="2:7" customFormat="1">
      <c r="B11" s="90" t="s">
        <v>3</v>
      </c>
      <c r="C11" s="128" t="s">
        <v>109</v>
      </c>
      <c r="D11" s="227">
        <v>4344.21</v>
      </c>
      <c r="E11" s="228"/>
    </row>
    <row r="12" spans="2:7" customFormat="1">
      <c r="B12" s="173" t="s">
        <v>4</v>
      </c>
      <c r="C12" s="174" t="s">
        <v>5</v>
      </c>
      <c r="D12" s="241">
        <v>4344.21</v>
      </c>
      <c r="E12" s="245"/>
    </row>
    <row r="13" spans="2:7" customFormat="1">
      <c r="B13" s="173" t="s">
        <v>6</v>
      </c>
      <c r="C13" s="175" t="s">
        <v>7</v>
      </c>
      <c r="D13" s="237"/>
      <c r="E13" s="246"/>
    </row>
    <row r="14" spans="2:7" customFormat="1">
      <c r="B14" s="173" t="s">
        <v>8</v>
      </c>
      <c r="C14" s="175" t="s">
        <v>10</v>
      </c>
      <c r="D14" s="237"/>
      <c r="E14" s="246"/>
    </row>
    <row r="15" spans="2:7" customFormat="1">
      <c r="B15" s="173" t="s">
        <v>106</v>
      </c>
      <c r="C15" s="175" t="s">
        <v>11</v>
      </c>
      <c r="D15" s="237"/>
      <c r="E15" s="246"/>
    </row>
    <row r="16" spans="2:7" customFormat="1">
      <c r="B16" s="176" t="s">
        <v>107</v>
      </c>
      <c r="C16" s="177" t="s">
        <v>12</v>
      </c>
      <c r="D16" s="239"/>
      <c r="E16" s="247"/>
    </row>
    <row r="17" spans="2:6" customFormat="1">
      <c r="B17" s="9" t="s">
        <v>13</v>
      </c>
      <c r="C17" s="11" t="s">
        <v>65</v>
      </c>
      <c r="D17" s="240"/>
      <c r="E17" s="248"/>
    </row>
    <row r="18" spans="2:6" customFormat="1">
      <c r="B18" s="173" t="s">
        <v>4</v>
      </c>
      <c r="C18" s="174" t="s">
        <v>11</v>
      </c>
      <c r="D18" s="239"/>
      <c r="E18" s="247"/>
    </row>
    <row r="19" spans="2:6" customFormat="1" ht="15" customHeight="1">
      <c r="B19" s="173" t="s">
        <v>6</v>
      </c>
      <c r="C19" s="175" t="s">
        <v>108</v>
      </c>
      <c r="D19" s="237"/>
      <c r="E19" s="246"/>
    </row>
    <row r="20" spans="2:6" customFormat="1" ht="13.5" thickBot="1">
      <c r="B20" s="178" t="s">
        <v>8</v>
      </c>
      <c r="C20" s="179" t="s">
        <v>14</v>
      </c>
      <c r="D20" s="229"/>
      <c r="E20" s="230"/>
    </row>
    <row r="21" spans="2:6" customFormat="1" ht="13.5" thickBot="1">
      <c r="B21" s="361" t="s">
        <v>110</v>
      </c>
      <c r="C21" s="362"/>
      <c r="D21" s="231">
        <v>4344.21</v>
      </c>
      <c r="E21" s="148"/>
      <c r="F21" s="77"/>
    </row>
    <row r="22" spans="2:6" customFormat="1">
      <c r="B22" s="3"/>
      <c r="C22" s="7"/>
      <c r="D22" s="8"/>
      <c r="E22" s="8"/>
    </row>
    <row r="23" spans="2:6" customFormat="1" ht="13.5">
      <c r="B23" s="355" t="s">
        <v>104</v>
      </c>
      <c r="C23" s="367"/>
      <c r="D23" s="367"/>
      <c r="E23" s="367"/>
    </row>
    <row r="24" spans="2:6" customFormat="1" ht="15.75" customHeight="1" thickBot="1">
      <c r="B24" s="354" t="s">
        <v>105</v>
      </c>
      <c r="C24" s="368"/>
      <c r="D24" s="368"/>
      <c r="E24" s="368"/>
    </row>
    <row r="25" spans="2:6" customFormat="1" ht="13.5" thickBot="1">
      <c r="B25" s="207"/>
      <c r="C25" s="180" t="s">
        <v>2</v>
      </c>
      <c r="D25" s="70" t="s">
        <v>245</v>
      </c>
      <c r="E25" s="255" t="s">
        <v>265</v>
      </c>
    </row>
    <row r="26" spans="2:6" customFormat="1">
      <c r="B26" s="95" t="s">
        <v>15</v>
      </c>
      <c r="C26" s="96" t="s">
        <v>16</v>
      </c>
      <c r="D26" s="322">
        <v>4223.03</v>
      </c>
      <c r="E26" s="217">
        <f>D21</f>
        <v>4344.21</v>
      </c>
    </row>
    <row r="27" spans="2:6" customFormat="1">
      <c r="B27" s="9" t="s">
        <v>17</v>
      </c>
      <c r="C27" s="10" t="s">
        <v>111</v>
      </c>
      <c r="D27" s="323">
        <v>-107.27000000000001</v>
      </c>
      <c r="E27" s="274">
        <v>-2986.1</v>
      </c>
      <c r="F27" s="71"/>
    </row>
    <row r="28" spans="2:6" customFormat="1">
      <c r="B28" s="9" t="s">
        <v>18</v>
      </c>
      <c r="C28" s="10" t="s">
        <v>19</v>
      </c>
      <c r="D28" s="323"/>
      <c r="E28" s="275"/>
      <c r="F28" s="71"/>
    </row>
    <row r="29" spans="2:6" customFormat="1">
      <c r="B29" s="181" t="s">
        <v>4</v>
      </c>
      <c r="C29" s="174" t="s">
        <v>20</v>
      </c>
      <c r="D29" s="324"/>
      <c r="E29" s="276"/>
      <c r="F29" s="71"/>
    </row>
    <row r="30" spans="2:6" customFormat="1">
      <c r="B30" s="181" t="s">
        <v>6</v>
      </c>
      <c r="C30" s="174" t="s">
        <v>21</v>
      </c>
      <c r="D30" s="324"/>
      <c r="E30" s="276"/>
      <c r="F30" s="71"/>
    </row>
    <row r="31" spans="2:6" customFormat="1">
      <c r="B31" s="181" t="s">
        <v>8</v>
      </c>
      <c r="C31" s="174" t="s">
        <v>22</v>
      </c>
      <c r="D31" s="324"/>
      <c r="E31" s="276"/>
      <c r="F31" s="71"/>
    </row>
    <row r="32" spans="2:6" customFormat="1">
      <c r="B32" s="92" t="s">
        <v>23</v>
      </c>
      <c r="C32" s="11" t="s">
        <v>24</v>
      </c>
      <c r="D32" s="323">
        <v>107.27000000000001</v>
      </c>
      <c r="E32" s="275">
        <v>2986.1</v>
      </c>
      <c r="F32" s="71"/>
    </row>
    <row r="33" spans="2:6" customFormat="1">
      <c r="B33" s="181" t="s">
        <v>4</v>
      </c>
      <c r="C33" s="174" t="s">
        <v>25</v>
      </c>
      <c r="D33" s="324"/>
      <c r="E33" s="276"/>
      <c r="F33" s="71"/>
    </row>
    <row r="34" spans="2:6" customFormat="1">
      <c r="B34" s="181" t="s">
        <v>6</v>
      </c>
      <c r="C34" s="174" t="s">
        <v>26</v>
      </c>
      <c r="D34" s="324"/>
      <c r="E34" s="276"/>
      <c r="F34" s="71"/>
    </row>
    <row r="35" spans="2:6" customFormat="1">
      <c r="B35" s="181" t="s">
        <v>8</v>
      </c>
      <c r="C35" s="174" t="s">
        <v>27</v>
      </c>
      <c r="D35" s="324">
        <v>9.76</v>
      </c>
      <c r="E35" s="276">
        <v>1.87</v>
      </c>
      <c r="F35" s="71"/>
    </row>
    <row r="36" spans="2:6" customFormat="1">
      <c r="B36" s="181" t="s">
        <v>9</v>
      </c>
      <c r="C36" s="174" t="s">
        <v>28</v>
      </c>
      <c r="D36" s="324"/>
      <c r="E36" s="276"/>
      <c r="F36" s="71"/>
    </row>
    <row r="37" spans="2:6" customFormat="1" ht="25.5">
      <c r="B37" s="181" t="s">
        <v>29</v>
      </c>
      <c r="C37" s="174" t="s">
        <v>30</v>
      </c>
      <c r="D37" s="324">
        <v>97.51</v>
      </c>
      <c r="E37" s="276">
        <v>22.46</v>
      </c>
      <c r="F37" s="71"/>
    </row>
    <row r="38" spans="2:6" customFormat="1">
      <c r="B38" s="181" t="s">
        <v>31</v>
      </c>
      <c r="C38" s="174" t="s">
        <v>32</v>
      </c>
      <c r="D38" s="324"/>
      <c r="E38" s="276"/>
      <c r="F38" s="71"/>
    </row>
    <row r="39" spans="2:6" customFormat="1">
      <c r="B39" s="182" t="s">
        <v>33</v>
      </c>
      <c r="C39" s="183" t="s">
        <v>34</v>
      </c>
      <c r="D39" s="325"/>
      <c r="E39" s="277">
        <v>2961.77</v>
      </c>
      <c r="F39" s="71"/>
    </row>
    <row r="40" spans="2:6" customFormat="1" ht="13.5" thickBot="1">
      <c r="B40" s="97" t="s">
        <v>35</v>
      </c>
      <c r="C40" s="98" t="s">
        <v>36</v>
      </c>
      <c r="D40" s="326">
        <v>228.45</v>
      </c>
      <c r="E40" s="279">
        <v>-1358.11</v>
      </c>
    </row>
    <row r="41" spans="2:6" customFormat="1" ht="13.5" thickBot="1">
      <c r="B41" s="99" t="s">
        <v>37</v>
      </c>
      <c r="C41" s="100" t="s">
        <v>38</v>
      </c>
      <c r="D41" s="327">
        <v>4344.2099999999991</v>
      </c>
      <c r="E41" s="148">
        <f>E26+E27+E40</f>
        <v>0</v>
      </c>
      <c r="F41" s="77"/>
    </row>
    <row r="42" spans="2:6" customFormat="1">
      <c r="B42" s="93"/>
      <c r="C42" s="93"/>
      <c r="D42" s="94"/>
      <c r="E42" s="94"/>
      <c r="F42" s="77"/>
    </row>
    <row r="43" spans="2:6" customFormat="1" ht="13.5">
      <c r="B43" s="356" t="s">
        <v>60</v>
      </c>
      <c r="C43" s="365"/>
      <c r="D43" s="365"/>
      <c r="E43" s="365"/>
    </row>
    <row r="44" spans="2:6" customFormat="1" ht="18" customHeight="1" thickBot="1">
      <c r="B44" s="354" t="s">
        <v>121</v>
      </c>
      <c r="C44" s="366"/>
      <c r="D44" s="366"/>
      <c r="E44" s="366"/>
    </row>
    <row r="45" spans="2:6" customFormat="1" ht="13.5" thickBot="1">
      <c r="B45" s="207"/>
      <c r="C45" s="29" t="s">
        <v>39</v>
      </c>
      <c r="D45" s="70" t="s">
        <v>245</v>
      </c>
      <c r="E45" s="255" t="s">
        <v>265</v>
      </c>
    </row>
    <row r="46" spans="2:6" customFormat="1">
      <c r="B46" s="13" t="s">
        <v>18</v>
      </c>
      <c r="C46" s="30" t="s">
        <v>112</v>
      </c>
      <c r="D46" s="101"/>
      <c r="E46" s="28"/>
    </row>
    <row r="47" spans="2:6" customFormat="1">
      <c r="B47" s="184" t="s">
        <v>4</v>
      </c>
      <c r="C47" s="185" t="s">
        <v>40</v>
      </c>
      <c r="D47" s="200">
        <v>37.220399999999998</v>
      </c>
      <c r="E47" s="149">
        <v>36.322800000000001</v>
      </c>
    </row>
    <row r="48" spans="2:6" customFormat="1">
      <c r="B48" s="186" t="s">
        <v>6</v>
      </c>
      <c r="C48" s="187" t="s">
        <v>41</v>
      </c>
      <c r="D48" s="200">
        <v>36.322800000000001</v>
      </c>
      <c r="E48" s="149"/>
    </row>
    <row r="49" spans="2:5" customFormat="1">
      <c r="B49" s="120" t="s">
        <v>23</v>
      </c>
      <c r="C49" s="124" t="s">
        <v>113</v>
      </c>
      <c r="D49" s="201"/>
      <c r="E49" s="149"/>
    </row>
    <row r="50" spans="2:5" customFormat="1">
      <c r="B50" s="184" t="s">
        <v>4</v>
      </c>
      <c r="C50" s="185" t="s">
        <v>40</v>
      </c>
      <c r="D50" s="200">
        <v>113.46</v>
      </c>
      <c r="E50" s="149">
        <v>119.6</v>
      </c>
    </row>
    <row r="51" spans="2:5" customFormat="1">
      <c r="B51" s="184" t="s">
        <v>6</v>
      </c>
      <c r="C51" s="185" t="s">
        <v>114</v>
      </c>
      <c r="D51" s="200">
        <v>111.31</v>
      </c>
      <c r="E51" s="75">
        <v>80.44</v>
      </c>
    </row>
    <row r="52" spans="2:5" customFormat="1">
      <c r="B52" s="184" t="s">
        <v>8</v>
      </c>
      <c r="C52" s="185" t="s">
        <v>115</v>
      </c>
      <c r="D52" s="200">
        <v>123.7</v>
      </c>
      <c r="E52" s="75">
        <v>122.53</v>
      </c>
    </row>
    <row r="53" spans="2:5" customFormat="1" ht="13.5" customHeight="1" thickBot="1">
      <c r="B53" s="188" t="s">
        <v>9</v>
      </c>
      <c r="C53" s="189" t="s">
        <v>41</v>
      </c>
      <c r="D53" s="202">
        <v>119.6</v>
      </c>
      <c r="E53" s="280"/>
    </row>
    <row r="54" spans="2:5" customFormat="1">
      <c r="B54" s="109"/>
      <c r="C54" s="110"/>
      <c r="D54" s="111"/>
      <c r="E54" s="111"/>
    </row>
    <row r="55" spans="2:5" customFormat="1" ht="13.5">
      <c r="B55" s="356" t="s">
        <v>62</v>
      </c>
      <c r="C55" s="357"/>
      <c r="D55" s="357"/>
      <c r="E55" s="357"/>
    </row>
    <row r="56" spans="2:5" customFormat="1" ht="17.25" customHeight="1" thickBot="1">
      <c r="B56" s="354" t="s">
        <v>116</v>
      </c>
      <c r="C56" s="358"/>
      <c r="D56" s="358"/>
      <c r="E56" s="358"/>
    </row>
    <row r="57" spans="2:5" customFormat="1" ht="23.25" thickBot="1">
      <c r="B57" s="349" t="s">
        <v>42</v>
      </c>
      <c r="C57" s="350"/>
      <c r="D57" s="18" t="s">
        <v>122</v>
      </c>
      <c r="E57" s="19" t="s">
        <v>117</v>
      </c>
    </row>
    <row r="58" spans="2:5" customFormat="1">
      <c r="B58" s="20" t="s">
        <v>18</v>
      </c>
      <c r="C58" s="126" t="s">
        <v>43</v>
      </c>
      <c r="D58" s="127">
        <f>D64</f>
        <v>0</v>
      </c>
      <c r="E58" s="31">
        <v>0</v>
      </c>
    </row>
    <row r="59" spans="2:5" customFormat="1" ht="25.5">
      <c r="B59" s="123" t="s">
        <v>4</v>
      </c>
      <c r="C59" s="22" t="s">
        <v>44</v>
      </c>
      <c r="D59" s="80">
        <v>0</v>
      </c>
      <c r="E59" s="81">
        <v>0</v>
      </c>
    </row>
    <row r="60" spans="2:5" customFormat="1" ht="25.5">
      <c r="B60" s="102" t="s">
        <v>6</v>
      </c>
      <c r="C60" s="15" t="s">
        <v>45</v>
      </c>
      <c r="D60" s="78">
        <v>0</v>
      </c>
      <c r="E60" s="79">
        <v>0</v>
      </c>
    </row>
    <row r="61" spans="2:5" customFormat="1" ht="12.7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 customFormat="1">
      <c r="B62" s="102" t="s">
        <v>9</v>
      </c>
      <c r="C62" s="15" t="s">
        <v>47</v>
      </c>
      <c r="D62" s="78">
        <v>0</v>
      </c>
      <c r="E62" s="79">
        <v>0</v>
      </c>
    </row>
    <row r="63" spans="2:5" customFormat="1">
      <c r="B63" s="102" t="s">
        <v>29</v>
      </c>
      <c r="C63" s="15" t="s">
        <v>48</v>
      </c>
      <c r="D63" s="78">
        <v>0</v>
      </c>
      <c r="E63" s="79">
        <v>0</v>
      </c>
    </row>
    <row r="64" spans="2:5" customFormat="1">
      <c r="B64" s="123" t="s">
        <v>31</v>
      </c>
      <c r="C64" s="22" t="s">
        <v>49</v>
      </c>
      <c r="D64" s="80">
        <f>E21</f>
        <v>0</v>
      </c>
      <c r="E64" s="81">
        <f>E58</f>
        <v>0</v>
      </c>
    </row>
    <row r="65" spans="2:5" customFormat="1">
      <c r="B65" s="123" t="s">
        <v>33</v>
      </c>
      <c r="C65" s="22" t="s">
        <v>118</v>
      </c>
      <c r="D65" s="80">
        <v>0</v>
      </c>
      <c r="E65" s="81">
        <v>0</v>
      </c>
    </row>
    <row r="66" spans="2:5" customFormat="1">
      <c r="B66" s="123" t="s">
        <v>50</v>
      </c>
      <c r="C66" s="22" t="s">
        <v>51</v>
      </c>
      <c r="D66" s="80">
        <v>0</v>
      </c>
      <c r="E66" s="81">
        <v>0</v>
      </c>
    </row>
    <row r="67" spans="2:5" customFormat="1">
      <c r="B67" s="102" t="s">
        <v>52</v>
      </c>
      <c r="C67" s="15" t="s">
        <v>53</v>
      </c>
      <c r="D67" s="78">
        <v>0</v>
      </c>
      <c r="E67" s="79">
        <v>0</v>
      </c>
    </row>
    <row r="68" spans="2:5" customFormat="1">
      <c r="B68" s="102" t="s">
        <v>54</v>
      </c>
      <c r="C68" s="15" t="s">
        <v>55</v>
      </c>
      <c r="D68" s="78">
        <v>0</v>
      </c>
      <c r="E68" s="79">
        <v>0</v>
      </c>
    </row>
    <row r="69" spans="2:5" customFormat="1">
      <c r="B69" s="102" t="s">
        <v>56</v>
      </c>
      <c r="C69" s="15" t="s">
        <v>57</v>
      </c>
      <c r="D69" s="235">
        <v>0</v>
      </c>
      <c r="E69" s="79">
        <v>0</v>
      </c>
    </row>
    <row r="70" spans="2:5" customFormat="1">
      <c r="B70" s="129" t="s">
        <v>58</v>
      </c>
      <c r="C70" s="113" t="s">
        <v>59</v>
      </c>
      <c r="D70" s="114">
        <v>0</v>
      </c>
      <c r="E70" s="115">
        <v>0</v>
      </c>
    </row>
    <row r="71" spans="2:5" customFormat="1">
      <c r="B71" s="130" t="s">
        <v>23</v>
      </c>
      <c r="C71" s="121" t="s">
        <v>61</v>
      </c>
      <c r="D71" s="122">
        <v>0</v>
      </c>
      <c r="E71" s="66">
        <v>0</v>
      </c>
    </row>
    <row r="72" spans="2:5" customFormat="1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 customFormat="1">
      <c r="B73" s="132" t="s">
        <v>62</v>
      </c>
      <c r="C73" s="24" t="s">
        <v>65</v>
      </c>
      <c r="D73" s="25">
        <v>0</v>
      </c>
      <c r="E73" s="26">
        <v>0</v>
      </c>
    </row>
    <row r="74" spans="2:5" customFormat="1">
      <c r="B74" s="130" t="s">
        <v>64</v>
      </c>
      <c r="C74" s="121" t="s">
        <v>66</v>
      </c>
      <c r="D74" s="122">
        <f>D58</f>
        <v>0</v>
      </c>
      <c r="E74" s="66">
        <f>E58+E72-E73</f>
        <v>0</v>
      </c>
    </row>
    <row r="75" spans="2:5" customFormat="1">
      <c r="B75" s="102" t="s">
        <v>4</v>
      </c>
      <c r="C75" s="15" t="s">
        <v>67</v>
      </c>
      <c r="D75" s="78">
        <f>D74</f>
        <v>0</v>
      </c>
      <c r="E75" s="79">
        <f>E74</f>
        <v>0</v>
      </c>
    </row>
    <row r="76" spans="2:5" customFormat="1">
      <c r="B76" s="102" t="s">
        <v>6</v>
      </c>
      <c r="C76" s="15" t="s">
        <v>119</v>
      </c>
      <c r="D76" s="78">
        <v>0</v>
      </c>
      <c r="E76" s="79">
        <v>0</v>
      </c>
    </row>
    <row r="77" spans="2:5" customFormat="1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 customFormat="1">
      <c r="B78" s="1"/>
      <c r="C78" s="1"/>
      <c r="D78" s="2"/>
      <c r="E78" s="2"/>
    </row>
    <row r="79" spans="2:5" customFormat="1">
      <c r="B79" s="1"/>
      <c r="C79" s="1"/>
      <c r="D79" s="2"/>
      <c r="E79" s="2"/>
    </row>
    <row r="80" spans="2:5" customFormat="1">
      <c r="B80" s="1"/>
      <c r="C80" s="1"/>
      <c r="D80" s="2"/>
      <c r="E80" s="2"/>
    </row>
    <row r="81" spans="2:5" customFormat="1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1"/>
  <sheetViews>
    <sheetView topLeftCell="A13" zoomScale="80" zoomScaleNormal="80" workbookViewId="0">
      <selection activeCell="D28" sqref="D28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 customFormat="1">
      <c r="B1" s="1"/>
      <c r="C1" s="1"/>
      <c r="D1" s="2"/>
      <c r="E1" s="2"/>
    </row>
    <row r="2" spans="2:7" customFormat="1" ht="15.75">
      <c r="B2" s="351" t="s">
        <v>0</v>
      </c>
      <c r="C2" s="351"/>
      <c r="D2" s="351"/>
      <c r="E2" s="351"/>
      <c r="G2" s="71"/>
    </row>
    <row r="3" spans="2:7" customFormat="1" ht="15.75">
      <c r="B3" s="351" t="s">
        <v>271</v>
      </c>
      <c r="C3" s="351"/>
      <c r="D3" s="351"/>
      <c r="E3" s="351"/>
    </row>
    <row r="4" spans="2:7" customFormat="1" ht="15">
      <c r="B4" s="147"/>
      <c r="C4" s="147"/>
      <c r="D4" s="147"/>
      <c r="E4" s="147"/>
    </row>
    <row r="5" spans="2:7" customFormat="1" ht="21" customHeight="1">
      <c r="B5" s="352" t="s">
        <v>1</v>
      </c>
      <c r="C5" s="352"/>
      <c r="D5" s="352"/>
      <c r="E5" s="352"/>
    </row>
    <row r="6" spans="2:7" customFormat="1" ht="14.25">
      <c r="B6" s="353" t="s">
        <v>262</v>
      </c>
      <c r="C6" s="353"/>
      <c r="D6" s="353"/>
      <c r="E6" s="353"/>
    </row>
    <row r="7" spans="2:7" customFormat="1" ht="14.25">
      <c r="B7" s="213"/>
      <c r="C7" s="213"/>
      <c r="D7" s="213"/>
      <c r="E7" s="213"/>
    </row>
    <row r="8" spans="2:7" customFormat="1" ht="13.5">
      <c r="B8" s="355" t="s">
        <v>18</v>
      </c>
      <c r="C8" s="357"/>
      <c r="D8" s="357"/>
      <c r="E8" s="357"/>
    </row>
    <row r="9" spans="2:7" customFormat="1" ht="16.5" thickBot="1">
      <c r="B9" s="354" t="s">
        <v>103</v>
      </c>
      <c r="C9" s="354"/>
      <c r="D9" s="354"/>
      <c r="E9" s="354"/>
    </row>
    <row r="10" spans="2:7" customFormat="1" ht="13.5" thickBot="1">
      <c r="B10" s="214"/>
      <c r="C10" s="76" t="s">
        <v>2</v>
      </c>
      <c r="D10" s="70" t="s">
        <v>245</v>
      </c>
      <c r="E10" s="255" t="s">
        <v>265</v>
      </c>
    </row>
    <row r="11" spans="2:7" customFormat="1">
      <c r="B11" s="90" t="s">
        <v>3</v>
      </c>
      <c r="C11" s="128" t="s">
        <v>109</v>
      </c>
      <c r="D11" s="227"/>
      <c r="E11" s="228"/>
    </row>
    <row r="12" spans="2:7" customFormat="1">
      <c r="B12" s="173" t="s">
        <v>4</v>
      </c>
      <c r="C12" s="174" t="s">
        <v>5</v>
      </c>
      <c r="D12" s="241"/>
      <c r="E12" s="245"/>
    </row>
    <row r="13" spans="2:7" customFormat="1">
      <c r="B13" s="173" t="s">
        <v>6</v>
      </c>
      <c r="C13" s="175" t="s">
        <v>7</v>
      </c>
      <c r="D13" s="237"/>
      <c r="E13" s="246"/>
    </row>
    <row r="14" spans="2:7" customFormat="1">
      <c r="B14" s="173" t="s">
        <v>8</v>
      </c>
      <c r="C14" s="175" t="s">
        <v>10</v>
      </c>
      <c r="D14" s="237"/>
      <c r="E14" s="246"/>
    </row>
    <row r="15" spans="2:7" customFormat="1">
      <c r="B15" s="173" t="s">
        <v>106</v>
      </c>
      <c r="C15" s="175" t="s">
        <v>11</v>
      </c>
      <c r="D15" s="237"/>
      <c r="E15" s="246"/>
    </row>
    <row r="16" spans="2:7" customFormat="1">
      <c r="B16" s="176" t="s">
        <v>107</v>
      </c>
      <c r="C16" s="177" t="s">
        <v>12</v>
      </c>
      <c r="D16" s="239"/>
      <c r="E16" s="247"/>
    </row>
    <row r="17" spans="2:6" customFormat="1">
      <c r="B17" s="9" t="s">
        <v>13</v>
      </c>
      <c r="C17" s="11" t="s">
        <v>65</v>
      </c>
      <c r="D17" s="240"/>
      <c r="E17" s="248"/>
    </row>
    <row r="18" spans="2:6" customFormat="1">
      <c r="B18" s="173" t="s">
        <v>4</v>
      </c>
      <c r="C18" s="174" t="s">
        <v>11</v>
      </c>
      <c r="D18" s="239"/>
      <c r="E18" s="247"/>
    </row>
    <row r="19" spans="2:6" customFormat="1" ht="15" customHeight="1">
      <c r="B19" s="173" t="s">
        <v>6</v>
      </c>
      <c r="C19" s="175" t="s">
        <v>108</v>
      </c>
      <c r="D19" s="237"/>
      <c r="E19" s="246"/>
    </row>
    <row r="20" spans="2:6" customFormat="1" ht="13.5" thickBot="1">
      <c r="B20" s="178" t="s">
        <v>8</v>
      </c>
      <c r="C20" s="179" t="s">
        <v>14</v>
      </c>
      <c r="D20" s="229"/>
      <c r="E20" s="230"/>
    </row>
    <row r="21" spans="2:6" customFormat="1" ht="13.5" thickBot="1">
      <c r="B21" s="361" t="s">
        <v>110</v>
      </c>
      <c r="C21" s="362"/>
      <c r="D21" s="231"/>
      <c r="E21" s="148"/>
      <c r="F21" s="77"/>
    </row>
    <row r="22" spans="2:6" customFormat="1">
      <c r="B22" s="3"/>
      <c r="C22" s="7"/>
      <c r="D22" s="8"/>
      <c r="E22" s="8"/>
    </row>
    <row r="23" spans="2:6" customFormat="1" ht="13.5">
      <c r="B23" s="355" t="s">
        <v>104</v>
      </c>
      <c r="C23" s="367"/>
      <c r="D23" s="367"/>
      <c r="E23" s="367"/>
    </row>
    <row r="24" spans="2:6" customFormat="1" ht="15.75" customHeight="1" thickBot="1">
      <c r="B24" s="354" t="s">
        <v>105</v>
      </c>
      <c r="C24" s="368"/>
      <c r="D24" s="368"/>
      <c r="E24" s="368"/>
    </row>
    <row r="25" spans="2:6" customFormat="1" ht="13.5" thickBot="1">
      <c r="B25" s="214"/>
      <c r="C25" s="180" t="s">
        <v>2</v>
      </c>
      <c r="D25" s="70" t="s">
        <v>245</v>
      </c>
      <c r="E25" s="255" t="s">
        <v>265</v>
      </c>
    </row>
    <row r="26" spans="2:6" customFormat="1">
      <c r="B26" s="95" t="s">
        <v>15</v>
      </c>
      <c r="C26" s="96" t="s">
        <v>16</v>
      </c>
      <c r="D26" s="322">
        <v>21548.05</v>
      </c>
      <c r="E26" s="217"/>
    </row>
    <row r="27" spans="2:6" customFormat="1">
      <c r="B27" s="9" t="s">
        <v>17</v>
      </c>
      <c r="C27" s="10" t="s">
        <v>111</v>
      </c>
      <c r="D27" s="323">
        <v>-21253.66</v>
      </c>
      <c r="E27" s="274"/>
      <c r="F27" s="71"/>
    </row>
    <row r="28" spans="2:6" customFormat="1">
      <c r="B28" s="9" t="s">
        <v>18</v>
      </c>
      <c r="C28" s="10" t="s">
        <v>19</v>
      </c>
      <c r="D28" s="323"/>
      <c r="E28" s="275"/>
      <c r="F28" s="71"/>
    </row>
    <row r="29" spans="2:6" customFormat="1">
      <c r="B29" s="181" t="s">
        <v>4</v>
      </c>
      <c r="C29" s="174" t="s">
        <v>20</v>
      </c>
      <c r="D29" s="324"/>
      <c r="E29" s="276"/>
      <c r="F29" s="71"/>
    </row>
    <row r="30" spans="2:6" customFormat="1">
      <c r="B30" s="181" t="s">
        <v>6</v>
      </c>
      <c r="C30" s="174" t="s">
        <v>21</v>
      </c>
      <c r="D30" s="324"/>
      <c r="E30" s="276"/>
      <c r="F30" s="71"/>
    </row>
    <row r="31" spans="2:6" customFormat="1">
      <c r="B31" s="181" t="s">
        <v>8</v>
      </c>
      <c r="C31" s="174" t="s">
        <v>22</v>
      </c>
      <c r="D31" s="324"/>
      <c r="E31" s="276"/>
      <c r="F31" s="71"/>
    </row>
    <row r="32" spans="2:6" customFormat="1">
      <c r="B32" s="92" t="s">
        <v>23</v>
      </c>
      <c r="C32" s="11" t="s">
        <v>24</v>
      </c>
      <c r="D32" s="323">
        <v>21253.66</v>
      </c>
      <c r="E32" s="275"/>
      <c r="F32" s="71"/>
    </row>
    <row r="33" spans="2:6" customFormat="1">
      <c r="B33" s="181" t="s">
        <v>4</v>
      </c>
      <c r="C33" s="174" t="s">
        <v>25</v>
      </c>
      <c r="D33" s="324"/>
      <c r="E33" s="276"/>
      <c r="F33" s="71"/>
    </row>
    <row r="34" spans="2:6" customFormat="1">
      <c r="B34" s="181" t="s">
        <v>6</v>
      </c>
      <c r="C34" s="174" t="s">
        <v>26</v>
      </c>
      <c r="D34" s="324"/>
      <c r="E34" s="276"/>
      <c r="F34" s="71"/>
    </row>
    <row r="35" spans="2:6" customFormat="1">
      <c r="B35" s="181" t="s">
        <v>8</v>
      </c>
      <c r="C35" s="174" t="s">
        <v>27</v>
      </c>
      <c r="D35" s="324">
        <v>40.619999999999997</v>
      </c>
      <c r="E35" s="276"/>
      <c r="F35" s="71"/>
    </row>
    <row r="36" spans="2:6" customFormat="1">
      <c r="B36" s="181" t="s">
        <v>9</v>
      </c>
      <c r="C36" s="174" t="s">
        <v>28</v>
      </c>
      <c r="D36" s="324"/>
      <c r="E36" s="276"/>
      <c r="F36" s="71"/>
    </row>
    <row r="37" spans="2:6" customFormat="1" ht="25.5">
      <c r="B37" s="181" t="s">
        <v>29</v>
      </c>
      <c r="C37" s="174" t="s">
        <v>30</v>
      </c>
      <c r="D37" s="324">
        <v>243.44</v>
      </c>
      <c r="E37" s="276"/>
      <c r="F37" s="71"/>
    </row>
    <row r="38" spans="2:6" customFormat="1">
      <c r="B38" s="181" t="s">
        <v>31</v>
      </c>
      <c r="C38" s="174" t="s">
        <v>32</v>
      </c>
      <c r="D38" s="324"/>
      <c r="E38" s="276"/>
      <c r="F38" s="71"/>
    </row>
    <row r="39" spans="2:6" customFormat="1">
      <c r="B39" s="182" t="s">
        <v>33</v>
      </c>
      <c r="C39" s="183" t="s">
        <v>34</v>
      </c>
      <c r="D39" s="325">
        <v>20969.599999999999</v>
      </c>
      <c r="E39" s="277"/>
      <c r="F39" s="71"/>
    </row>
    <row r="40" spans="2:6" customFormat="1" ht="13.5" thickBot="1">
      <c r="B40" s="97" t="s">
        <v>35</v>
      </c>
      <c r="C40" s="98" t="s">
        <v>36</v>
      </c>
      <c r="D40" s="326">
        <v>-294.39</v>
      </c>
      <c r="E40" s="279"/>
    </row>
    <row r="41" spans="2:6" customFormat="1" ht="13.5" thickBot="1">
      <c r="B41" s="99" t="s">
        <v>37</v>
      </c>
      <c r="C41" s="100" t="s">
        <v>38</v>
      </c>
      <c r="D41" s="327">
        <v>0</v>
      </c>
      <c r="E41" s="261"/>
      <c r="F41" s="77"/>
    </row>
    <row r="42" spans="2:6" customFormat="1">
      <c r="B42" s="93"/>
      <c r="C42" s="93"/>
      <c r="D42" s="94"/>
      <c r="E42" s="94"/>
      <c r="F42" s="77"/>
    </row>
    <row r="43" spans="2:6" customFormat="1" ht="13.5">
      <c r="B43" s="356" t="s">
        <v>60</v>
      </c>
      <c r="C43" s="365"/>
      <c r="D43" s="365"/>
      <c r="E43" s="365"/>
    </row>
    <row r="44" spans="2:6" customFormat="1" ht="18" customHeight="1" thickBot="1">
      <c r="B44" s="354" t="s">
        <v>121</v>
      </c>
      <c r="C44" s="366"/>
      <c r="D44" s="366"/>
      <c r="E44" s="366"/>
    </row>
    <row r="45" spans="2:6" customFormat="1" ht="13.5" thickBot="1">
      <c r="B45" s="214"/>
      <c r="C45" s="29" t="s">
        <v>39</v>
      </c>
      <c r="D45" s="70" t="s">
        <v>245</v>
      </c>
      <c r="E45" s="255" t="s">
        <v>265</v>
      </c>
    </row>
    <row r="46" spans="2:6" customFormat="1">
      <c r="B46" s="13" t="s">
        <v>18</v>
      </c>
      <c r="C46" s="30" t="s">
        <v>112</v>
      </c>
      <c r="D46" s="101"/>
      <c r="E46" s="28"/>
    </row>
    <row r="47" spans="2:6" customFormat="1">
      <c r="B47" s="184" t="s">
        <v>4</v>
      </c>
      <c r="C47" s="185" t="s">
        <v>40</v>
      </c>
      <c r="D47" s="200">
        <v>199.22380000000001</v>
      </c>
      <c r="E47" s="149"/>
    </row>
    <row r="48" spans="2:6" customFormat="1">
      <c r="B48" s="186" t="s">
        <v>6</v>
      </c>
      <c r="C48" s="187" t="s">
        <v>41</v>
      </c>
      <c r="D48" s="200"/>
      <c r="E48" s="149"/>
    </row>
    <row r="49" spans="2:5" customFormat="1">
      <c r="B49" s="120" t="s">
        <v>23</v>
      </c>
      <c r="C49" s="124" t="s">
        <v>113</v>
      </c>
      <c r="D49" s="201"/>
      <c r="E49" s="149"/>
    </row>
    <row r="50" spans="2:5" customFormat="1">
      <c r="B50" s="184" t="s">
        <v>4</v>
      </c>
      <c r="C50" s="185" t="s">
        <v>40</v>
      </c>
      <c r="D50" s="200">
        <v>108.16</v>
      </c>
      <c r="E50" s="149"/>
    </row>
    <row r="51" spans="2:5" customFormat="1">
      <c r="B51" s="184" t="s">
        <v>6</v>
      </c>
      <c r="C51" s="185" t="s">
        <v>114</v>
      </c>
      <c r="D51" s="200">
        <v>105.31</v>
      </c>
      <c r="E51" s="75"/>
    </row>
    <row r="52" spans="2:5" customFormat="1">
      <c r="B52" s="184" t="s">
        <v>8</v>
      </c>
      <c r="C52" s="185" t="s">
        <v>115</v>
      </c>
      <c r="D52" s="200">
        <v>112.69</v>
      </c>
      <c r="E52" s="75"/>
    </row>
    <row r="53" spans="2:5" customFormat="1" ht="13.5" customHeight="1" thickBot="1">
      <c r="B53" s="188" t="s">
        <v>9</v>
      </c>
      <c r="C53" s="189" t="s">
        <v>41</v>
      </c>
      <c r="D53" s="202"/>
      <c r="E53" s="280"/>
    </row>
    <row r="54" spans="2:5" customFormat="1">
      <c r="B54" s="109"/>
      <c r="C54" s="110"/>
      <c r="D54" s="111"/>
      <c r="E54" s="111"/>
    </row>
    <row r="55" spans="2:5" customFormat="1" ht="13.5">
      <c r="B55" s="356" t="s">
        <v>62</v>
      </c>
      <c r="C55" s="357"/>
      <c r="D55" s="357"/>
      <c r="E55" s="357"/>
    </row>
    <row r="56" spans="2:5" customFormat="1" ht="17.25" customHeight="1" thickBot="1">
      <c r="B56" s="354" t="s">
        <v>116</v>
      </c>
      <c r="C56" s="358"/>
      <c r="D56" s="358"/>
      <c r="E56" s="358"/>
    </row>
    <row r="57" spans="2:5" customFormat="1" ht="23.25" thickBot="1">
      <c r="B57" s="349" t="s">
        <v>42</v>
      </c>
      <c r="C57" s="350"/>
      <c r="D57" s="18" t="s">
        <v>122</v>
      </c>
      <c r="E57" s="19" t="s">
        <v>117</v>
      </c>
    </row>
    <row r="58" spans="2:5" customFormat="1">
      <c r="B58" s="20" t="s">
        <v>18</v>
      </c>
      <c r="C58" s="126" t="s">
        <v>43</v>
      </c>
      <c r="D58" s="127">
        <f>D64</f>
        <v>0</v>
      </c>
      <c r="E58" s="31">
        <v>0</v>
      </c>
    </row>
    <row r="59" spans="2:5" customFormat="1" ht="25.5">
      <c r="B59" s="123" t="s">
        <v>4</v>
      </c>
      <c r="C59" s="22" t="s">
        <v>44</v>
      </c>
      <c r="D59" s="80">
        <v>0</v>
      </c>
      <c r="E59" s="81">
        <v>0</v>
      </c>
    </row>
    <row r="60" spans="2:5" customFormat="1" ht="25.5">
      <c r="B60" s="102" t="s">
        <v>6</v>
      </c>
      <c r="C60" s="15" t="s">
        <v>45</v>
      </c>
      <c r="D60" s="78">
        <v>0</v>
      </c>
      <c r="E60" s="79">
        <v>0</v>
      </c>
    </row>
    <row r="61" spans="2:5" customFormat="1" ht="12.7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 customFormat="1">
      <c r="B62" s="102" t="s">
        <v>9</v>
      </c>
      <c r="C62" s="15" t="s">
        <v>47</v>
      </c>
      <c r="D62" s="78">
        <v>0</v>
      </c>
      <c r="E62" s="79">
        <v>0</v>
      </c>
    </row>
    <row r="63" spans="2:5" customFormat="1">
      <c r="B63" s="102" t="s">
        <v>29</v>
      </c>
      <c r="C63" s="15" t="s">
        <v>48</v>
      </c>
      <c r="D63" s="78">
        <v>0</v>
      </c>
      <c r="E63" s="79">
        <v>0</v>
      </c>
    </row>
    <row r="64" spans="2:5" customFormat="1">
      <c r="B64" s="123" t="s">
        <v>31</v>
      </c>
      <c r="C64" s="22" t="s">
        <v>49</v>
      </c>
      <c r="D64" s="80">
        <f>E21</f>
        <v>0</v>
      </c>
      <c r="E64" s="81">
        <f>E58</f>
        <v>0</v>
      </c>
    </row>
    <row r="65" spans="2:5" customFormat="1">
      <c r="B65" s="123" t="s">
        <v>33</v>
      </c>
      <c r="C65" s="22" t="s">
        <v>118</v>
      </c>
      <c r="D65" s="80">
        <v>0</v>
      </c>
      <c r="E65" s="81">
        <v>0</v>
      </c>
    </row>
    <row r="66" spans="2:5" customFormat="1">
      <c r="B66" s="123" t="s">
        <v>50</v>
      </c>
      <c r="C66" s="22" t="s">
        <v>51</v>
      </c>
      <c r="D66" s="80">
        <v>0</v>
      </c>
      <c r="E66" s="81">
        <v>0</v>
      </c>
    </row>
    <row r="67" spans="2:5" customFormat="1">
      <c r="B67" s="102" t="s">
        <v>52</v>
      </c>
      <c r="C67" s="15" t="s">
        <v>53</v>
      </c>
      <c r="D67" s="78">
        <v>0</v>
      </c>
      <c r="E67" s="79">
        <v>0</v>
      </c>
    </row>
    <row r="68" spans="2:5" customFormat="1">
      <c r="B68" s="102" t="s">
        <v>54</v>
      </c>
      <c r="C68" s="15" t="s">
        <v>55</v>
      </c>
      <c r="D68" s="78">
        <v>0</v>
      </c>
      <c r="E68" s="79">
        <v>0</v>
      </c>
    </row>
    <row r="69" spans="2:5" customFormat="1">
      <c r="B69" s="102" t="s">
        <v>56</v>
      </c>
      <c r="C69" s="15" t="s">
        <v>57</v>
      </c>
      <c r="D69" s="235">
        <v>0</v>
      </c>
      <c r="E69" s="79">
        <v>0</v>
      </c>
    </row>
    <row r="70" spans="2:5" customFormat="1">
      <c r="B70" s="129" t="s">
        <v>58</v>
      </c>
      <c r="C70" s="113" t="s">
        <v>59</v>
      </c>
      <c r="D70" s="114">
        <v>0</v>
      </c>
      <c r="E70" s="115">
        <v>0</v>
      </c>
    </row>
    <row r="71" spans="2:5" customFormat="1">
      <c r="B71" s="130" t="s">
        <v>23</v>
      </c>
      <c r="C71" s="121" t="s">
        <v>61</v>
      </c>
      <c r="D71" s="122">
        <v>0</v>
      </c>
      <c r="E71" s="66">
        <v>0</v>
      </c>
    </row>
    <row r="72" spans="2:5" customFormat="1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 customFormat="1">
      <c r="B73" s="132" t="s">
        <v>62</v>
      </c>
      <c r="C73" s="24" t="s">
        <v>65</v>
      </c>
      <c r="D73" s="25">
        <v>0</v>
      </c>
      <c r="E73" s="26">
        <v>0</v>
      </c>
    </row>
    <row r="74" spans="2:5" customFormat="1">
      <c r="B74" s="130" t="s">
        <v>64</v>
      </c>
      <c r="C74" s="121" t="s">
        <v>66</v>
      </c>
      <c r="D74" s="122">
        <f>D58</f>
        <v>0</v>
      </c>
      <c r="E74" s="66">
        <f>E58+E72-E73</f>
        <v>0</v>
      </c>
    </row>
    <row r="75" spans="2:5" customFormat="1">
      <c r="B75" s="102" t="s">
        <v>4</v>
      </c>
      <c r="C75" s="15" t="s">
        <v>67</v>
      </c>
      <c r="D75" s="78">
        <f>D74</f>
        <v>0</v>
      </c>
      <c r="E75" s="79">
        <f>E74</f>
        <v>0</v>
      </c>
    </row>
    <row r="76" spans="2:5" customFormat="1">
      <c r="B76" s="102" t="s">
        <v>6</v>
      </c>
      <c r="C76" s="15" t="s">
        <v>119</v>
      </c>
      <c r="D76" s="78">
        <v>0</v>
      </c>
      <c r="E76" s="79">
        <v>0</v>
      </c>
    </row>
    <row r="77" spans="2:5" customFormat="1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 customFormat="1">
      <c r="B78" s="1"/>
      <c r="C78" s="1"/>
      <c r="D78" s="2"/>
      <c r="E78" s="2"/>
    </row>
    <row r="79" spans="2:5" customFormat="1">
      <c r="B79" s="1"/>
      <c r="C79" s="1"/>
      <c r="D79" s="2"/>
      <c r="E79" s="2"/>
    </row>
    <row r="80" spans="2:5" customFormat="1">
      <c r="B80" s="1"/>
      <c r="C80" s="1"/>
      <c r="D80" s="2"/>
      <c r="E80" s="2"/>
    </row>
    <row r="81" spans="2:5" customFormat="1">
      <c r="B81" s="1"/>
      <c r="C81" s="1"/>
      <c r="D81" s="2"/>
      <c r="E81" s="2"/>
    </row>
  </sheetData>
  <mergeCells count="14">
    <mergeCell ref="B9:E9"/>
    <mergeCell ref="B2:E2"/>
    <mergeCell ref="B3:E3"/>
    <mergeCell ref="B5:E5"/>
    <mergeCell ref="B6:E6"/>
    <mergeCell ref="B8:E8"/>
    <mergeCell ref="B56:E56"/>
    <mergeCell ref="B57:C57"/>
    <mergeCell ref="B21:C21"/>
    <mergeCell ref="B23:E23"/>
    <mergeCell ref="B24:E24"/>
    <mergeCell ref="B43:E43"/>
    <mergeCell ref="B44:E44"/>
    <mergeCell ref="B55:E55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3"/>
  <dimension ref="A1:G81"/>
  <sheetViews>
    <sheetView topLeftCell="A16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1"/>
      <c r="C4" s="141"/>
      <c r="D4" s="141"/>
      <c r="E4" s="141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196</v>
      </c>
      <c r="C6" s="353"/>
      <c r="D6" s="353"/>
      <c r="E6" s="353"/>
    </row>
    <row r="7" spans="2:7" ht="14.25">
      <c r="B7" s="139"/>
      <c r="C7" s="139"/>
      <c r="D7" s="139"/>
      <c r="E7" s="13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40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64061.72</v>
      </c>
      <c r="E11" s="228">
        <f>SUM(E12:E14)</f>
        <v>89681.67</v>
      </c>
    </row>
    <row r="12" spans="2:7">
      <c r="B12" s="173" t="s">
        <v>4</v>
      </c>
      <c r="C12" s="174" t="s">
        <v>5</v>
      </c>
      <c r="D12" s="241">
        <v>64061.72</v>
      </c>
      <c r="E12" s="245">
        <v>89681.67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64061.72</v>
      </c>
      <c r="E21" s="148">
        <f>E11-E17</f>
        <v>89681.67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53480.71</v>
      </c>
      <c r="E26" s="217">
        <f>D21</f>
        <v>64061.72</v>
      </c>
    </row>
    <row r="27" spans="2:6">
      <c r="B27" s="9" t="s">
        <v>17</v>
      </c>
      <c r="C27" s="10" t="s">
        <v>111</v>
      </c>
      <c r="D27" s="323">
        <v>1857.26</v>
      </c>
      <c r="E27" s="274">
        <f>E28-E32</f>
        <v>18118.28</v>
      </c>
      <c r="F27" s="71"/>
    </row>
    <row r="28" spans="2:6">
      <c r="B28" s="9" t="s">
        <v>18</v>
      </c>
      <c r="C28" s="10" t="s">
        <v>19</v>
      </c>
      <c r="D28" s="323">
        <v>11348.1</v>
      </c>
      <c r="E28" s="275">
        <v>30666.82</v>
      </c>
      <c r="F28" s="71"/>
    </row>
    <row r="29" spans="2:6">
      <c r="B29" s="181" t="s">
        <v>4</v>
      </c>
      <c r="C29" s="174" t="s">
        <v>20</v>
      </c>
      <c r="D29" s="324">
        <v>10849.63</v>
      </c>
      <c r="E29" s="276">
        <v>7809.27</v>
      </c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>
        <v>498.47</v>
      </c>
      <c r="E31" s="276">
        <v>22857.55</v>
      </c>
      <c r="F31" s="71"/>
    </row>
    <row r="32" spans="2:6">
      <c r="B32" s="92" t="s">
        <v>23</v>
      </c>
      <c r="C32" s="11" t="s">
        <v>24</v>
      </c>
      <c r="D32" s="323">
        <v>9490.84</v>
      </c>
      <c r="E32" s="275">
        <f>SUM(E33:E39)</f>
        <v>12548.539999999999</v>
      </c>
      <c r="F32" s="71"/>
    </row>
    <row r="33" spans="2:6">
      <c r="B33" s="181" t="s">
        <v>4</v>
      </c>
      <c r="C33" s="174" t="s">
        <v>25</v>
      </c>
      <c r="D33" s="324">
        <v>792.39</v>
      </c>
      <c r="E33" s="276">
        <f>2142.5+11.26</f>
        <v>2153.7600000000002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348.79</v>
      </c>
      <c r="E35" s="276">
        <v>333.87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837.63</v>
      </c>
      <c r="E37" s="276">
        <v>788.28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>
        <v>7512.03</v>
      </c>
      <c r="E39" s="277">
        <v>9272.6299999999992</v>
      </c>
      <c r="F39" s="71"/>
    </row>
    <row r="40" spans="2:6" ht="13.5" thickBot="1">
      <c r="B40" s="97" t="s">
        <v>35</v>
      </c>
      <c r="C40" s="98" t="s">
        <v>36</v>
      </c>
      <c r="D40" s="326">
        <v>8723.75</v>
      </c>
      <c r="E40" s="279">
        <v>7501.67</v>
      </c>
    </row>
    <row r="41" spans="2:6" ht="13.5" thickBot="1">
      <c r="B41" s="99" t="s">
        <v>37</v>
      </c>
      <c r="C41" s="100" t="s">
        <v>38</v>
      </c>
      <c r="D41" s="327">
        <v>64061.72</v>
      </c>
      <c r="E41" s="148">
        <f>E26+E27+E40</f>
        <v>89681.67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8330.3289999999997</v>
      </c>
      <c r="E47" s="149">
        <v>8575.866</v>
      </c>
    </row>
    <row r="48" spans="2:6">
      <c r="B48" s="186" t="s">
        <v>6</v>
      </c>
      <c r="C48" s="187" t="s">
        <v>41</v>
      </c>
      <c r="D48" s="200">
        <v>8575.866</v>
      </c>
      <c r="E48" s="149">
        <v>10831.119999999999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84" t="s">
        <v>4</v>
      </c>
      <c r="C50" s="185" t="s">
        <v>40</v>
      </c>
      <c r="D50" s="200">
        <v>6.42</v>
      </c>
      <c r="E50" s="149">
        <v>7.47</v>
      </c>
    </row>
    <row r="51" spans="2:5">
      <c r="B51" s="184" t="s">
        <v>6</v>
      </c>
      <c r="C51" s="185" t="s">
        <v>114</v>
      </c>
      <c r="D51" s="200">
        <v>6.38</v>
      </c>
      <c r="E51" s="75">
        <v>5.25</v>
      </c>
    </row>
    <row r="52" spans="2:5">
      <c r="B52" s="184" t="s">
        <v>8</v>
      </c>
      <c r="C52" s="185" t="s">
        <v>115</v>
      </c>
      <c r="D52" s="200">
        <v>7.47</v>
      </c>
      <c r="E52" s="75">
        <v>8.2799999999999994</v>
      </c>
    </row>
    <row r="53" spans="2:5" ht="13.5" customHeight="1" thickBot="1">
      <c r="B53" s="188" t="s">
        <v>9</v>
      </c>
      <c r="C53" s="189" t="s">
        <v>41</v>
      </c>
      <c r="D53" s="202">
        <v>7.47</v>
      </c>
      <c r="E53" s="280">
        <v>8.2799999999999994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6.5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89681.67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89681.67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89681.67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89681.67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4"/>
  <dimension ref="A1:G81"/>
  <sheetViews>
    <sheetView topLeftCell="A16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1"/>
      <c r="C4" s="141"/>
      <c r="D4" s="141"/>
      <c r="E4" s="141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197</v>
      </c>
      <c r="C6" s="353"/>
      <c r="D6" s="353"/>
      <c r="E6" s="353"/>
    </row>
    <row r="7" spans="2:7" ht="14.25">
      <c r="B7" s="139"/>
      <c r="C7" s="139"/>
      <c r="D7" s="139"/>
      <c r="E7" s="13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40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27799.95</v>
      </c>
      <c r="E11" s="228">
        <f>SUM(E12:E14)</f>
        <v>22991.3</v>
      </c>
    </row>
    <row r="12" spans="2:7">
      <c r="B12" s="173" t="s">
        <v>4</v>
      </c>
      <c r="C12" s="174" t="s">
        <v>5</v>
      </c>
      <c r="D12" s="241">
        <v>27799.95</v>
      </c>
      <c r="E12" s="245">
        <v>22991.3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27799.95</v>
      </c>
      <c r="E21" s="148">
        <f>E11-E17</f>
        <v>22991.3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32188.18</v>
      </c>
      <c r="E26" s="217">
        <f>D21</f>
        <v>27799.95</v>
      </c>
    </row>
    <row r="27" spans="2:6">
      <c r="B27" s="9" t="s">
        <v>17</v>
      </c>
      <c r="C27" s="10" t="s">
        <v>111</v>
      </c>
      <c r="D27" s="323">
        <v>-7756.58</v>
      </c>
      <c r="E27" s="274">
        <v>-4441.3200000000006</v>
      </c>
      <c r="F27" s="71"/>
    </row>
    <row r="28" spans="2:6">
      <c r="B28" s="9" t="s">
        <v>18</v>
      </c>
      <c r="C28" s="10" t="s">
        <v>19</v>
      </c>
      <c r="D28" s="323"/>
      <c r="E28" s="275"/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7756.58</v>
      </c>
      <c r="E32" s="275">
        <v>4441.3200000000006</v>
      </c>
      <c r="F32" s="71"/>
    </row>
    <row r="33" spans="2:6">
      <c r="B33" s="181" t="s">
        <v>4</v>
      </c>
      <c r="C33" s="174" t="s">
        <v>25</v>
      </c>
      <c r="D33" s="324">
        <v>7120.55</v>
      </c>
      <c r="E33" s="276">
        <v>3827.44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227.91</v>
      </c>
      <c r="E35" s="276">
        <v>231.57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408.12</v>
      </c>
      <c r="E37" s="276">
        <v>382.31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/>
      <c r="F39" s="71"/>
    </row>
    <row r="40" spans="2:6" ht="13.5" thickBot="1">
      <c r="B40" s="97" t="s">
        <v>35</v>
      </c>
      <c r="C40" s="98" t="s">
        <v>36</v>
      </c>
      <c r="D40" s="326">
        <v>3368.35</v>
      </c>
      <c r="E40" s="279">
        <v>-367.33</v>
      </c>
    </row>
    <row r="41" spans="2:6" ht="13.5" thickBot="1">
      <c r="B41" s="99" t="s">
        <v>37</v>
      </c>
      <c r="C41" s="100" t="s">
        <v>38</v>
      </c>
      <c r="D41" s="327">
        <v>27799.949999999997</v>
      </c>
      <c r="E41" s="148">
        <f>E26+E27+E40</f>
        <v>22991.3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3241.509</v>
      </c>
      <c r="E47" s="149">
        <v>2504.5</v>
      </c>
    </row>
    <row r="48" spans="2:6">
      <c r="B48" s="186" t="s">
        <v>6</v>
      </c>
      <c r="C48" s="187" t="s">
        <v>41</v>
      </c>
      <c r="D48" s="200">
        <v>2504.5</v>
      </c>
      <c r="E48" s="149">
        <v>2084.433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84" t="s">
        <v>4</v>
      </c>
      <c r="C50" s="185" t="s">
        <v>40</v>
      </c>
      <c r="D50" s="200">
        <v>9.93</v>
      </c>
      <c r="E50" s="149">
        <v>11.1</v>
      </c>
    </row>
    <row r="51" spans="2:5">
      <c r="B51" s="184" t="s">
        <v>6</v>
      </c>
      <c r="C51" s="185" t="s">
        <v>114</v>
      </c>
      <c r="D51" s="200">
        <v>9.93</v>
      </c>
      <c r="E51" s="149">
        <v>8.77</v>
      </c>
    </row>
    <row r="52" spans="2:5">
      <c r="B52" s="184" t="s">
        <v>8</v>
      </c>
      <c r="C52" s="185" t="s">
        <v>115</v>
      </c>
      <c r="D52" s="200">
        <v>11.11</v>
      </c>
      <c r="E52" s="75">
        <v>11.26</v>
      </c>
    </row>
    <row r="53" spans="2:5" ht="12.75" customHeight="1" thickBot="1">
      <c r="B53" s="188" t="s">
        <v>9</v>
      </c>
      <c r="C53" s="189" t="s">
        <v>41</v>
      </c>
      <c r="D53" s="202">
        <v>11.1</v>
      </c>
      <c r="E53" s="280">
        <v>11.03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4.25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22991.3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 ht="13.5" customHeight="1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22991.3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22991.3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22991.3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5"/>
  <dimension ref="A1:G81"/>
  <sheetViews>
    <sheetView topLeftCell="A19" zoomScale="80" zoomScaleNormal="80" workbookViewId="0">
      <selection activeCell="E27" sqref="E27:E4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4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1" t="s">
        <v>0</v>
      </c>
      <c r="C2" s="351"/>
      <c r="D2" s="351"/>
      <c r="E2" s="351"/>
      <c r="G2" s="71"/>
    </row>
    <row r="3" spans="2:7" ht="15.75">
      <c r="B3" s="351" t="s">
        <v>271</v>
      </c>
      <c r="C3" s="351"/>
      <c r="D3" s="351"/>
      <c r="E3" s="351"/>
    </row>
    <row r="4" spans="2:7" ht="15">
      <c r="B4" s="141"/>
      <c r="C4" s="141"/>
      <c r="D4" s="141"/>
      <c r="E4" s="141"/>
    </row>
    <row r="5" spans="2:7" ht="21" customHeight="1">
      <c r="B5" s="352" t="s">
        <v>1</v>
      </c>
      <c r="C5" s="352"/>
      <c r="D5" s="352"/>
      <c r="E5" s="352"/>
    </row>
    <row r="6" spans="2:7" ht="14.25">
      <c r="B6" s="353" t="s">
        <v>198</v>
      </c>
      <c r="C6" s="353"/>
      <c r="D6" s="353"/>
      <c r="E6" s="353"/>
    </row>
    <row r="7" spans="2:7" ht="14.25">
      <c r="B7" s="139"/>
      <c r="C7" s="139"/>
      <c r="D7" s="139"/>
      <c r="E7" s="139"/>
    </row>
    <row r="8" spans="2:7" ht="13.5">
      <c r="B8" s="355" t="s">
        <v>18</v>
      </c>
      <c r="C8" s="357"/>
      <c r="D8" s="357"/>
      <c r="E8" s="357"/>
    </row>
    <row r="9" spans="2:7" ht="16.5" thickBot="1">
      <c r="B9" s="354" t="s">
        <v>103</v>
      </c>
      <c r="C9" s="354"/>
      <c r="D9" s="354"/>
      <c r="E9" s="354"/>
    </row>
    <row r="10" spans="2:7" ht="13.5" thickBot="1">
      <c r="B10" s="140"/>
      <c r="C10" s="76" t="s">
        <v>2</v>
      </c>
      <c r="D10" s="70" t="s">
        <v>245</v>
      </c>
      <c r="E10" s="255" t="s">
        <v>265</v>
      </c>
    </row>
    <row r="11" spans="2:7">
      <c r="B11" s="90" t="s">
        <v>3</v>
      </c>
      <c r="C11" s="128" t="s">
        <v>109</v>
      </c>
      <c r="D11" s="227">
        <v>2193806.56</v>
      </c>
      <c r="E11" s="228">
        <f>SUM(E12:E14)</f>
        <v>2171235.04</v>
      </c>
    </row>
    <row r="12" spans="2:7">
      <c r="B12" s="173" t="s">
        <v>4</v>
      </c>
      <c r="C12" s="174" t="s">
        <v>5</v>
      </c>
      <c r="D12" s="241">
        <v>2193806.56</v>
      </c>
      <c r="E12" s="245">
        <v>2171235.04</v>
      </c>
    </row>
    <row r="13" spans="2:7">
      <c r="B13" s="173" t="s">
        <v>6</v>
      </c>
      <c r="C13" s="175" t="s">
        <v>7</v>
      </c>
      <c r="D13" s="237"/>
      <c r="E13" s="246"/>
    </row>
    <row r="14" spans="2:7">
      <c r="B14" s="173" t="s">
        <v>8</v>
      </c>
      <c r="C14" s="175" t="s">
        <v>10</v>
      </c>
      <c r="D14" s="237"/>
      <c r="E14" s="246"/>
    </row>
    <row r="15" spans="2:7">
      <c r="B15" s="173" t="s">
        <v>106</v>
      </c>
      <c r="C15" s="175" t="s">
        <v>11</v>
      </c>
      <c r="D15" s="237"/>
      <c r="E15" s="246"/>
    </row>
    <row r="16" spans="2:7">
      <c r="B16" s="176" t="s">
        <v>107</v>
      </c>
      <c r="C16" s="177" t="s">
        <v>12</v>
      </c>
      <c r="D16" s="239"/>
      <c r="E16" s="247"/>
    </row>
    <row r="17" spans="2:6">
      <c r="B17" s="9" t="s">
        <v>13</v>
      </c>
      <c r="C17" s="11" t="s">
        <v>65</v>
      </c>
      <c r="D17" s="240"/>
      <c r="E17" s="248"/>
    </row>
    <row r="18" spans="2:6">
      <c r="B18" s="173" t="s">
        <v>4</v>
      </c>
      <c r="C18" s="174" t="s">
        <v>11</v>
      </c>
      <c r="D18" s="239"/>
      <c r="E18" s="247"/>
    </row>
    <row r="19" spans="2:6" ht="15" customHeight="1">
      <c r="B19" s="173" t="s">
        <v>6</v>
      </c>
      <c r="C19" s="175" t="s">
        <v>108</v>
      </c>
      <c r="D19" s="237"/>
      <c r="E19" s="246"/>
    </row>
    <row r="20" spans="2:6" ht="13.5" thickBot="1">
      <c r="B20" s="178" t="s">
        <v>8</v>
      </c>
      <c r="C20" s="179" t="s">
        <v>14</v>
      </c>
      <c r="D20" s="229"/>
      <c r="E20" s="230"/>
    </row>
    <row r="21" spans="2:6" ht="13.5" thickBot="1">
      <c r="B21" s="361" t="s">
        <v>110</v>
      </c>
      <c r="C21" s="362"/>
      <c r="D21" s="231">
        <v>2193806.56</v>
      </c>
      <c r="E21" s="148">
        <f>E11-E17</f>
        <v>2171235.04</v>
      </c>
      <c r="F21" s="77"/>
    </row>
    <row r="22" spans="2:6">
      <c r="B22" s="3"/>
      <c r="C22" s="7"/>
      <c r="D22" s="8"/>
      <c r="E22" s="8"/>
    </row>
    <row r="23" spans="2:6" ht="13.5">
      <c r="B23" s="355" t="s">
        <v>104</v>
      </c>
      <c r="C23" s="367"/>
      <c r="D23" s="367"/>
      <c r="E23" s="367"/>
    </row>
    <row r="24" spans="2:6" ht="15.75" customHeight="1" thickBot="1">
      <c r="B24" s="354" t="s">
        <v>105</v>
      </c>
      <c r="C24" s="368"/>
      <c r="D24" s="368"/>
      <c r="E24" s="368"/>
    </row>
    <row r="25" spans="2:6" ht="13.5" thickBot="1">
      <c r="B25" s="207"/>
      <c r="C25" s="180" t="s">
        <v>2</v>
      </c>
      <c r="D25" s="70" t="s">
        <v>245</v>
      </c>
      <c r="E25" s="255" t="s">
        <v>265</v>
      </c>
    </row>
    <row r="26" spans="2:6">
      <c r="B26" s="95" t="s">
        <v>15</v>
      </c>
      <c r="C26" s="96" t="s">
        <v>16</v>
      </c>
      <c r="D26" s="322">
        <v>2341979.71</v>
      </c>
      <c r="E26" s="217">
        <f>D21</f>
        <v>2193806.56</v>
      </c>
    </row>
    <row r="27" spans="2:6">
      <c r="B27" s="9" t="s">
        <v>17</v>
      </c>
      <c r="C27" s="10" t="s">
        <v>111</v>
      </c>
      <c r="D27" s="323">
        <v>-338400.03</v>
      </c>
      <c r="E27" s="274">
        <v>-92145.93</v>
      </c>
      <c r="F27" s="71"/>
    </row>
    <row r="28" spans="2:6">
      <c r="B28" s="9" t="s">
        <v>18</v>
      </c>
      <c r="C28" s="10" t="s">
        <v>19</v>
      </c>
      <c r="D28" s="323"/>
      <c r="E28" s="275"/>
      <c r="F28" s="71"/>
    </row>
    <row r="29" spans="2:6">
      <c r="B29" s="181" t="s">
        <v>4</v>
      </c>
      <c r="C29" s="174" t="s">
        <v>20</v>
      </c>
      <c r="D29" s="324"/>
      <c r="E29" s="276"/>
      <c r="F29" s="71"/>
    </row>
    <row r="30" spans="2:6">
      <c r="B30" s="181" t="s">
        <v>6</v>
      </c>
      <c r="C30" s="174" t="s">
        <v>21</v>
      </c>
      <c r="D30" s="324"/>
      <c r="E30" s="276"/>
      <c r="F30" s="71"/>
    </row>
    <row r="31" spans="2:6">
      <c r="B31" s="181" t="s">
        <v>8</v>
      </c>
      <c r="C31" s="174" t="s">
        <v>22</v>
      </c>
      <c r="D31" s="324"/>
      <c r="E31" s="276"/>
      <c r="F31" s="71"/>
    </row>
    <row r="32" spans="2:6">
      <c r="B32" s="92" t="s">
        <v>23</v>
      </c>
      <c r="C32" s="11" t="s">
        <v>24</v>
      </c>
      <c r="D32" s="323">
        <v>338400.03</v>
      </c>
      <c r="E32" s="275">
        <v>92145.93</v>
      </c>
      <c r="F32" s="71"/>
    </row>
    <row r="33" spans="2:6">
      <c r="B33" s="181" t="s">
        <v>4</v>
      </c>
      <c r="C33" s="174" t="s">
        <v>25</v>
      </c>
      <c r="D33" s="324">
        <v>295732.17</v>
      </c>
      <c r="E33" s="276">
        <f>55844.6-0.29</f>
        <v>55844.31</v>
      </c>
      <c r="F33" s="71"/>
    </row>
    <row r="34" spans="2:6">
      <c r="B34" s="181" t="s">
        <v>6</v>
      </c>
      <c r="C34" s="174" t="s">
        <v>26</v>
      </c>
      <c r="D34" s="324"/>
      <c r="E34" s="276"/>
      <c r="F34" s="71"/>
    </row>
    <row r="35" spans="2:6">
      <c r="B35" s="181" t="s">
        <v>8</v>
      </c>
      <c r="C35" s="174" t="s">
        <v>27</v>
      </c>
      <c r="D35" s="324">
        <v>4611.49</v>
      </c>
      <c r="E35" s="276">
        <v>1643.32</v>
      </c>
      <c r="F35" s="71"/>
    </row>
    <row r="36" spans="2:6">
      <c r="B36" s="181" t="s">
        <v>9</v>
      </c>
      <c r="C36" s="174" t="s">
        <v>28</v>
      </c>
      <c r="D36" s="324"/>
      <c r="E36" s="276"/>
      <c r="F36" s="71"/>
    </row>
    <row r="37" spans="2:6" ht="25.5">
      <c r="B37" s="181" t="s">
        <v>29</v>
      </c>
      <c r="C37" s="174" t="s">
        <v>30</v>
      </c>
      <c r="D37" s="324">
        <v>38056.370000000003</v>
      </c>
      <c r="E37" s="276">
        <v>34658.300000000003</v>
      </c>
      <c r="F37" s="71"/>
    </row>
    <row r="38" spans="2:6">
      <c r="B38" s="181" t="s">
        <v>31</v>
      </c>
      <c r="C38" s="174" t="s">
        <v>32</v>
      </c>
      <c r="D38" s="324"/>
      <c r="E38" s="276"/>
      <c r="F38" s="71"/>
    </row>
    <row r="39" spans="2:6">
      <c r="B39" s="182" t="s">
        <v>33</v>
      </c>
      <c r="C39" s="183" t="s">
        <v>34</v>
      </c>
      <c r="D39" s="325"/>
      <c r="E39" s="277"/>
      <c r="F39" s="71"/>
    </row>
    <row r="40" spans="2:6" ht="13.5" thickBot="1">
      <c r="B40" s="97" t="s">
        <v>35</v>
      </c>
      <c r="C40" s="98" t="s">
        <v>36</v>
      </c>
      <c r="D40" s="326">
        <v>190226.88</v>
      </c>
      <c r="E40" s="279">
        <v>69574.41</v>
      </c>
    </row>
    <row r="41" spans="2:6" ht="13.5" thickBot="1">
      <c r="B41" s="99" t="s">
        <v>37</v>
      </c>
      <c r="C41" s="100" t="s">
        <v>38</v>
      </c>
      <c r="D41" s="327">
        <v>2193806.56</v>
      </c>
      <c r="E41" s="148">
        <f>E26+E27+E40</f>
        <v>2171235.04</v>
      </c>
      <c r="F41" s="77"/>
    </row>
    <row r="42" spans="2:6">
      <c r="B42" s="93"/>
      <c r="C42" s="93"/>
      <c r="D42" s="94"/>
      <c r="E42" s="94"/>
      <c r="F42" s="77"/>
    </row>
    <row r="43" spans="2:6" ht="13.5">
      <c r="B43" s="356" t="s">
        <v>60</v>
      </c>
      <c r="C43" s="365"/>
      <c r="D43" s="365"/>
      <c r="E43" s="365"/>
    </row>
    <row r="44" spans="2:6" ht="18" customHeight="1" thickBot="1">
      <c r="B44" s="354" t="s">
        <v>121</v>
      </c>
      <c r="C44" s="366"/>
      <c r="D44" s="366"/>
      <c r="E44" s="366"/>
    </row>
    <row r="45" spans="2:6" ht="13.5" thickBot="1">
      <c r="B45" s="207"/>
      <c r="C45" s="29" t="s">
        <v>39</v>
      </c>
      <c r="D45" s="70" t="s">
        <v>245</v>
      </c>
      <c r="E45" s="255" t="s">
        <v>265</v>
      </c>
    </row>
    <row r="46" spans="2:6">
      <c r="B46" s="13" t="s">
        <v>18</v>
      </c>
      <c r="C46" s="30" t="s">
        <v>112</v>
      </c>
      <c r="D46" s="101"/>
      <c r="E46" s="28"/>
    </row>
    <row r="47" spans="2:6">
      <c r="B47" s="184" t="s">
        <v>4</v>
      </c>
      <c r="C47" s="185" t="s">
        <v>40</v>
      </c>
      <c r="D47" s="200">
        <v>133067.02900000001</v>
      </c>
      <c r="E47" s="149">
        <v>115039.673</v>
      </c>
    </row>
    <row r="48" spans="2:6">
      <c r="B48" s="186" t="s">
        <v>6</v>
      </c>
      <c r="C48" s="187" t="s">
        <v>41</v>
      </c>
      <c r="D48" s="200">
        <v>115039.673</v>
      </c>
      <c r="E48" s="149">
        <v>110047.39200000001</v>
      </c>
    </row>
    <row r="49" spans="2:5">
      <c r="B49" s="120" t="s">
        <v>23</v>
      </c>
      <c r="C49" s="124" t="s">
        <v>113</v>
      </c>
      <c r="D49" s="201"/>
      <c r="E49" s="149"/>
    </row>
    <row r="50" spans="2:5">
      <c r="B50" s="184" t="s">
        <v>4</v>
      </c>
      <c r="C50" s="185" t="s">
        <v>40</v>
      </c>
      <c r="D50" s="200">
        <v>17.600000000000001</v>
      </c>
      <c r="E50" s="149">
        <v>19.07</v>
      </c>
    </row>
    <row r="51" spans="2:5">
      <c r="B51" s="184" t="s">
        <v>6</v>
      </c>
      <c r="C51" s="185" t="s">
        <v>114</v>
      </c>
      <c r="D51" s="200">
        <v>17.580000000000002</v>
      </c>
      <c r="E51" s="149">
        <v>16.41</v>
      </c>
    </row>
    <row r="52" spans="2:5">
      <c r="B52" s="184" t="s">
        <v>8</v>
      </c>
      <c r="C52" s="185" t="s">
        <v>115</v>
      </c>
      <c r="D52" s="200">
        <v>19.079999999999998</v>
      </c>
      <c r="E52" s="75">
        <v>19.73</v>
      </c>
    </row>
    <row r="53" spans="2:5" ht="12.75" customHeight="1" thickBot="1">
      <c r="B53" s="188" t="s">
        <v>9</v>
      </c>
      <c r="C53" s="189" t="s">
        <v>41</v>
      </c>
      <c r="D53" s="202">
        <v>19.07</v>
      </c>
      <c r="E53" s="280">
        <v>19.73</v>
      </c>
    </row>
    <row r="54" spans="2:5">
      <c r="B54" s="109"/>
      <c r="C54" s="110"/>
      <c r="D54" s="111"/>
      <c r="E54" s="111"/>
    </row>
    <row r="55" spans="2:5" ht="13.5">
      <c r="B55" s="356" t="s">
        <v>62</v>
      </c>
      <c r="C55" s="357"/>
      <c r="D55" s="357"/>
      <c r="E55" s="357"/>
    </row>
    <row r="56" spans="2:5" ht="18" customHeight="1" thickBot="1">
      <c r="B56" s="354" t="s">
        <v>116</v>
      </c>
      <c r="C56" s="358"/>
      <c r="D56" s="358"/>
      <c r="E56" s="358"/>
    </row>
    <row r="57" spans="2:5" ht="23.25" thickBot="1">
      <c r="B57" s="349" t="s">
        <v>42</v>
      </c>
      <c r="C57" s="350"/>
      <c r="D57" s="18" t="s">
        <v>122</v>
      </c>
      <c r="E57" s="19" t="s">
        <v>117</v>
      </c>
    </row>
    <row r="58" spans="2:5">
      <c r="B58" s="20" t="s">
        <v>18</v>
      </c>
      <c r="C58" s="126" t="s">
        <v>43</v>
      </c>
      <c r="D58" s="127">
        <f>D64</f>
        <v>2171235.04</v>
      </c>
      <c r="E58" s="31">
        <f>D58/E21</f>
        <v>1</v>
      </c>
    </row>
    <row r="59" spans="2:5" ht="25.5">
      <c r="B59" s="123" t="s">
        <v>4</v>
      </c>
      <c r="C59" s="22" t="s">
        <v>44</v>
      </c>
      <c r="D59" s="80">
        <v>0</v>
      </c>
      <c r="E59" s="81">
        <v>0</v>
      </c>
    </row>
    <row r="60" spans="2:5" ht="25.5">
      <c r="B60" s="102" t="s">
        <v>6</v>
      </c>
      <c r="C60" s="15" t="s">
        <v>45</v>
      </c>
      <c r="D60" s="78">
        <v>0</v>
      </c>
      <c r="E60" s="79">
        <v>0</v>
      </c>
    </row>
    <row r="61" spans="2:5">
      <c r="B61" s="102" t="s">
        <v>8</v>
      </c>
      <c r="C61" s="15" t="s">
        <v>46</v>
      </c>
      <c r="D61" s="78">
        <v>0</v>
      </c>
      <c r="E61" s="79">
        <v>0</v>
      </c>
    </row>
    <row r="62" spans="2:5">
      <c r="B62" s="102" t="s">
        <v>9</v>
      </c>
      <c r="C62" s="15" t="s">
        <v>47</v>
      </c>
      <c r="D62" s="78">
        <v>0</v>
      </c>
      <c r="E62" s="79">
        <v>0</v>
      </c>
    </row>
    <row r="63" spans="2:5">
      <c r="B63" s="102" t="s">
        <v>29</v>
      </c>
      <c r="C63" s="15" t="s">
        <v>48</v>
      </c>
      <c r="D63" s="78">
        <v>0</v>
      </c>
      <c r="E63" s="79">
        <v>0</v>
      </c>
    </row>
    <row r="64" spans="2:5">
      <c r="B64" s="123" t="s">
        <v>31</v>
      </c>
      <c r="C64" s="22" t="s">
        <v>49</v>
      </c>
      <c r="D64" s="80">
        <f>E21</f>
        <v>2171235.04</v>
      </c>
      <c r="E64" s="81">
        <f>E58</f>
        <v>1</v>
      </c>
    </row>
    <row r="65" spans="2:5">
      <c r="B65" s="123" t="s">
        <v>33</v>
      </c>
      <c r="C65" s="22" t="s">
        <v>118</v>
      </c>
      <c r="D65" s="80">
        <v>0</v>
      </c>
      <c r="E65" s="81">
        <v>0</v>
      </c>
    </row>
    <row r="66" spans="2:5">
      <c r="B66" s="123" t="s">
        <v>50</v>
      </c>
      <c r="C66" s="22" t="s">
        <v>51</v>
      </c>
      <c r="D66" s="80">
        <v>0</v>
      </c>
      <c r="E66" s="81">
        <v>0</v>
      </c>
    </row>
    <row r="67" spans="2:5">
      <c r="B67" s="102" t="s">
        <v>52</v>
      </c>
      <c r="C67" s="15" t="s">
        <v>53</v>
      </c>
      <c r="D67" s="78">
        <v>0</v>
      </c>
      <c r="E67" s="79">
        <v>0</v>
      </c>
    </row>
    <row r="68" spans="2:5">
      <c r="B68" s="102" t="s">
        <v>54</v>
      </c>
      <c r="C68" s="15" t="s">
        <v>55</v>
      </c>
      <c r="D68" s="78">
        <v>0</v>
      </c>
      <c r="E68" s="79">
        <v>0</v>
      </c>
    </row>
    <row r="69" spans="2:5">
      <c r="B69" s="102" t="s">
        <v>56</v>
      </c>
      <c r="C69" s="15" t="s">
        <v>57</v>
      </c>
      <c r="D69" s="235">
        <v>0</v>
      </c>
      <c r="E69" s="79">
        <v>0</v>
      </c>
    </row>
    <row r="70" spans="2:5">
      <c r="B70" s="129" t="s">
        <v>58</v>
      </c>
      <c r="C70" s="113" t="s">
        <v>59</v>
      </c>
      <c r="D70" s="114">
        <v>0</v>
      </c>
      <c r="E70" s="115">
        <v>0</v>
      </c>
    </row>
    <row r="71" spans="2:5">
      <c r="B71" s="130" t="s">
        <v>23</v>
      </c>
      <c r="C71" s="121" t="s">
        <v>61</v>
      </c>
      <c r="D71" s="122">
        <v>0</v>
      </c>
      <c r="E71" s="66">
        <v>0</v>
      </c>
    </row>
    <row r="72" spans="2:5">
      <c r="B72" s="131" t="s">
        <v>60</v>
      </c>
      <c r="C72" s="117" t="s">
        <v>63</v>
      </c>
      <c r="D72" s="118">
        <f>E14</f>
        <v>0</v>
      </c>
      <c r="E72" s="119">
        <v>0</v>
      </c>
    </row>
    <row r="73" spans="2:5">
      <c r="B73" s="132" t="s">
        <v>62</v>
      </c>
      <c r="C73" s="24" t="s">
        <v>65</v>
      </c>
      <c r="D73" s="25">
        <v>0</v>
      </c>
      <c r="E73" s="26">
        <v>0</v>
      </c>
    </row>
    <row r="74" spans="2:5">
      <c r="B74" s="130" t="s">
        <v>64</v>
      </c>
      <c r="C74" s="121" t="s">
        <v>66</v>
      </c>
      <c r="D74" s="122">
        <f>D58</f>
        <v>2171235.04</v>
      </c>
      <c r="E74" s="66">
        <f>E58+E72-E73</f>
        <v>1</v>
      </c>
    </row>
    <row r="75" spans="2:5">
      <c r="B75" s="102" t="s">
        <v>4</v>
      </c>
      <c r="C75" s="15" t="s">
        <v>67</v>
      </c>
      <c r="D75" s="78">
        <f>D74</f>
        <v>2171235.04</v>
      </c>
      <c r="E75" s="79">
        <f>E74</f>
        <v>1</v>
      </c>
    </row>
    <row r="76" spans="2:5">
      <c r="B76" s="102" t="s">
        <v>6</v>
      </c>
      <c r="C76" s="15" t="s">
        <v>119</v>
      </c>
      <c r="D76" s="78">
        <v>0</v>
      </c>
      <c r="E76" s="79">
        <v>0</v>
      </c>
    </row>
    <row r="77" spans="2:5" ht="13.5" thickBot="1">
      <c r="B77" s="103" t="s">
        <v>8</v>
      </c>
      <c r="C77" s="17" t="s">
        <v>120</v>
      </c>
      <c r="D77" s="82">
        <v>0</v>
      </c>
      <c r="E77" s="83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159</vt:i4>
      </vt:variant>
      <vt:variant>
        <vt:lpstr>Zakresy nazwane</vt:lpstr>
      </vt:variant>
      <vt:variant>
        <vt:i4>59</vt:i4>
      </vt:variant>
    </vt:vector>
  </HeadingPairs>
  <TitlesOfParts>
    <vt:vector size="218" baseType="lpstr">
      <vt:lpstr>Fundusz Gwarantowany</vt:lpstr>
      <vt:lpstr>Fundusz Stabilnego Wzrostu</vt:lpstr>
      <vt:lpstr>Fundusz Dynamiczny</vt:lpstr>
      <vt:lpstr>Fundusz Obligacji</vt:lpstr>
      <vt:lpstr>Fundusz Aktywnej Alokacji</vt:lpstr>
      <vt:lpstr>Fundusz Akcji Plus</vt:lpstr>
      <vt:lpstr>Fundusz Akcji Małych i ŚS</vt:lpstr>
      <vt:lpstr>Fundusz Pieniężny</vt:lpstr>
      <vt:lpstr>Fundusz Polskich Obl. Skarb.</vt:lpstr>
      <vt:lpstr>Fundusz Selektywny</vt:lpstr>
      <vt:lpstr>Fundusz Akcji Glob.</vt:lpstr>
      <vt:lpstr>Fundusz Obligacji Glob.</vt:lpstr>
      <vt:lpstr>Fundusz Energetyczny</vt:lpstr>
      <vt:lpstr>Portfel Aktywnej Alokacji</vt:lpstr>
      <vt:lpstr>Portfel Dynamiczny</vt:lpstr>
      <vt:lpstr>Portfel Stabilnego Wzrostu</vt:lpstr>
      <vt:lpstr>Portfel ARR</vt:lpstr>
      <vt:lpstr>Portfel ARW</vt:lpstr>
      <vt:lpstr>Portfel OZ</vt:lpstr>
      <vt:lpstr>Portfel OR</vt:lpstr>
      <vt:lpstr>Portfel SA</vt:lpstr>
      <vt:lpstr>Fundusz Konserwatywny</vt:lpstr>
      <vt:lpstr>Fundusz Zrównoważony</vt:lpstr>
      <vt:lpstr>Fundusz Aktywny</vt:lpstr>
      <vt:lpstr>Fundusz Międzynarodowy</vt:lpstr>
      <vt:lpstr>Fundusz Azjatycki</vt:lpstr>
      <vt:lpstr>Aktywny - Surowce i Nowe Gosp.</vt:lpstr>
      <vt:lpstr>Zabezpieczony - Dalekiego Wsch.</vt:lpstr>
      <vt:lpstr>Zaabezpieczony - Europy Wsch.</vt:lpstr>
      <vt:lpstr>Strategii Multiobligacyjnych</vt:lpstr>
      <vt:lpstr>Zabezpieczony - Rynku Polskiego</vt:lpstr>
      <vt:lpstr>Allianz Stabilnego Wzrostu</vt:lpstr>
      <vt:lpstr>Allianz Obligacji Plus</vt:lpstr>
      <vt:lpstr>Allianz Aktywnej Alokacji</vt:lpstr>
      <vt:lpstr>Allianz Akcji Małych i ŚS</vt:lpstr>
      <vt:lpstr>Allianz Konserw.</vt:lpstr>
      <vt:lpstr>Allianz Polskich Obl.Skarb.</vt:lpstr>
      <vt:lpstr>Allianz Selektywny</vt:lpstr>
      <vt:lpstr>Allianz Akcji Glob.</vt:lpstr>
      <vt:lpstr>Allianz ARZ</vt:lpstr>
      <vt:lpstr>Allianz Akcji Rynkow Wsch</vt:lpstr>
      <vt:lpstr>Allianz Dyn.Multistrategia</vt:lpstr>
      <vt:lpstr>Allianz Def.Multistrategia</vt:lpstr>
      <vt:lpstr>Allianz Zbal.Multistrategia</vt:lpstr>
      <vt:lpstr>Allianz GSD</vt:lpstr>
      <vt:lpstr>Allianz Obligacji Glob.</vt:lpstr>
      <vt:lpstr>Altus ASZD</vt:lpstr>
      <vt:lpstr>Aviva Dł.Pap.Korp.</vt:lpstr>
      <vt:lpstr>Franklin EDF</vt:lpstr>
      <vt:lpstr>Franklin GFS</vt:lpstr>
      <vt:lpstr>Franklin USO</vt:lpstr>
      <vt:lpstr>GS EMD</vt:lpstr>
      <vt:lpstr>GS GSMBP</vt:lpstr>
      <vt:lpstr>Inwestor Akcji</vt:lpstr>
      <vt:lpstr>Investor Akcji Sp.Dyw.</vt:lpstr>
      <vt:lpstr>Investor TOP 25 MS</vt:lpstr>
      <vt:lpstr>Investor Zrównoważony</vt:lpstr>
      <vt:lpstr>Investor Ameryka Łacińska</vt:lpstr>
      <vt:lpstr>Investor BRIC</vt:lpstr>
      <vt:lpstr>Investor Gold</vt:lpstr>
      <vt:lpstr>Investor Doch</vt:lpstr>
      <vt:lpstr>Investor Indie i Chiny</vt:lpstr>
      <vt:lpstr>Investor OK</vt:lpstr>
      <vt:lpstr>Investor Oszcz.</vt:lpstr>
      <vt:lpstr>Investor ZE</vt:lpstr>
      <vt:lpstr>JPM EMO</vt:lpstr>
      <vt:lpstr>JPM GH</vt:lpstr>
      <vt:lpstr>JPM GSB</vt:lpstr>
      <vt:lpstr>JPM GMO</vt:lpstr>
      <vt:lpstr>Esaliens Akcji</vt:lpstr>
      <vt:lpstr>Esaliens Obligacji</vt:lpstr>
      <vt:lpstr>Esaliens Kons</vt:lpstr>
      <vt:lpstr>Esaliens Strateg</vt:lpstr>
      <vt:lpstr>Millenium Master I</vt:lpstr>
      <vt:lpstr>Millenium Master II</vt:lpstr>
      <vt:lpstr>Millenium Master III</vt:lpstr>
      <vt:lpstr>Millenium Master IV</vt:lpstr>
      <vt:lpstr>Millenium Master V</vt:lpstr>
      <vt:lpstr>Millenium Master VI</vt:lpstr>
      <vt:lpstr>Millenium Master VII</vt:lpstr>
      <vt:lpstr>NN Akcji</vt:lpstr>
      <vt:lpstr>NN Obligacji</vt:lpstr>
      <vt:lpstr>NN OI</vt:lpstr>
      <vt:lpstr>NN ŚMS</vt:lpstr>
      <vt:lpstr>NN Eur.SD</vt:lpstr>
      <vt:lpstr>NN Glob. Długu Korp.</vt:lpstr>
      <vt:lpstr>NN Glob.SD</vt:lpstr>
      <vt:lpstr>NN J</vt:lpstr>
      <vt:lpstr>NN NA</vt:lpstr>
      <vt:lpstr>NN ORW</vt:lpstr>
      <vt:lpstr>NN Sp.Dyw.USA</vt:lpstr>
      <vt:lpstr>NN SGA</vt:lpstr>
      <vt:lpstr>NN SDRW</vt:lpstr>
      <vt:lpstr>Noble AMiŚS</vt:lpstr>
      <vt:lpstr>Noble AP</vt:lpstr>
      <vt:lpstr>Noble AA</vt:lpstr>
      <vt:lpstr>Pekao ARW</vt:lpstr>
      <vt:lpstr>Pekao AGD</vt:lpstr>
      <vt:lpstr>Pekao OS</vt:lpstr>
      <vt:lpstr>Pekao Spokojna Inw</vt:lpstr>
      <vt:lpstr>Pekao WDRE</vt:lpstr>
      <vt:lpstr>Pekao Surowców i Energii</vt:lpstr>
      <vt:lpstr>Pekao AP</vt:lpstr>
      <vt:lpstr>Pekao DS</vt:lpstr>
      <vt:lpstr>Pekao OP</vt:lpstr>
      <vt:lpstr>Pekao Kons.</vt:lpstr>
      <vt:lpstr>Pekao Kons.+</vt:lpstr>
      <vt:lpstr>Pekao B15D</vt:lpstr>
      <vt:lpstr>Pekao DA2</vt:lpstr>
      <vt:lpstr>Pekao AS</vt:lpstr>
      <vt:lpstr>Pekao AE</vt:lpstr>
      <vt:lpstr>Pekao SG</vt:lpstr>
      <vt:lpstr>Pekao MIS</vt:lpstr>
      <vt:lpstr>Pekao OID</vt:lpstr>
      <vt:lpstr>PKO Akcji Nowa Europa</vt:lpstr>
      <vt:lpstr>PKO Obligacji Dług.</vt:lpstr>
      <vt:lpstr>PKO Stabilnego Wzrostu</vt:lpstr>
      <vt:lpstr>PKO Zrównoważony</vt:lpstr>
      <vt:lpstr>PZU ASD</vt:lpstr>
      <vt:lpstr>PZU AK</vt:lpstr>
      <vt:lpstr>PZU AMiŚS</vt:lpstr>
      <vt:lpstr>PZU M</vt:lpstr>
      <vt:lpstr>PZU Zrówn.</vt:lpstr>
      <vt:lpstr>PZU ARR</vt:lpstr>
      <vt:lpstr>PZU PDP</vt:lpstr>
      <vt:lpstr>Quercus A</vt:lpstr>
      <vt:lpstr>Quercus OK</vt:lpstr>
      <vt:lpstr>Quercus GB</vt:lpstr>
      <vt:lpstr>Schroder ISF ACB</vt:lpstr>
      <vt:lpstr>Schroder ISF AO</vt:lpstr>
      <vt:lpstr>Schroder ISF EMDAR</vt:lpstr>
      <vt:lpstr>Schroder ISF EE</vt:lpstr>
      <vt:lpstr>Schroder ISF FME</vt:lpstr>
      <vt:lpstr>Schroder ISF GDG</vt:lpstr>
      <vt:lpstr>Schroder ISF GCHI</vt:lpstr>
      <vt:lpstr>Skarbiec Kons.</vt:lpstr>
      <vt:lpstr>Skarbiec OWD</vt:lpstr>
      <vt:lpstr>Skarbiec MIŚS</vt:lpstr>
      <vt:lpstr>Skarbiec NG</vt:lpstr>
      <vt:lpstr>Skarbiec SW</vt:lpstr>
      <vt:lpstr>Skarbiec A</vt:lpstr>
      <vt:lpstr>Skarbiec Brands</vt:lpstr>
      <vt:lpstr>Templeton GB</vt:lpstr>
      <vt:lpstr>Templeton GTR</vt:lpstr>
      <vt:lpstr>Templeton LA</vt:lpstr>
      <vt:lpstr>Generali AD</vt:lpstr>
      <vt:lpstr>Generali AMIŚS</vt:lpstr>
      <vt:lpstr>Generali ANE</vt:lpstr>
      <vt:lpstr>Generali UAWS</vt:lpstr>
      <vt:lpstr>Generali KA</vt:lpstr>
      <vt:lpstr>Generali KO</vt:lpstr>
      <vt:lpstr>Generali D</vt:lpstr>
      <vt:lpstr>Generali KZ</vt:lpstr>
      <vt:lpstr>Generali O</vt:lpstr>
      <vt:lpstr>Generali ONE</vt:lpstr>
      <vt:lpstr>Generali SW</vt:lpstr>
      <vt:lpstr>Generali OA</vt:lpstr>
      <vt:lpstr>Generali Z</vt:lpstr>
      <vt:lpstr>dodatkowedane</vt:lpstr>
      <vt:lpstr>'Aktywny - Surowce i Nowe Gosp.'!Obszar_wydruku</vt:lpstr>
      <vt:lpstr>'Allianz Obligacji Plus'!Obszar_wydruku</vt:lpstr>
      <vt:lpstr>'Aviva Dł.Pap.Korp.'!Obszar_wydruku</vt:lpstr>
      <vt:lpstr>'Franklin EDF'!Obszar_wydruku</vt:lpstr>
      <vt:lpstr>'Fundusz Akcji Glob.'!Obszar_wydruku</vt:lpstr>
      <vt:lpstr>'Fundusz Akcji Małych i ŚS'!Obszar_wydruku</vt:lpstr>
      <vt:lpstr>'Fundusz Akcji Plus'!Obszar_wydruku</vt:lpstr>
      <vt:lpstr>'Fundusz Aktywnej Alokacji'!Obszar_wydruku</vt:lpstr>
      <vt:lpstr>'Fundusz Aktywny'!Obszar_wydruku</vt:lpstr>
      <vt:lpstr>'Fundusz Azjatycki'!Obszar_wydruku</vt:lpstr>
      <vt:lpstr>'Fundusz Dynamiczny'!Obszar_wydruku</vt:lpstr>
      <vt:lpstr>'Fundusz Energetyczny'!Obszar_wydruku</vt:lpstr>
      <vt:lpstr>'Fundusz Gwarantowany'!Obszar_wydruku</vt:lpstr>
      <vt:lpstr>'Fundusz Konserwatywny'!Obszar_wydruku</vt:lpstr>
      <vt:lpstr>'Fundusz Międzynarodowy'!Obszar_wydruku</vt:lpstr>
      <vt:lpstr>'Fundusz Obligacji'!Obszar_wydruku</vt:lpstr>
      <vt:lpstr>'Fundusz Obligacji Glob.'!Obszar_wydruku</vt:lpstr>
      <vt:lpstr>'Fundusz Pieniężny'!Obszar_wydruku</vt:lpstr>
      <vt:lpstr>'Fundusz Polskich Obl. Skarb.'!Obszar_wydruku</vt:lpstr>
      <vt:lpstr>'Fundusz Selektywny'!Obszar_wydruku</vt:lpstr>
      <vt:lpstr>'Fundusz Zrównoważony'!Obszar_wydruku</vt:lpstr>
      <vt:lpstr>'Generali KO'!Obszar_wydruku</vt:lpstr>
      <vt:lpstr>'Generali ONE'!Obszar_wydruku</vt:lpstr>
      <vt:lpstr>'Investor Akcji Sp.Dyw.'!Obszar_wydruku</vt:lpstr>
      <vt:lpstr>'Investor Ameryka Łacińska'!Obszar_wydruku</vt:lpstr>
      <vt:lpstr>'Inwestor Akcji'!Obszar_wydruku</vt:lpstr>
      <vt:lpstr>'NN Eur.SD'!Obszar_wydruku</vt:lpstr>
      <vt:lpstr>'NN Glob. Długu Korp.'!Obszar_wydruku</vt:lpstr>
      <vt:lpstr>'NN Glob.SD'!Obszar_wydruku</vt:lpstr>
      <vt:lpstr>'Noble AA'!Obszar_wydruku</vt:lpstr>
      <vt:lpstr>'Noble AP'!Obszar_wydruku</vt:lpstr>
      <vt:lpstr>'Pekao AGD'!Obszar_wydruku</vt:lpstr>
      <vt:lpstr>'Pekao B15D'!Obszar_wydruku</vt:lpstr>
      <vt:lpstr>'Pekao DA2'!Obszar_wydruku</vt:lpstr>
      <vt:lpstr>'Pekao DS'!Obszar_wydruku</vt:lpstr>
      <vt:lpstr>'Pekao Kons.'!Obszar_wydruku</vt:lpstr>
      <vt:lpstr>'Pekao Kons.+'!Obszar_wydruku</vt:lpstr>
      <vt:lpstr>'Pekao OP'!Obszar_wydruku</vt:lpstr>
      <vt:lpstr>'Pekao Spokojna Inw'!Obszar_wydruku</vt:lpstr>
      <vt:lpstr>'Portfel Aktywnej Alokacji'!Obszar_wydruku</vt:lpstr>
      <vt:lpstr>'Portfel ARR'!Obszar_wydruku</vt:lpstr>
      <vt:lpstr>'Portfel ARW'!Obszar_wydruku</vt:lpstr>
      <vt:lpstr>'Portfel Dynamiczny'!Obszar_wydruku</vt:lpstr>
      <vt:lpstr>'Portfel OZ'!Obszar_wydruku</vt:lpstr>
      <vt:lpstr>'Portfel Stabilnego Wzrostu'!Obszar_wydruku</vt:lpstr>
      <vt:lpstr>'PZU AMiŚS'!Obszar_wydruku</vt:lpstr>
      <vt:lpstr>'PZU ARR'!Obszar_wydruku</vt:lpstr>
      <vt:lpstr>'PZU M'!Obszar_wydruku</vt:lpstr>
      <vt:lpstr>'PZU Zrówn.'!Obszar_wydruku</vt:lpstr>
      <vt:lpstr>'Quercus A'!Obszar_wydruku</vt:lpstr>
      <vt:lpstr>'Schroder ISF FME'!Obszar_wydruku</vt:lpstr>
      <vt:lpstr>'Schroder ISF GCHI'!Obszar_wydruku</vt:lpstr>
      <vt:lpstr>'Schroder ISF GDG'!Obszar_wydruku</vt:lpstr>
      <vt:lpstr>'Skarbiec Kons.'!Obszar_wydruku</vt:lpstr>
      <vt:lpstr>'Skarbiec OWD'!Obszar_wydruku</vt:lpstr>
      <vt:lpstr>'Templeton GTR'!Obszar_wydruku</vt:lpstr>
      <vt:lpstr>'Templeton LA'!Obszar_wydruku</vt:lpstr>
      <vt:lpstr>'Zaabezpieczony - Europy Wsch.'!Obszar_wydruku</vt:lpstr>
      <vt:lpstr>'Zabezpieczony - Dalekiego Wsch.'!Obszar_wydruku</vt:lpstr>
    </vt:vector>
  </TitlesOfParts>
  <Company>Allianz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pprzeborowski</dc:creator>
  <cp:lastModifiedBy>Krasnodebska Izabela</cp:lastModifiedBy>
  <cp:lastPrinted>2015-02-02T16:54:01Z</cp:lastPrinted>
  <dcterms:created xsi:type="dcterms:W3CDTF">2012-07-31T14:09:53Z</dcterms:created>
  <dcterms:modified xsi:type="dcterms:W3CDTF">2021-02-08T15:51:15Z</dcterms:modified>
</cp:coreProperties>
</file>