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Ksiegowowsc\Ks_Zamkniecia\Zycie\KNF_internetowe\2023\"/>
    </mc:Choice>
  </mc:AlternateContent>
  <xr:revisionPtr revIDLastSave="0" documentId="13_ncr:1_{D484F831-76C7-4A67-8CDF-F9AA6BE46F9C}" xr6:coauthVersionLast="45" xr6:coauthVersionMax="45" xr10:uidLastSave="{00000000-0000-0000-0000-000000000000}"/>
  <bookViews>
    <workbookView xWindow="-120" yWindow="-120" windowWidth="25440" windowHeight="15390" tabRatio="929" xr2:uid="{00000000-000D-0000-FFFF-FFFF00000000}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Fundusz POSBis" sheetId="230" r:id="rId14"/>
    <sheet name="Fundusz Zachowawczy" sheetId="231" r:id="rId15"/>
    <sheet name="Portfel Aktywnej Alokacji" sheetId="120" r:id="rId16"/>
    <sheet name="Portfel Dynamiczny" sheetId="69" r:id="rId17"/>
    <sheet name="Portfel Stabilnego Wzrostu" sheetId="67" r:id="rId18"/>
    <sheet name="Portfel ARR" sheetId="53" r:id="rId19"/>
    <sheet name="Portfel ARW" sheetId="94" r:id="rId20"/>
    <sheet name="Portfel OZ" sheetId="93" r:id="rId21"/>
    <sheet name="Portfel SA" sheetId="217" r:id="rId22"/>
    <sheet name="Fundusz Konserwatywny" sheetId="95" r:id="rId23"/>
    <sheet name="Fundusz Zrównoważony" sheetId="6" r:id="rId24"/>
    <sheet name="Fundusz Aktywny" sheetId="7" r:id="rId25"/>
    <sheet name="Fundusz Międzynarodowy" sheetId="8" r:id="rId26"/>
    <sheet name="Fundusz Azjatycki" sheetId="9" r:id="rId27"/>
    <sheet name="Aktywny - Surowce i Nowe Gosp." sheetId="13" r:id="rId28"/>
    <sheet name="Zabezpieczony - Dalekiego Wsch." sheetId="58" r:id="rId29"/>
    <sheet name="Zaabezpieczony - Europy Wsch." sheetId="61" r:id="rId30"/>
    <sheet name="Strategii Multiobligacyjnych" sheetId="60" r:id="rId31"/>
    <sheet name="Zabezpieczony - Rynku Polskiego" sheetId="84" r:id="rId32"/>
    <sheet name="Allianz Stabilnego Wzrostu" sheetId="28" r:id="rId33"/>
    <sheet name="Allianz Obligacji Plus" sheetId="22" r:id="rId34"/>
    <sheet name="Allianz Aktywnej Alokacji" sheetId="49" r:id="rId35"/>
    <sheet name="Allianz Akcji Małych i ŚS" sheetId="29" r:id="rId36"/>
    <sheet name="Allianz Konserw." sheetId="30" r:id="rId37"/>
    <sheet name="Allianz Polskich Obl.Skarb." sheetId="48" r:id="rId38"/>
    <sheet name="Allianz Selektywny" sheetId="83" r:id="rId39"/>
    <sheet name="Allianz Akcji Glob." sheetId="42" r:id="rId40"/>
    <sheet name="Allianz ARZ" sheetId="188" r:id="rId41"/>
    <sheet name="Allianz China" sheetId="195" r:id="rId42"/>
    <sheet name="Allianz Dyn.Multistrategia" sheetId="196" r:id="rId43"/>
    <sheet name="Allianz Def.Multistrategia" sheetId="209" r:id="rId44"/>
    <sheet name="Allianz Zbal.Multistrategia" sheetId="210" r:id="rId45"/>
    <sheet name="Allianz GSD" sheetId="197" r:id="rId46"/>
    <sheet name="Allianz Dł.Pap.Korp." sheetId="112" r:id="rId47"/>
    <sheet name="Franklin EDF" sheetId="96" r:id="rId48"/>
    <sheet name="Franklin GFS" sheetId="151" r:id="rId49"/>
    <sheet name="Franklin USO" sheetId="152" r:id="rId50"/>
    <sheet name="GS EMD" sheetId="211" r:id="rId51"/>
    <sheet name="GS GSMBP" sheetId="218" r:id="rId52"/>
    <sheet name="Inwestor Akcji" sheetId="106" r:id="rId53"/>
    <sheet name="Investor Fun.Dyw. Wzr" sheetId="123" r:id="rId54"/>
    <sheet name="Investor TOP MISS" sheetId="33" r:id="rId55"/>
    <sheet name="Investor Zrównoważony" sheetId="34" r:id="rId56"/>
    <sheet name="Investor Quality" sheetId="124" r:id="rId57"/>
    <sheet name="Investor BRIC" sheetId="57" r:id="rId58"/>
    <sheet name="Investor Gold" sheetId="55" r:id="rId59"/>
    <sheet name="Investor Doch" sheetId="43" r:id="rId60"/>
    <sheet name="Investor Indie i Chiny" sheetId="189" r:id="rId61"/>
    <sheet name="Investor AK" sheetId="212" r:id="rId62"/>
    <sheet name="Investor Oszcz." sheetId="202" r:id="rId63"/>
    <sheet name="Investor ZE" sheetId="201" r:id="rId64"/>
    <sheet name="JPM EMO" sheetId="24" r:id="rId65"/>
    <sheet name="JPM GH" sheetId="149" r:id="rId66"/>
    <sheet name="JPM GSB" sheetId="148" r:id="rId67"/>
    <sheet name="Esaliens Akcji" sheetId="186" r:id="rId68"/>
    <sheet name="Esaliens Obligacji" sheetId="35" r:id="rId69"/>
    <sheet name="Esaliens Kons" sheetId="153" r:id="rId70"/>
    <sheet name="Esaliens Med.i NT" sheetId="47" r:id="rId71"/>
    <sheet name="Millenium Master I" sheetId="27" r:id="rId72"/>
    <sheet name="Millenium Master V" sheetId="73" r:id="rId73"/>
    <sheet name="Millenium Master VI" sheetId="74" r:id="rId74"/>
    <sheet name="Millenium Master VII" sheetId="75" r:id="rId75"/>
    <sheet name="GS Akcji" sheetId="77" r:id="rId76"/>
    <sheet name="GS Obligacji" sheetId="36" r:id="rId77"/>
    <sheet name="GS OI" sheetId="37" r:id="rId78"/>
    <sheet name="GS ŚMS" sheetId="161" r:id="rId79"/>
    <sheet name="GS Eur.SD" sheetId="115" r:id="rId80"/>
    <sheet name="GS Glob. Długu Korp." sheetId="92" r:id="rId81"/>
    <sheet name="GS Glob.SD" sheetId="90" r:id="rId82"/>
    <sheet name="GS J" sheetId="76" r:id="rId83"/>
    <sheet name="GS IS" sheetId="138" r:id="rId84"/>
    <sheet name="GS ORW" sheetId="136" r:id="rId85"/>
    <sheet name="GS Sp.Dyw.USA" sheetId="137" r:id="rId86"/>
    <sheet name="GS SGD" sheetId="163" r:id="rId87"/>
    <sheet name="Noble AMiŚS" sheetId="164" r:id="rId88"/>
    <sheet name="Pekao ARW" sheetId="193" r:id="rId89"/>
    <sheet name="Pekao AGD" sheetId="88" r:id="rId90"/>
    <sheet name="Pekao OS" sheetId="167" r:id="rId91"/>
    <sheet name="Pekao Spokojna Inw" sheetId="129" r:id="rId92"/>
    <sheet name="Pekao Surowców i Energii" sheetId="169" r:id="rId93"/>
    <sheet name="Pekao AE" sheetId="232" r:id="rId94"/>
    <sheet name="Pekao DS" sheetId="89" r:id="rId95"/>
    <sheet name="Pekao OP" sheetId="128" r:id="rId96"/>
    <sheet name="Pekao Kons." sheetId="85" r:id="rId97"/>
    <sheet name="Pekao Kons.+" sheetId="103" r:id="rId98"/>
    <sheet name="Pekao B15D" sheetId="102" r:id="rId99"/>
    <sheet name="Pekao DA2" sheetId="104" r:id="rId100"/>
    <sheet name="Pekao AS" sheetId="170" r:id="rId101"/>
    <sheet name="Pekao SG" sheetId="166" r:id="rId102"/>
    <sheet name="Pekao MIS" sheetId="214" r:id="rId103"/>
    <sheet name="Pekao OID" sheetId="220" r:id="rId104"/>
    <sheet name="PKO Obligacji Dług." sheetId="38" r:id="rId105"/>
    <sheet name="PKO Dyn.Alokacji" sheetId="23" r:id="rId106"/>
    <sheet name="PZU AP" sheetId="173" r:id="rId107"/>
    <sheet name="PZU AK" sheetId="174" r:id="rId108"/>
    <sheet name="PZU AMiŚS" sheetId="130" r:id="rId109"/>
    <sheet name="PZU M" sheetId="39" r:id="rId110"/>
    <sheet name="PZU ARR" sheetId="99" r:id="rId111"/>
    <sheet name="PZU PDP" sheetId="205" r:id="rId112"/>
    <sheet name="Quercus A" sheetId="101" r:id="rId113"/>
    <sheet name="Quercus OK" sheetId="143" r:id="rId114"/>
    <sheet name="Quercus GB" sheetId="144" r:id="rId115"/>
    <sheet name="Schroder ISF AO" sheetId="147" r:id="rId116"/>
    <sheet name="Schroder ISF EMDAR" sheetId="179" r:id="rId117"/>
    <sheet name="Schroder ISF EE" sheetId="146" r:id="rId118"/>
    <sheet name="Schroder ISF FME" sheetId="133" r:id="rId119"/>
    <sheet name="Schroder ISF GDG" sheetId="132" r:id="rId120"/>
    <sheet name="Schroder ISF GCHI" sheetId="135" r:id="rId121"/>
    <sheet name="Skarbiec Kons." sheetId="134" r:id="rId122"/>
    <sheet name="Skarbiec OWD" sheetId="113" r:id="rId123"/>
    <sheet name="Skarbiec MIŚS" sheetId="140" r:id="rId124"/>
    <sheet name="Skarbiec NG" sheetId="227" r:id="rId125"/>
    <sheet name="Skarbiec SW" sheetId="175" r:id="rId126"/>
    <sheet name="Skarbiec Brands" sheetId="216" r:id="rId127"/>
    <sheet name="Templeton GB" sheetId="159" r:id="rId128"/>
    <sheet name="Templeton GTR" sheetId="109" r:id="rId129"/>
    <sheet name="Templeton LA" sheetId="108" r:id="rId130"/>
    <sheet name="Generali AM" sheetId="187" r:id="rId131"/>
    <sheet name="Generali AMIŚS" sheetId="177" r:id="rId132"/>
    <sheet name="Generali ARW" sheetId="41" r:id="rId133"/>
    <sheet name="Generali Akcje Value" sheetId="40" r:id="rId134"/>
    <sheet name="Generali KA" sheetId="64" r:id="rId135"/>
    <sheet name="Generali KO" sheetId="110" r:id="rId136"/>
    <sheet name="Generali D" sheetId="20" r:id="rId137"/>
    <sheet name="Generali KZ" sheetId="62" r:id="rId138"/>
    <sheet name="Generali O" sheetId="26" r:id="rId139"/>
    <sheet name="Generali KON" sheetId="105" r:id="rId140"/>
    <sheet name="Generali SW" sheetId="63" r:id="rId141"/>
    <sheet name="Generali OA" sheetId="191" r:id="rId142"/>
    <sheet name="Generali Z" sheetId="228" r:id="rId143"/>
    <sheet name="dodatkowedane" sheetId="80" r:id="rId144"/>
  </sheets>
  <definedNames>
    <definedName name="_xlnm.Print_Area" localSheetId="27">'Aktywny - Surowce i Nowe Gosp.'!$B$2:$E$73</definedName>
    <definedName name="_xlnm.Print_Area" localSheetId="46">'Allianz Dł.Pap.Korp.'!$B$2:$E$74</definedName>
    <definedName name="_xlnm.Print_Area" localSheetId="33">'Allianz Obligacji Plus'!$B$2:$E$74</definedName>
    <definedName name="_xlnm.Print_Area" localSheetId="47">'Franklin EDF'!$B$2:$E$74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4">'Fundusz Aktywny'!$B$2:$E$73</definedName>
    <definedName name="_xlnm.Print_Area" localSheetId="26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2">'Fundusz Konserwatywny'!$B$2:$E$74</definedName>
    <definedName name="_xlnm.Print_Area" localSheetId="25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13">'Fundusz POSBis'!$B$2:$E$73</definedName>
    <definedName name="_xlnm.Print_Area" localSheetId="9">'Fundusz Selektywny'!$B$2:$E$73</definedName>
    <definedName name="_xlnm.Print_Area" localSheetId="14">'Fundusz Zachowawczy'!$B$2:$E$73</definedName>
    <definedName name="_xlnm.Print_Area" localSheetId="23">'Fundusz Zrównoważony'!$B$2:$E$73</definedName>
    <definedName name="_xlnm.Print_Area" localSheetId="135">'Generali KO'!$B$2:$E$74</definedName>
    <definedName name="_xlnm.Print_Area" localSheetId="139">'Generali KON'!$B$2:$E$74</definedName>
    <definedName name="_xlnm.Print_Area" localSheetId="79">'GS Eur.SD'!$B$2:$E$74</definedName>
    <definedName name="_xlnm.Print_Area" localSheetId="80">'GS Glob. Długu Korp.'!$B$2:$E$74</definedName>
    <definedName name="_xlnm.Print_Area" localSheetId="81">'GS Glob.SD'!$B$2:$E$74</definedName>
    <definedName name="_xlnm.Print_Area" localSheetId="53">'Investor Fun.Dyw. Wzr'!$B$2:$E$74</definedName>
    <definedName name="_xlnm.Print_Area" localSheetId="56">'Investor Quality'!$B$2:$E$74</definedName>
    <definedName name="_xlnm.Print_Area" localSheetId="52">'Inwestor Akcji'!$B$2:$E$74</definedName>
    <definedName name="_xlnm.Print_Area" localSheetId="93">'Pekao AE'!$B$2:$E$74</definedName>
    <definedName name="_xlnm.Print_Area" localSheetId="89">'Pekao AGD'!$B$2:$E$74</definedName>
    <definedName name="_xlnm.Print_Area" localSheetId="98">'Pekao B15D'!$B$2:$E$74</definedName>
    <definedName name="_xlnm.Print_Area" localSheetId="99">'Pekao DA2'!$B$2:$E$74</definedName>
    <definedName name="_xlnm.Print_Area" localSheetId="94">'Pekao DS'!$B$2:$E$74</definedName>
    <definedName name="_xlnm.Print_Area" localSheetId="96">'Pekao Kons.'!$B$2:$E$74</definedName>
    <definedName name="_xlnm.Print_Area" localSheetId="97">'Pekao Kons.+'!$B$2:$E$74</definedName>
    <definedName name="_xlnm.Print_Area" localSheetId="95">'Pekao OP'!$B$2:$E$74</definedName>
    <definedName name="_xlnm.Print_Area" localSheetId="91">'Pekao Spokojna Inw'!$B$2:$E$74</definedName>
    <definedName name="_xlnm.Print_Area" localSheetId="15">'Portfel Aktywnej Alokacji'!$B$2:$E$73</definedName>
    <definedName name="_xlnm.Print_Area" localSheetId="18">'Portfel ARR'!$B$2:$E$73</definedName>
    <definedName name="_xlnm.Print_Area" localSheetId="19">'Portfel ARW'!$B$2:$E$74</definedName>
    <definedName name="_xlnm.Print_Area" localSheetId="16">'Portfel Dynamiczny'!$B$2:$E$73</definedName>
    <definedName name="_xlnm.Print_Area" localSheetId="20">'Portfel OZ'!$B$2:$E$74</definedName>
    <definedName name="_xlnm.Print_Area" localSheetId="17">'Portfel Stabilnego Wzrostu'!$B$2:$E$73</definedName>
    <definedName name="_xlnm.Print_Area" localSheetId="108">'PZU AMiŚS'!$B$2:$E$74</definedName>
    <definedName name="_xlnm.Print_Area" localSheetId="110">'PZU ARR'!$B$2:$E$74</definedName>
    <definedName name="_xlnm.Print_Area" localSheetId="109">'PZU M'!$B$2:$E$74</definedName>
    <definedName name="_xlnm.Print_Area" localSheetId="112">'Quercus A'!$B$2:$E$74</definedName>
    <definedName name="_xlnm.Print_Area" localSheetId="118">'Schroder ISF FME'!$B$2:$E$74</definedName>
    <definedName name="_xlnm.Print_Area" localSheetId="120">'Schroder ISF GCHI'!$B$2:$E$74</definedName>
    <definedName name="_xlnm.Print_Area" localSheetId="119">'Schroder ISF GDG'!$B$2:$E$74</definedName>
    <definedName name="_xlnm.Print_Area" localSheetId="121">'Skarbiec Kons.'!$B$2:$E$74</definedName>
    <definedName name="_xlnm.Print_Area" localSheetId="122">'Skarbiec OWD'!$B$2:$E$74</definedName>
    <definedName name="_xlnm.Print_Area" localSheetId="128">'Templeton GTR'!$B$2:$E$74</definedName>
    <definedName name="_xlnm.Print_Area" localSheetId="129">'Templeton LA'!$B$2:$E$74</definedName>
    <definedName name="_xlnm.Print_Area" localSheetId="29">'Zaabezpieczony - Europy Wsch.'!$B$2:$E$73</definedName>
    <definedName name="_xlnm.Print_Area" localSheetId="28">'Zabezpieczony - Dalekiego Wsch.'!$B$2:$E$73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228" l="1"/>
  <c r="E26" i="228"/>
  <c r="E41" i="191"/>
  <c r="E26" i="191"/>
  <c r="E41" i="63"/>
  <c r="E26" i="63"/>
  <c r="E41" i="105"/>
  <c r="E26" i="105"/>
  <c r="E41" i="26"/>
  <c r="E26" i="26"/>
  <c r="E41" i="62"/>
  <c r="E26" i="62"/>
  <c r="E41" i="20"/>
  <c r="E26" i="20"/>
  <c r="E41" i="110"/>
  <c r="E26" i="110"/>
  <c r="E41" i="64"/>
  <c r="E26" i="64"/>
  <c r="E41" i="40"/>
  <c r="E26" i="40"/>
  <c r="E41" i="41" l="1"/>
  <c r="E26" i="41"/>
  <c r="E41" i="177"/>
  <c r="E26" i="177"/>
  <c r="E41" i="187"/>
  <c r="E26" i="187"/>
  <c r="E41" i="108"/>
  <c r="E26" i="108"/>
  <c r="E41" i="109"/>
  <c r="E26" i="109"/>
  <c r="E41" i="159"/>
  <c r="E26" i="159"/>
  <c r="E41" i="216"/>
  <c r="E26" i="216"/>
  <c r="E41" i="175"/>
  <c r="E26" i="175"/>
  <c r="E41" i="227"/>
  <c r="E26" i="227"/>
  <c r="E41" i="140"/>
  <c r="E26" i="140"/>
  <c r="E41" i="113"/>
  <c r="E26" i="113"/>
  <c r="E41" i="135"/>
  <c r="E26" i="135"/>
  <c r="E41" i="132"/>
  <c r="E26" i="132"/>
  <c r="E41" i="133"/>
  <c r="E26" i="133"/>
  <c r="E41" i="146"/>
  <c r="E26" i="146"/>
  <c r="E41" i="179"/>
  <c r="E26" i="179"/>
  <c r="E41" i="147"/>
  <c r="E26" i="147"/>
  <c r="E41" i="144"/>
  <c r="E26" i="144"/>
  <c r="E41" i="143"/>
  <c r="E26" i="143"/>
  <c r="E41" i="101"/>
  <c r="E26" i="101"/>
  <c r="E41" i="205"/>
  <c r="E26" i="205"/>
  <c r="E41" i="99"/>
  <c r="E26" i="99"/>
  <c r="E41" i="39"/>
  <c r="E26" i="39"/>
  <c r="E41" i="130"/>
  <c r="E26" i="130"/>
  <c r="E41" i="174"/>
  <c r="E26" i="174"/>
  <c r="E41" i="173"/>
  <c r="E26" i="173"/>
  <c r="E41" i="23"/>
  <c r="E26" i="23"/>
  <c r="E41" i="38"/>
  <c r="E26" i="38"/>
  <c r="E41" i="214"/>
  <c r="E26" i="214"/>
  <c r="E41" i="166"/>
  <c r="E26" i="166"/>
  <c r="E41" i="170"/>
  <c r="E26" i="170"/>
  <c r="E41" i="104"/>
  <c r="E26" i="104"/>
  <c r="E41" i="102"/>
  <c r="E26" i="102"/>
  <c r="E41" i="103"/>
  <c r="E26" i="103"/>
  <c r="B44" i="103"/>
  <c r="E41" i="85"/>
  <c r="E26" i="85"/>
  <c r="E41" i="128"/>
  <c r="E26" i="128"/>
  <c r="E41" i="89"/>
  <c r="E26" i="89"/>
  <c r="E41" i="232"/>
  <c r="E26" i="232"/>
  <c r="E41" i="169"/>
  <c r="E26" i="169"/>
  <c r="E41" i="129"/>
  <c r="E26" i="129"/>
  <c r="E41" i="167"/>
  <c r="E26" i="167"/>
  <c r="E41" i="88"/>
  <c r="E26" i="88"/>
  <c r="E41" i="193"/>
  <c r="E26" i="193"/>
  <c r="E41" i="164"/>
  <c r="E26" i="164"/>
  <c r="E41" i="163"/>
  <c r="E26" i="163"/>
  <c r="E41" i="137"/>
  <c r="E26" i="137"/>
  <c r="E41" i="136"/>
  <c r="E26" i="136"/>
  <c r="E41" i="138"/>
  <c r="E26" i="138"/>
  <c r="E41" i="76"/>
  <c r="E26" i="76"/>
  <c r="E41" i="90"/>
  <c r="E26" i="90"/>
  <c r="E41" i="92"/>
  <c r="E26" i="92"/>
  <c r="E41" i="115"/>
  <c r="E26" i="115"/>
  <c r="E41" i="161"/>
  <c r="E26" i="161"/>
  <c r="E41" i="37"/>
  <c r="E26" i="37"/>
  <c r="E41" i="36"/>
  <c r="E26" i="36"/>
  <c r="E41" i="77"/>
  <c r="E26" i="77"/>
  <c r="E41" i="75"/>
  <c r="E26" i="75"/>
  <c r="E41" i="74"/>
  <c r="E26" i="74"/>
  <c r="E41" i="73"/>
  <c r="E26" i="73"/>
  <c r="E41" i="27"/>
  <c r="E26" i="27"/>
  <c r="E41" i="47"/>
  <c r="E26" i="47"/>
  <c r="E41" i="153"/>
  <c r="E26" i="153"/>
  <c r="E41" i="35"/>
  <c r="E26" i="35"/>
  <c r="E41" i="186"/>
  <c r="E26" i="186"/>
  <c r="E41" i="148"/>
  <c r="E26" i="148"/>
  <c r="E41" i="149"/>
  <c r="E26" i="149"/>
  <c r="E41" i="24"/>
  <c r="E26" i="24"/>
  <c r="E41" i="201"/>
  <c r="E26" i="201"/>
  <c r="E41" i="202"/>
  <c r="E26" i="202"/>
  <c r="E41" i="212"/>
  <c r="E26" i="212"/>
  <c r="E41" i="189"/>
  <c r="E26" i="189"/>
  <c r="E41" i="43"/>
  <c r="E26" i="43"/>
  <c r="E41" i="55"/>
  <c r="E26" i="55"/>
  <c r="E41" i="57"/>
  <c r="E26" i="57"/>
  <c r="E41" i="124"/>
  <c r="E26" i="124"/>
  <c r="E41" i="34"/>
  <c r="E26" i="34"/>
  <c r="E41" i="33"/>
  <c r="E26" i="33"/>
  <c r="E41" i="123"/>
  <c r="E26" i="123"/>
  <c r="E41" i="106"/>
  <c r="E26" i="106"/>
  <c r="E41" i="218"/>
  <c r="E26" i="218"/>
  <c r="E41" i="211"/>
  <c r="E26" i="211"/>
  <c r="E41" i="152"/>
  <c r="E26" i="152"/>
  <c r="E41" i="151"/>
  <c r="E26" i="151"/>
  <c r="E41" i="96"/>
  <c r="E26" i="96"/>
  <c r="E41" i="112"/>
  <c r="E26" i="112"/>
  <c r="E41" i="197"/>
  <c r="E26" i="197"/>
  <c r="E41" i="210"/>
  <c r="E26" i="210"/>
  <c r="E41" i="209"/>
  <c r="E26" i="209"/>
  <c r="E41" i="196"/>
  <c r="E26" i="196"/>
  <c r="E41" i="188"/>
  <c r="E26" i="188"/>
  <c r="E41" i="83"/>
  <c r="E26" i="83"/>
  <c r="E41" i="48"/>
  <c r="E26" i="48"/>
  <c r="E41" i="30"/>
  <c r="E26" i="30"/>
  <c r="E41" i="29"/>
  <c r="E26" i="29"/>
  <c r="E41" i="49"/>
  <c r="E26" i="49"/>
  <c r="E41" i="22"/>
  <c r="E26" i="22"/>
  <c r="E21" i="73" l="1"/>
  <c r="E11" i="73"/>
  <c r="E12" i="73"/>
  <c r="E21" i="164"/>
  <c r="E11" i="164"/>
  <c r="E12" i="164"/>
  <c r="E41" i="28" l="1"/>
  <c r="E26" i="28"/>
  <c r="E41" i="84"/>
  <c r="E26" i="84"/>
  <c r="E41" i="60"/>
  <c r="E26" i="60"/>
  <c r="E41" i="61"/>
  <c r="E26" i="61"/>
  <c r="E41" i="58"/>
  <c r="E26" i="58"/>
  <c r="E41" i="13"/>
  <c r="E26" i="13"/>
  <c r="E17" i="84"/>
  <c r="E14" i="84"/>
  <c r="E11" i="84"/>
  <c r="E17" i="60"/>
  <c r="E14" i="60"/>
  <c r="E11" i="60" s="1"/>
  <c r="E17" i="61"/>
  <c r="E14" i="61"/>
  <c r="E11" i="61"/>
  <c r="E17" i="58"/>
  <c r="E14" i="58"/>
  <c r="E11" i="58"/>
  <c r="E14" i="13"/>
  <c r="E11" i="13" s="1"/>
  <c r="E21" i="13" s="1"/>
  <c r="E17" i="13"/>
  <c r="E41" i="9"/>
  <c r="E26" i="9"/>
  <c r="E17" i="9"/>
  <c r="E11" i="9"/>
  <c r="E21" i="9" s="1"/>
  <c r="E41" i="8"/>
  <c r="E12" i="8"/>
  <c r="E11" i="8" s="1"/>
  <c r="E17" i="8"/>
  <c r="E26" i="8"/>
  <c r="E41" i="7"/>
  <c r="E12" i="7"/>
  <c r="E26" i="7"/>
  <c r="E17" i="7"/>
  <c r="E21" i="7" s="1"/>
  <c r="E11" i="7"/>
  <c r="E41" i="6"/>
  <c r="E26" i="6"/>
  <c r="E12" i="6"/>
  <c r="E17" i="6"/>
  <c r="E11" i="6"/>
  <c r="E41" i="95"/>
  <c r="E26" i="95"/>
  <c r="E17" i="95"/>
  <c r="E11" i="95"/>
  <c r="D64" i="217"/>
  <c r="E41" i="217"/>
  <c r="E26" i="217"/>
  <c r="E21" i="217"/>
  <c r="E12" i="217"/>
  <c r="E11" i="217"/>
  <c r="D64" i="93"/>
  <c r="E12" i="93"/>
  <c r="E17" i="93"/>
  <c r="E11" i="93"/>
  <c r="E41" i="93"/>
  <c r="E26" i="93"/>
  <c r="D64" i="94"/>
  <c r="E41" i="94"/>
  <c r="E26" i="94"/>
  <c r="E21" i="94"/>
  <c r="E12" i="94"/>
  <c r="E17" i="94"/>
  <c r="E11" i="94"/>
  <c r="D64" i="53"/>
  <c r="E12" i="53"/>
  <c r="E11" i="53" s="1"/>
  <c r="E21" i="53" s="1"/>
  <c r="E17" i="53"/>
  <c r="E41" i="53"/>
  <c r="E26" i="53"/>
  <c r="D64" i="67"/>
  <c r="E41" i="67"/>
  <c r="E26" i="67"/>
  <c r="E12" i="67"/>
  <c r="E11" i="67" s="1"/>
  <c r="E21" i="67" s="1"/>
  <c r="E14" i="67"/>
  <c r="E17" i="67"/>
  <c r="D64" i="69"/>
  <c r="E41" i="69"/>
  <c r="E26" i="69"/>
  <c r="E12" i="69"/>
  <c r="E17" i="69"/>
  <c r="E14" i="69"/>
  <c r="E11" i="69" s="1"/>
  <c r="D64" i="120"/>
  <c r="E41" i="120"/>
  <c r="E26" i="120"/>
  <c r="E12" i="120"/>
  <c r="E17" i="120"/>
  <c r="E14" i="120"/>
  <c r="E11" i="120" s="1"/>
  <c r="D64" i="231"/>
  <c r="E41" i="231"/>
  <c r="E26" i="231"/>
  <c r="E12" i="231"/>
  <c r="E14" i="231"/>
  <c r="E11" i="231" s="1"/>
  <c r="E17" i="231"/>
  <c r="D64" i="230"/>
  <c r="E41" i="230"/>
  <c r="E26" i="230"/>
  <c r="E12" i="230"/>
  <c r="E11" i="230" s="1"/>
  <c r="E14" i="230"/>
  <c r="E17" i="230"/>
  <c r="E21" i="84" l="1"/>
  <c r="E21" i="60"/>
  <c r="E21" i="61"/>
  <c r="E21" i="58"/>
  <c r="E21" i="8"/>
  <c r="E21" i="6"/>
  <c r="E21" i="95"/>
  <c r="E21" i="93"/>
  <c r="E21" i="69"/>
  <c r="E21" i="120"/>
  <c r="E21" i="231"/>
  <c r="E21" i="230"/>
  <c r="D62" i="121" l="1"/>
  <c r="E41" i="121"/>
  <c r="E26" i="121"/>
  <c r="E12" i="121"/>
  <c r="E14" i="121"/>
  <c r="E11" i="121" s="1"/>
  <c r="E21" i="121" s="1"/>
  <c r="E17" i="121"/>
  <c r="D64" i="122"/>
  <c r="E41" i="122"/>
  <c r="E26" i="122"/>
  <c r="E21" i="122"/>
  <c r="E12" i="122"/>
  <c r="E14" i="122"/>
  <c r="E17" i="122"/>
  <c r="D64" i="79"/>
  <c r="E41" i="79"/>
  <c r="E26" i="79"/>
  <c r="E14" i="79"/>
  <c r="E12" i="79"/>
  <c r="E11" i="79" s="1"/>
  <c r="E21" i="79" s="1"/>
  <c r="E17" i="79"/>
  <c r="D64" i="78"/>
  <c r="E12" i="78"/>
  <c r="E11" i="78" s="1"/>
  <c r="E14" i="78"/>
  <c r="E17" i="78"/>
  <c r="E41" i="78"/>
  <c r="E26" i="78"/>
  <c r="D64" i="81"/>
  <c r="E41" i="81"/>
  <c r="E26" i="81"/>
  <c r="E12" i="81"/>
  <c r="E17" i="81"/>
  <c r="E14" i="81"/>
  <c r="E11" i="81" s="1"/>
  <c r="E21" i="81" s="1"/>
  <c r="E58" i="17"/>
  <c r="E74" i="17"/>
  <c r="D64" i="17"/>
  <c r="E41" i="17"/>
  <c r="E26" i="17"/>
  <c r="E12" i="17"/>
  <c r="E14" i="17"/>
  <c r="E11" i="17" s="1"/>
  <c r="E17" i="17"/>
  <c r="D64" i="16"/>
  <c r="E41" i="16"/>
  <c r="E14" i="16"/>
  <c r="E12" i="16"/>
  <c r="E26" i="16"/>
  <c r="E17" i="16"/>
  <c r="E11" i="16"/>
  <c r="E21" i="16" s="1"/>
  <c r="D64" i="11"/>
  <c r="E41" i="11"/>
  <c r="E26" i="11"/>
  <c r="E14" i="11"/>
  <c r="E11" i="11" s="1"/>
  <c r="E12" i="11"/>
  <c r="E17" i="11"/>
  <c r="D64" i="10"/>
  <c r="D64" i="5"/>
  <c r="D64" i="4"/>
  <c r="D64" i="194"/>
  <c r="D69" i="1"/>
  <c r="E12" i="10"/>
  <c r="E11" i="10" s="1"/>
  <c r="E41" i="10"/>
  <c r="E26" i="10"/>
  <c r="E17" i="10"/>
  <c r="E41" i="5"/>
  <c r="E26" i="5"/>
  <c r="E12" i="5"/>
  <c r="E11" i="5" s="1"/>
  <c r="E17" i="5"/>
  <c r="E41" i="194"/>
  <c r="E41" i="4"/>
  <c r="E26" i="4"/>
  <c r="E21" i="4"/>
  <c r="E12" i="4"/>
  <c r="E11" i="4" s="1"/>
  <c r="E17" i="4"/>
  <c r="E26" i="194"/>
  <c r="E21" i="194"/>
  <c r="E11" i="194"/>
  <c r="E17" i="194"/>
  <c r="E14" i="194"/>
  <c r="E15" i="1"/>
  <c r="E12" i="194"/>
  <c r="E11" i="122" l="1"/>
  <c r="E21" i="78"/>
  <c r="E21" i="17"/>
  <c r="E21" i="11"/>
  <c r="E21" i="10"/>
  <c r="E21" i="5"/>
  <c r="E41" i="1" l="1"/>
  <c r="E26" i="1" l="1"/>
  <c r="E21" i="1"/>
  <c r="E17" i="1"/>
  <c r="E11" i="1"/>
  <c r="E12" i="1"/>
  <c r="D18" i="80" l="1"/>
  <c r="D23" i="80" s="1"/>
  <c r="D41" i="232" l="1"/>
  <c r="D72" i="232" l="1"/>
  <c r="D71" i="7"/>
  <c r="D64" i="232" l="1"/>
  <c r="D58" i="232" s="1"/>
  <c r="D64" i="8"/>
  <c r="D64" i="7"/>
  <c r="D64" i="6"/>
  <c r="D64" i="95"/>
  <c r="D74" i="232" l="1"/>
  <c r="D75" i="232" s="1"/>
  <c r="E58" i="232"/>
  <c r="E64" i="232" l="1"/>
  <c r="E74" i="232"/>
  <c r="E75" i="232" s="1"/>
  <c r="E64" i="17" l="1"/>
  <c r="D71" i="231" l="1"/>
  <c r="D58" i="231"/>
  <c r="D73" i="231"/>
  <c r="D72" i="231"/>
  <c r="D71" i="230"/>
  <c r="D58" i="230"/>
  <c r="D73" i="230"/>
  <c r="D72" i="230"/>
  <c r="E71" i="231" l="1"/>
  <c r="D74" i="231"/>
  <c r="D75" i="231" s="1"/>
  <c r="D74" i="230"/>
  <c r="D75" i="230" s="1"/>
  <c r="E75" i="230" s="1"/>
  <c r="E77" i="230"/>
  <c r="E69" i="230"/>
  <c r="E76" i="230"/>
  <c r="E64" i="230"/>
  <c r="E62" i="230"/>
  <c r="E71" i="230"/>
  <c r="E72" i="230"/>
  <c r="E73" i="230"/>
  <c r="E58" i="230"/>
  <c r="E75" i="231" l="1"/>
  <c r="E58" i="231"/>
  <c r="E77" i="231"/>
  <c r="E72" i="231"/>
  <c r="E64" i="231"/>
  <c r="E76" i="231"/>
  <c r="E73" i="231"/>
  <c r="E62" i="231"/>
  <c r="E69" i="231"/>
  <c r="E74" i="230"/>
  <c r="E74" i="231" l="1"/>
  <c r="D58" i="122"/>
  <c r="D58" i="17" l="1"/>
  <c r="D72" i="75" l="1"/>
  <c r="D70" i="75"/>
  <c r="D72" i="74"/>
  <c r="D70" i="74"/>
  <c r="D58" i="74" s="1"/>
  <c r="D74" i="74" s="1"/>
  <c r="D76" i="74" s="1"/>
  <c r="D72" i="73"/>
  <c r="D70" i="73"/>
  <c r="D58" i="73" s="1"/>
  <c r="D74" i="73" s="1"/>
  <c r="D76" i="73" s="1"/>
  <c r="D70" i="27"/>
  <c r="D58" i="27" l="1"/>
  <c r="D58" i="75"/>
  <c r="D74" i="75" s="1"/>
  <c r="D76" i="75" s="1"/>
  <c r="D58" i="1" l="1"/>
  <c r="D64" i="84" l="1"/>
  <c r="D71" i="60"/>
  <c r="D64" i="60"/>
  <c r="D64" i="61"/>
  <c r="D71" i="58"/>
  <c r="D64" i="58"/>
  <c r="D64" i="13" l="1"/>
  <c r="D71" i="13"/>
  <c r="D71" i="61" l="1"/>
  <c r="D64" i="9"/>
  <c r="D71" i="6" l="1"/>
  <c r="T38" i="1" l="1"/>
  <c r="T37" i="1"/>
  <c r="T39" i="1" s="1"/>
  <c r="D71" i="1" l="1"/>
  <c r="D73" i="194" l="1"/>
  <c r="D73" i="4"/>
  <c r="D73" i="5"/>
  <c r="D73" i="1"/>
  <c r="E70" i="27"/>
  <c r="E69" i="217" l="1"/>
  <c r="E70" i="75"/>
  <c r="E58" i="75"/>
  <c r="E74" i="75" s="1"/>
  <c r="E76" i="75" s="1"/>
  <c r="E70" i="74"/>
  <c r="E58" i="74"/>
  <c r="E74" i="74" s="1"/>
  <c r="E76" i="74" s="1"/>
  <c r="E70" i="73"/>
  <c r="E58" i="73"/>
  <c r="E74" i="73" s="1"/>
  <c r="E76" i="73" s="1"/>
  <c r="E71" i="7"/>
  <c r="E71" i="61"/>
  <c r="E71" i="58"/>
  <c r="E77" i="121"/>
  <c r="E71" i="60"/>
  <c r="E71" i="13"/>
  <c r="E62" i="121" l="1"/>
  <c r="E76" i="121"/>
  <c r="E69" i="121"/>
  <c r="E18" i="80" l="1"/>
  <c r="E23" i="80" s="1"/>
  <c r="E74" i="228" l="1"/>
  <c r="E75" i="228" s="1"/>
  <c r="D72" i="228"/>
  <c r="E64" i="228"/>
  <c r="D64" i="228"/>
  <c r="D58" i="228" s="1"/>
  <c r="D74" i="228" s="1"/>
  <c r="D75" i="228" s="1"/>
  <c r="D72" i="227"/>
  <c r="D64" i="227" l="1"/>
  <c r="D58" i="227" s="1"/>
  <c r="D74" i="227" l="1"/>
  <c r="D75" i="227" s="1"/>
  <c r="E58" i="227"/>
  <c r="E64" i="227" l="1"/>
  <c r="E74" i="227"/>
  <c r="E75" i="227" s="1"/>
  <c r="G21" i="96" l="1"/>
  <c r="H50" i="96" l="1"/>
  <c r="H51" i="96"/>
  <c r="D71" i="84" l="1"/>
  <c r="D72" i="220" l="1"/>
  <c r="D72" i="218"/>
  <c r="D64" i="218" l="1"/>
  <c r="D58" i="218" s="1"/>
  <c r="D74" i="218" s="1"/>
  <c r="D76" i="218" s="1"/>
  <c r="D64" i="220"/>
  <c r="D58" i="220" s="1"/>
  <c r="E58" i="218" l="1"/>
  <c r="E74" i="218" s="1"/>
  <c r="E76" i="218" s="1"/>
  <c r="D74" i="220"/>
  <c r="D75" i="220" s="1"/>
  <c r="E64" i="218" l="1"/>
  <c r="E74" i="220"/>
  <c r="E75" i="220" s="1"/>
  <c r="D71" i="8" l="1"/>
  <c r="D73" i="10" l="1"/>
  <c r="D73" i="11"/>
  <c r="D73" i="17"/>
  <c r="E73" i="17" s="1"/>
  <c r="D73" i="69"/>
  <c r="D73" i="7"/>
  <c r="D64" i="48"/>
  <c r="D58" i="48" s="1"/>
  <c r="D73" i="48"/>
  <c r="D64" i="196"/>
  <c r="D58" i="196" s="1"/>
  <c r="D73" i="196"/>
  <c r="D64" i="55"/>
  <c r="D58" i="55" s="1"/>
  <c r="D73" i="55"/>
  <c r="D64" i="37"/>
  <c r="D58" i="37" s="1"/>
  <c r="D73" i="37"/>
  <c r="D64" i="90"/>
  <c r="D58" i="90" s="1"/>
  <c r="D73" i="90"/>
  <c r="D64" i="153"/>
  <c r="D58" i="153" s="1"/>
  <c r="D73" i="153"/>
  <c r="D64" i="23"/>
  <c r="D58" i="23" s="1"/>
  <c r="D73" i="23"/>
  <c r="D64" i="143"/>
  <c r="D58" i="143" s="1"/>
  <c r="D73" i="143"/>
  <c r="D64" i="134"/>
  <c r="D58" i="134" s="1"/>
  <c r="D73" i="134"/>
  <c r="D64" i="177"/>
  <c r="D58" i="177" s="1"/>
  <c r="E58" i="177" s="1"/>
  <c r="E64" i="177" s="1"/>
  <c r="D73" i="177"/>
  <c r="D64" i="110"/>
  <c r="D58" i="110" s="1"/>
  <c r="D73" i="110"/>
  <c r="D64" i="20"/>
  <c r="D58" i="20" s="1"/>
  <c r="E58" i="20" s="1"/>
  <c r="E64" i="20" s="1"/>
  <c r="D73" i="20"/>
  <c r="D73" i="217"/>
  <c r="D72" i="217"/>
  <c r="D71" i="217"/>
  <c r="E71" i="217" s="1"/>
  <c r="D71" i="4"/>
  <c r="E71" i="4" s="1"/>
  <c r="D71" i="5"/>
  <c r="E71" i="5" s="1"/>
  <c r="D71" i="10"/>
  <c r="E71" i="10" s="1"/>
  <c r="D71" i="11"/>
  <c r="E71" i="11" s="1"/>
  <c r="D71" i="16"/>
  <c r="E71" i="16" s="1"/>
  <c r="D71" i="17"/>
  <c r="E71" i="17" s="1"/>
  <c r="D71" i="81"/>
  <c r="E71" i="81" s="1"/>
  <c r="D71" i="78"/>
  <c r="E71" i="78" s="1"/>
  <c r="D71" i="79"/>
  <c r="E71" i="79" s="1"/>
  <c r="D71" i="122"/>
  <c r="E71" i="122" s="1"/>
  <c r="D71" i="121"/>
  <c r="E71" i="121" s="1"/>
  <c r="D71" i="120"/>
  <c r="E71" i="120" s="1"/>
  <c r="D71" i="69"/>
  <c r="D71" i="67"/>
  <c r="E71" i="67" s="1"/>
  <c r="D71" i="53"/>
  <c r="E71" i="53" s="1"/>
  <c r="D71" i="94"/>
  <c r="D71" i="93"/>
  <c r="E71" i="93" s="1"/>
  <c r="D71" i="194"/>
  <c r="E71" i="194" s="1"/>
  <c r="D72" i="216"/>
  <c r="D72" i="214"/>
  <c r="D72" i="212"/>
  <c r="D72" i="211"/>
  <c r="D72" i="210"/>
  <c r="D72" i="209"/>
  <c r="D72" i="205"/>
  <c r="D72" i="201"/>
  <c r="D72" i="202"/>
  <c r="D58" i="84"/>
  <c r="D73" i="84"/>
  <c r="D58" i="60"/>
  <c r="D73" i="60"/>
  <c r="D58" i="6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7"/>
  <c r="D72" i="196"/>
  <c r="D72" i="195"/>
  <c r="D73" i="95"/>
  <c r="D58" i="93"/>
  <c r="D58" i="94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81"/>
  <c r="D58" i="78"/>
  <c r="D58" i="79"/>
  <c r="D58" i="121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64" i="30"/>
  <c r="D58" i="30" s="1"/>
  <c r="D72" i="191"/>
  <c r="D72" i="63"/>
  <c r="D72" i="105"/>
  <c r="D72" i="26"/>
  <c r="D72" i="62"/>
  <c r="D72" i="20"/>
  <c r="D72" i="110"/>
  <c r="D72" i="64"/>
  <c r="D72" i="40"/>
  <c r="D72" i="41"/>
  <c r="D72" i="177"/>
  <c r="D72" i="187"/>
  <c r="D72" i="108"/>
  <c r="D72" i="109"/>
  <c r="D72" i="159"/>
  <c r="D72" i="175"/>
  <c r="D72" i="140"/>
  <c r="D72" i="113"/>
  <c r="D72" i="134"/>
  <c r="D72" i="135"/>
  <c r="D72" i="132"/>
  <c r="D72" i="133"/>
  <c r="D72" i="146"/>
  <c r="D72" i="179"/>
  <c r="D72" i="147"/>
  <c r="D72" i="144"/>
  <c r="D72" i="143"/>
  <c r="D72" i="101"/>
  <c r="D72" i="99"/>
  <c r="D72" i="39"/>
  <c r="D72" i="130"/>
  <c r="D72" i="174"/>
  <c r="D72" i="173"/>
  <c r="D72" i="23"/>
  <c r="D72" i="38"/>
  <c r="D72" i="166"/>
  <c r="D72" i="170"/>
  <c r="D72" i="104"/>
  <c r="D72" i="102"/>
  <c r="D72" i="103"/>
  <c r="D72" i="85"/>
  <c r="D72" i="128"/>
  <c r="D72" i="89"/>
  <c r="D72" i="169"/>
  <c r="D72" i="129"/>
  <c r="D72" i="167"/>
  <c r="D72" i="88"/>
  <c r="D72" i="193"/>
  <c r="D72" i="164"/>
  <c r="D72" i="163"/>
  <c r="D72" i="137"/>
  <c r="D72" i="136"/>
  <c r="D72" i="138"/>
  <c r="D72" i="76"/>
  <c r="D72" i="90"/>
  <c r="D72" i="92"/>
  <c r="D72" i="115"/>
  <c r="D72" i="161"/>
  <c r="D72" i="37"/>
  <c r="D72" i="36"/>
  <c r="D72" i="77"/>
  <c r="D72" i="27"/>
  <c r="D72" i="47"/>
  <c r="D72" i="153"/>
  <c r="D72" i="35"/>
  <c r="D72" i="186"/>
  <c r="D72" i="148"/>
  <c r="D72" i="149"/>
  <c r="D72" i="24"/>
  <c r="D72" i="189"/>
  <c r="D72" i="43"/>
  <c r="D72" i="55"/>
  <c r="D72" i="57"/>
  <c r="D72" i="124"/>
  <c r="D72" i="34"/>
  <c r="D72" i="33"/>
  <c r="D72" i="123"/>
  <c r="D72" i="106"/>
  <c r="D72" i="152"/>
  <c r="D72" i="151"/>
  <c r="D72" i="96"/>
  <c r="D72" i="112"/>
  <c r="D72" i="188"/>
  <c r="D72" i="42"/>
  <c r="D72" i="83"/>
  <c r="D72" i="48"/>
  <c r="D72" i="30"/>
  <c r="D72" i="29"/>
  <c r="D72" i="49"/>
  <c r="D72" i="22"/>
  <c r="D72" i="28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E72" i="4" s="1"/>
  <c r="D72" i="194"/>
  <c r="E69" i="53"/>
  <c r="E64" i="53"/>
  <c r="D74" i="194" l="1"/>
  <c r="D75" i="194" s="1"/>
  <c r="D74" i="122"/>
  <c r="D74" i="13"/>
  <c r="D75" i="13" s="1"/>
  <c r="D74" i="60"/>
  <c r="D75" i="60" s="1"/>
  <c r="D74" i="61"/>
  <c r="D75" i="61" s="1"/>
  <c r="D74" i="58"/>
  <c r="D75" i="58" s="1"/>
  <c r="D74" i="95"/>
  <c r="D75" i="95" s="1"/>
  <c r="D74" i="78"/>
  <c r="D75" i="78" s="1"/>
  <c r="D74" i="6"/>
  <c r="D75" i="6" s="1"/>
  <c r="D74" i="196"/>
  <c r="D75" i="196" s="1"/>
  <c r="E58" i="196"/>
  <c r="E64" i="196" s="1"/>
  <c r="D74" i="120"/>
  <c r="D75" i="120" s="1"/>
  <c r="D74" i="4"/>
  <c r="D75" i="4" s="1"/>
  <c r="E58" i="37"/>
  <c r="E64" i="37" s="1"/>
  <c r="E58" i="110"/>
  <c r="E64" i="110" s="1"/>
  <c r="E58" i="153"/>
  <c r="E64" i="153" s="1"/>
  <c r="E72" i="93"/>
  <c r="D72" i="69"/>
  <c r="D74" i="69" s="1"/>
  <c r="D75" i="69" s="1"/>
  <c r="E73" i="6"/>
  <c r="D72" i="94"/>
  <c r="D74" i="94" s="1"/>
  <c r="D75" i="94" s="1"/>
  <c r="K21" i="96"/>
  <c r="D58" i="9"/>
  <c r="D74" i="9" s="1"/>
  <c r="D75" i="9" s="1"/>
  <c r="D72" i="8"/>
  <c r="D74" i="8" s="1"/>
  <c r="E76" i="93"/>
  <c r="E76" i="53"/>
  <c r="D74" i="53"/>
  <c r="D72" i="67"/>
  <c r="D74" i="67" s="1"/>
  <c r="D75" i="67" s="1"/>
  <c r="E58" i="6"/>
  <c r="E64" i="6"/>
  <c r="D64" i="191"/>
  <c r="D58" i="191" s="1"/>
  <c r="E58" i="191" s="1"/>
  <c r="D64" i="63"/>
  <c r="D58" i="63" s="1"/>
  <c r="D74" i="63" s="1"/>
  <c r="D75" i="63" s="1"/>
  <c r="D64" i="105"/>
  <c r="D58" i="105" s="1"/>
  <c r="E58" i="105" s="1"/>
  <c r="E64" i="105" s="1"/>
  <c r="D64" i="26"/>
  <c r="D58" i="26" s="1"/>
  <c r="D64" i="62"/>
  <c r="D58" i="62" s="1"/>
  <c r="D64" i="40"/>
  <c r="D58" i="40" s="1"/>
  <c r="D64" i="187"/>
  <c r="D58" i="187" s="1"/>
  <c r="D64" i="108"/>
  <c r="D58" i="108" s="1"/>
  <c r="E58" i="108" s="1"/>
  <c r="D64" i="216"/>
  <c r="D58" i="216" s="1"/>
  <c r="E58" i="216" s="1"/>
  <c r="D64" i="175"/>
  <c r="D58" i="175" s="1"/>
  <c r="E58" i="175" s="1"/>
  <c r="D64" i="140"/>
  <c r="D58" i="140" s="1"/>
  <c r="D64" i="113"/>
  <c r="D58" i="113" s="1"/>
  <c r="D64" i="146"/>
  <c r="D58" i="146" s="1"/>
  <c r="E58" i="146" s="1"/>
  <c r="D64" i="144"/>
  <c r="D58" i="144" s="1"/>
  <c r="D64" i="205"/>
  <c r="D58" i="205" s="1"/>
  <c r="D74" i="205" s="1"/>
  <c r="D75" i="205" s="1"/>
  <c r="D64" i="99"/>
  <c r="D58" i="99" s="1"/>
  <c r="D74" i="99" s="1"/>
  <c r="D75" i="99" s="1"/>
  <c r="D64" i="39"/>
  <c r="D58" i="39" s="1"/>
  <c r="D64" i="130"/>
  <c r="D58" i="130" s="1"/>
  <c r="D64" i="174"/>
  <c r="D58" i="174" s="1"/>
  <c r="D74" i="174" s="1"/>
  <c r="D75" i="174" s="1"/>
  <c r="D64" i="38"/>
  <c r="D58" i="38" s="1"/>
  <c r="D64" i="214"/>
  <c r="D58" i="214" s="1"/>
  <c r="E58" i="214" s="1"/>
  <c r="D64" i="166"/>
  <c r="D58" i="166" s="1"/>
  <c r="D64" i="170"/>
  <c r="D58" i="170" s="1"/>
  <c r="E58" i="170" s="1"/>
  <c r="E64" i="170" s="1"/>
  <c r="D64" i="102"/>
  <c r="D58" i="102" s="1"/>
  <c r="D74" i="102" s="1"/>
  <c r="D75" i="102" s="1"/>
  <c r="D64" i="103"/>
  <c r="D58" i="103" s="1"/>
  <c r="D74" i="103" s="1"/>
  <c r="D75" i="103" s="1"/>
  <c r="D64" i="89"/>
  <c r="D58" i="89" s="1"/>
  <c r="D74" i="89" s="1"/>
  <c r="D75" i="89" s="1"/>
  <c r="D64" i="88"/>
  <c r="D58" i="88" s="1"/>
  <c r="D74" i="88" s="1"/>
  <c r="D75" i="88" s="1"/>
  <c r="D64" i="164"/>
  <c r="D58" i="164" s="1"/>
  <c r="E58" i="164" s="1"/>
  <c r="D64" i="92"/>
  <c r="D58" i="92" s="1"/>
  <c r="D64" i="163"/>
  <c r="D58" i="163" s="1"/>
  <c r="E58" i="163" s="1"/>
  <c r="E64" i="163" s="1"/>
  <c r="D64" i="137"/>
  <c r="D58" i="137" s="1"/>
  <c r="D64" i="136"/>
  <c r="D58" i="136" s="1"/>
  <c r="D74" i="136" s="1"/>
  <c r="D75" i="136" s="1"/>
  <c r="D64" i="138"/>
  <c r="D58" i="138" s="1"/>
  <c r="D74" i="90"/>
  <c r="D75" i="90" s="1"/>
  <c r="E58" i="90"/>
  <c r="E64" i="90" s="1"/>
  <c r="D64" i="115"/>
  <c r="D58" i="115" s="1"/>
  <c r="D64" i="161"/>
  <c r="D58" i="161" s="1"/>
  <c r="E58" i="161" s="1"/>
  <c r="D64" i="36"/>
  <c r="D58" i="36" s="1"/>
  <c r="E58" i="36" s="1"/>
  <c r="D64" i="77"/>
  <c r="D58" i="77" s="1"/>
  <c r="E58" i="77" s="1"/>
  <c r="D64" i="149"/>
  <c r="D58" i="149" s="1"/>
  <c r="D64" i="24"/>
  <c r="D58" i="24" s="1"/>
  <c r="D74" i="24" s="1"/>
  <c r="D76" i="24" s="1"/>
  <c r="D64" i="201"/>
  <c r="D58" i="201" s="1"/>
  <c r="D74" i="201" s="1"/>
  <c r="D75" i="201" s="1"/>
  <c r="D64" i="212"/>
  <c r="D58" i="212" s="1"/>
  <c r="D74" i="212" s="1"/>
  <c r="D75" i="212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06"/>
  <c r="D58" i="106" s="1"/>
  <c r="D64" i="211"/>
  <c r="D58" i="211" s="1"/>
  <c r="E58" i="211" s="1"/>
  <c r="D64" i="151"/>
  <c r="D58" i="151" s="1"/>
  <c r="D64" i="96"/>
  <c r="D58" i="96" s="1"/>
  <c r="H21" i="96"/>
  <c r="D64" i="112"/>
  <c r="D58" i="112" s="1"/>
  <c r="E58" i="112" s="1"/>
  <c r="D64" i="28"/>
  <c r="D58" i="28" s="1"/>
  <c r="E58" i="28" s="1"/>
  <c r="D72" i="81"/>
  <c r="D74" i="81" s="1"/>
  <c r="D75" i="81" s="1"/>
  <c r="D72" i="17"/>
  <c r="E72" i="17" s="1"/>
  <c r="E71" i="95"/>
  <c r="E64" i="95"/>
  <c r="E58" i="95"/>
  <c r="E73" i="95"/>
  <c r="D74" i="84"/>
  <c r="D75" i="84" s="1"/>
  <c r="D74" i="23"/>
  <c r="E73" i="23"/>
  <c r="D64" i="41"/>
  <c r="D58" i="41" s="1"/>
  <c r="D64" i="101"/>
  <c r="D58" i="101" s="1"/>
  <c r="D64" i="173"/>
  <c r="D58" i="173" s="1"/>
  <c r="D64" i="104"/>
  <c r="D58" i="104" s="1"/>
  <c r="D64" i="76"/>
  <c r="D58" i="76" s="1"/>
  <c r="E58" i="76" s="1"/>
  <c r="D74" i="27"/>
  <c r="D76" i="27" s="1"/>
  <c r="D64" i="202"/>
  <c r="D58" i="202" s="1"/>
  <c r="E58" i="202" s="1"/>
  <c r="D64" i="57"/>
  <c r="D58" i="57" s="1"/>
  <c r="D64" i="33"/>
  <c r="D58" i="33" s="1"/>
  <c r="E58" i="53"/>
  <c r="E74" i="53" s="1"/>
  <c r="E64" i="4"/>
  <c r="D72" i="1"/>
  <c r="D74" i="1" s="1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74" i="134"/>
  <c r="D75" i="134" s="1"/>
  <c r="D64" i="135"/>
  <c r="D58" i="135" s="1"/>
  <c r="D64" i="132"/>
  <c r="D58" i="132" s="1"/>
  <c r="D64" i="133"/>
  <c r="D58" i="133" s="1"/>
  <c r="D64" i="179"/>
  <c r="D58" i="179" s="1"/>
  <c r="D64" i="147"/>
  <c r="D58" i="147" s="1"/>
  <c r="D74" i="147" s="1"/>
  <c r="D76" i="147" s="1"/>
  <c r="D74" i="143"/>
  <c r="D75" i="143" s="1"/>
  <c r="D64" i="85"/>
  <c r="D58" i="85" s="1"/>
  <c r="D64" i="128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58" i="193" s="1"/>
  <c r="E74" i="193" s="1"/>
  <c r="E75" i="193" s="1"/>
  <c r="D74" i="37"/>
  <c r="D75" i="37" s="1"/>
  <c r="D64" i="47"/>
  <c r="D58" i="47" s="1"/>
  <c r="D74" i="153"/>
  <c r="D75" i="153" s="1"/>
  <c r="D64" i="35"/>
  <c r="D58" i="35" s="1"/>
  <c r="D64" i="186"/>
  <c r="D58" i="186" s="1"/>
  <c r="D64" i="148"/>
  <c r="D58" i="148" s="1"/>
  <c r="D64" i="152"/>
  <c r="D58" i="152" s="1"/>
  <c r="D64" i="197"/>
  <c r="D58" i="197" s="1"/>
  <c r="D64" i="210"/>
  <c r="D58" i="210" s="1"/>
  <c r="E58" i="210" s="1"/>
  <c r="D64" i="209"/>
  <c r="D58" i="209" s="1"/>
  <c r="E58" i="209" s="1"/>
  <c r="D64" i="195"/>
  <c r="D58" i="195" s="1"/>
  <c r="D64" i="188"/>
  <c r="D58" i="188" s="1"/>
  <c r="E58" i="188" s="1"/>
  <c r="D64" i="42"/>
  <c r="D58" i="42" s="1"/>
  <c r="D64" i="83"/>
  <c r="D58" i="83" s="1"/>
  <c r="D74" i="83" s="1"/>
  <c r="D75" i="83" s="1"/>
  <c r="D74" i="48"/>
  <c r="D75" i="48" s="1"/>
  <c r="D64" i="29"/>
  <c r="D58" i="29" s="1"/>
  <c r="E58" i="29" s="1"/>
  <c r="D64" i="49"/>
  <c r="D58" i="49" s="1"/>
  <c r="E58" i="49" s="1"/>
  <c r="D64" i="22"/>
  <c r="D58" i="22" s="1"/>
  <c r="D74" i="22" s="1"/>
  <c r="D75" i="22" s="1"/>
  <c r="K21" i="84"/>
  <c r="D74" i="146"/>
  <c r="D76" i="146" s="1"/>
  <c r="E64" i="143"/>
  <c r="D74" i="55"/>
  <c r="D75" i="55" s="1"/>
  <c r="E58" i="55"/>
  <c r="E64" i="55" s="1"/>
  <c r="D74" i="112"/>
  <c r="D75" i="112" s="1"/>
  <c r="E64" i="93"/>
  <c r="E69" i="93"/>
  <c r="D73" i="93"/>
  <c r="D74" i="93" s="1"/>
  <c r="D75" i="93" s="1"/>
  <c r="E75" i="93" s="1"/>
  <c r="E73" i="67"/>
  <c r="E69" i="67"/>
  <c r="E58" i="67"/>
  <c r="D74" i="121"/>
  <c r="E64" i="81"/>
  <c r="E69" i="81"/>
  <c r="E58" i="81"/>
  <c r="E69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64" i="194"/>
  <c r="E58" i="194"/>
  <c r="E73" i="194"/>
  <c r="E69" i="194"/>
  <c r="E73" i="120"/>
  <c r="E72" i="120"/>
  <c r="E69" i="120"/>
  <c r="E64" i="120"/>
  <c r="E58" i="120"/>
  <c r="E73" i="69"/>
  <c r="E58" i="69"/>
  <c r="E64" i="69"/>
  <c r="E71" i="69"/>
  <c r="E69" i="69"/>
  <c r="D74" i="30"/>
  <c r="D75" i="30" s="1"/>
  <c r="E58" i="30"/>
  <c r="D74" i="16"/>
  <c r="D75" i="16" s="1"/>
  <c r="E73" i="81"/>
  <c r="E64" i="67"/>
  <c r="E58" i="93"/>
  <c r="E73" i="177"/>
  <c r="E74" i="177" s="1"/>
  <c r="E75" i="177" s="1"/>
  <c r="E73" i="37"/>
  <c r="E58" i="103"/>
  <c r="E73" i="217"/>
  <c r="E64" i="217"/>
  <c r="E72" i="194"/>
  <c r="E74" i="134"/>
  <c r="E75" i="134" s="1"/>
  <c r="E73" i="153"/>
  <c r="D74" i="216"/>
  <c r="D75" i="216" s="1"/>
  <c r="E73" i="20"/>
  <c r="E74" i="20" s="1"/>
  <c r="E75" i="20" s="1"/>
  <c r="E73" i="55"/>
  <c r="E58" i="26"/>
  <c r="D74" i="26"/>
  <c r="D75" i="26" s="1"/>
  <c r="E73" i="110"/>
  <c r="E73" i="90"/>
  <c r="E73" i="196"/>
  <c r="E74" i="196" s="1"/>
  <c r="E75" i="196" s="1"/>
  <c r="D74" i="79"/>
  <c r="D75" i="79" s="1"/>
  <c r="D75" i="122" l="1"/>
  <c r="E74" i="4"/>
  <c r="E75" i="4" s="1"/>
  <c r="D74" i="164"/>
  <c r="D75" i="164" s="1"/>
  <c r="D74" i="161"/>
  <c r="D75" i="161" s="1"/>
  <c r="E74" i="153"/>
  <c r="E75" i="153" s="1"/>
  <c r="E58" i="63"/>
  <c r="D74" i="163"/>
  <c r="D75" i="163" s="1"/>
  <c r="E74" i="120"/>
  <c r="E75" i="120" s="1"/>
  <c r="D75" i="121"/>
  <c r="E75" i="121" s="1"/>
  <c r="E74" i="5"/>
  <c r="E74" i="194"/>
  <c r="E75" i="194" s="1"/>
  <c r="D74" i="170"/>
  <c r="D75" i="170" s="1"/>
  <c r="D74" i="36"/>
  <c r="D75" i="36" s="1"/>
  <c r="D74" i="28"/>
  <c r="D75" i="28" s="1"/>
  <c r="D75" i="8"/>
  <c r="E58" i="99"/>
  <c r="E72" i="81"/>
  <c r="E74" i="81" s="1"/>
  <c r="E75" i="81" s="1"/>
  <c r="E58" i="174"/>
  <c r="E64" i="174" s="1"/>
  <c r="E72" i="67"/>
  <c r="E58" i="129"/>
  <c r="E64" i="129" s="1"/>
  <c r="E74" i="6"/>
  <c r="E75" i="6" s="1"/>
  <c r="E72" i="69"/>
  <c r="E58" i="88"/>
  <c r="D75" i="53"/>
  <c r="E75" i="53" s="1"/>
  <c r="E74" i="110"/>
  <c r="E75" i="110" s="1"/>
  <c r="D74" i="189"/>
  <c r="D75" i="189" s="1"/>
  <c r="D74" i="209"/>
  <c r="D75" i="209" s="1"/>
  <c r="E58" i="201"/>
  <c r="E64" i="201" s="1"/>
  <c r="E74" i="37"/>
  <c r="E75" i="37" s="1"/>
  <c r="D74" i="42"/>
  <c r="D75" i="42" s="1"/>
  <c r="D74" i="191"/>
  <c r="D75" i="191" s="1"/>
  <c r="D74" i="108"/>
  <c r="D76" i="108" s="1"/>
  <c r="E64" i="193"/>
  <c r="D74" i="49"/>
  <c r="D75" i="49" s="1"/>
  <c r="E58" i="212"/>
  <c r="E64" i="212" s="1"/>
  <c r="D74" i="195"/>
  <c r="D75" i="195" s="1"/>
  <c r="D74" i="105"/>
  <c r="D75" i="105" s="1"/>
  <c r="E74" i="90"/>
  <c r="E75" i="90" s="1"/>
  <c r="D74" i="211"/>
  <c r="D76" i="211" s="1"/>
  <c r="E58" i="136"/>
  <c r="E64" i="136" s="1"/>
  <c r="E58" i="89"/>
  <c r="E64" i="89" s="1"/>
  <c r="D74" i="202"/>
  <c r="D75" i="202" s="1"/>
  <c r="E58" i="24"/>
  <c r="E64" i="24" s="1"/>
  <c r="D74" i="64"/>
  <c r="D75" i="64" s="1"/>
  <c r="D74" i="175"/>
  <c r="D75" i="175" s="1"/>
  <c r="D74" i="214"/>
  <c r="D75" i="214" s="1"/>
  <c r="E58" i="167"/>
  <c r="E64" i="167" s="1"/>
  <c r="D74" i="77"/>
  <c r="D75" i="77" s="1"/>
  <c r="E72" i="9"/>
  <c r="E72" i="7"/>
  <c r="D58" i="128"/>
  <c r="E58" i="128" s="1"/>
  <c r="E74" i="105"/>
  <c r="E75" i="105" s="1"/>
  <c r="E74" i="170"/>
  <c r="E75" i="170" s="1"/>
  <c r="E58" i="22"/>
  <c r="E64" i="22" s="1"/>
  <c r="E72" i="78"/>
  <c r="E64" i="78"/>
  <c r="E58" i="102"/>
  <c r="E74" i="102" s="1"/>
  <c r="E75" i="102" s="1"/>
  <c r="E74" i="163"/>
  <c r="E75" i="163" s="1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D58" i="217"/>
  <c r="E71" i="84"/>
  <c r="E73" i="60"/>
  <c r="E69" i="60"/>
  <c r="E64" i="61"/>
  <c r="E69" i="58"/>
  <c r="E69" i="13"/>
  <c r="E73" i="13"/>
  <c r="D74" i="62"/>
  <c r="D75" i="62" s="1"/>
  <c r="E58" i="62"/>
  <c r="D74" i="40"/>
  <c r="D75" i="40" s="1"/>
  <c r="E58" i="40"/>
  <c r="E58" i="187"/>
  <c r="D74" i="187"/>
  <c r="D75" i="187" s="1"/>
  <c r="E64" i="175"/>
  <c r="E74" i="175"/>
  <c r="E75" i="175" s="1"/>
  <c r="D74" i="140"/>
  <c r="D75" i="140" s="1"/>
  <c r="D74" i="113"/>
  <c r="D75" i="113" s="1"/>
  <c r="E58" i="113"/>
  <c r="E58" i="144"/>
  <c r="D74" i="144"/>
  <c r="D75" i="144" s="1"/>
  <c r="D74" i="39"/>
  <c r="D75" i="39" s="1"/>
  <c r="E58" i="39"/>
  <c r="D74" i="130"/>
  <c r="D75" i="130" s="1"/>
  <c r="E58" i="130"/>
  <c r="E58" i="23"/>
  <c r="E64" i="23" s="1"/>
  <c r="E58" i="38"/>
  <c r="D74" i="38"/>
  <c r="D75" i="38" s="1"/>
  <c r="D74" i="166"/>
  <c r="D75" i="166" s="1"/>
  <c r="E58" i="166"/>
  <c r="D74" i="193"/>
  <c r="D75" i="193" s="1"/>
  <c r="D74" i="92"/>
  <c r="D75" i="92" s="1"/>
  <c r="E58" i="92"/>
  <c r="D74" i="137"/>
  <c r="D75" i="137" s="1"/>
  <c r="E58" i="137"/>
  <c r="D74" i="138"/>
  <c r="D75" i="138" s="1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D74" i="106"/>
  <c r="D75" i="106" s="1"/>
  <c r="E58" i="106"/>
  <c r="E58" i="151"/>
  <c r="D74" i="151"/>
  <c r="D76" i="151" s="1"/>
  <c r="E58" i="96"/>
  <c r="D74" i="96"/>
  <c r="D76" i="96" s="1"/>
  <c r="E72" i="84"/>
  <c r="E64" i="84"/>
  <c r="E58" i="60"/>
  <c r="E73" i="61"/>
  <c r="E58" i="6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D75" i="1"/>
  <c r="E58" i="94"/>
  <c r="D74" i="29"/>
  <c r="D75" i="29" s="1"/>
  <c r="E74" i="55"/>
  <c r="E75" i="55" s="1"/>
  <c r="D74" i="210"/>
  <c r="D75" i="210" s="1"/>
  <c r="E69" i="94"/>
  <c r="E74" i="143"/>
  <c r="E75" i="143" s="1"/>
  <c r="E58" i="147"/>
  <c r="E64" i="147" s="1"/>
  <c r="D74" i="169"/>
  <c r="D75" i="169" s="1"/>
  <c r="E69" i="61"/>
  <c r="E64" i="60"/>
  <c r="E64" i="94"/>
  <c r="E72" i="61"/>
  <c r="E64" i="63"/>
  <c r="E74" i="63"/>
  <c r="E75" i="63" s="1"/>
  <c r="E72" i="94"/>
  <c r="D75" i="23"/>
  <c r="D74" i="41"/>
  <c r="D75" i="41" s="1"/>
  <c r="E58" i="41"/>
  <c r="E58" i="101"/>
  <c r="D74" i="101"/>
  <c r="D75" i="101" s="1"/>
  <c r="E58" i="173"/>
  <c r="D74" i="173"/>
  <c r="D75" i="173" s="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5" i="17"/>
  <c r="E69" i="16"/>
  <c r="E72" i="16"/>
  <c r="E64" i="16"/>
  <c r="E58" i="16"/>
  <c r="E58" i="11"/>
  <c r="E69" i="10"/>
  <c r="E75" i="5"/>
  <c r="E72" i="13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D74" i="179"/>
  <c r="D76" i="179" s="1"/>
  <c r="E58" i="179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48"/>
  <c r="D74" i="148"/>
  <c r="D76" i="148" s="1"/>
  <c r="E58" i="152"/>
  <c r="D74" i="152"/>
  <c r="D76" i="152" s="1"/>
  <c r="D74" i="197"/>
  <c r="D75" i="197" s="1"/>
  <c r="D74" i="188"/>
  <c r="D75" i="188" s="1"/>
  <c r="E58" i="83"/>
  <c r="E74" i="83" s="1"/>
  <c r="E75" i="83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64" i="108"/>
  <c r="E74" i="108"/>
  <c r="E76" i="108" s="1"/>
  <c r="E74" i="146"/>
  <c r="E76" i="146" s="1"/>
  <c r="E64" i="146"/>
  <c r="E64" i="88"/>
  <c r="E74" i="88"/>
  <c r="E75" i="88" s="1"/>
  <c r="E64" i="76"/>
  <c r="E74" i="76"/>
  <c r="E75" i="76" s="1"/>
  <c r="E64" i="36"/>
  <c r="E74" i="36"/>
  <c r="E75" i="36" s="1"/>
  <c r="E64" i="189"/>
  <c r="E74" i="189"/>
  <c r="E75" i="189" s="1"/>
  <c r="E64" i="112"/>
  <c r="E74" i="112"/>
  <c r="E75" i="112" s="1"/>
  <c r="E73" i="93"/>
  <c r="E74" i="93" s="1"/>
  <c r="E73" i="121"/>
  <c r="E58" i="121"/>
  <c r="E64" i="121"/>
  <c r="E69" i="11"/>
  <c r="E73" i="11"/>
  <c r="E64" i="11"/>
  <c r="E72" i="11"/>
  <c r="E72" i="10"/>
  <c r="E73" i="10"/>
  <c r="E64" i="10"/>
  <c r="E58" i="10"/>
  <c r="E74" i="209"/>
  <c r="E75" i="209" s="1"/>
  <c r="E64" i="209"/>
  <c r="E64" i="26"/>
  <c r="E74" i="26"/>
  <c r="E75" i="26" s="1"/>
  <c r="E74" i="216"/>
  <c r="E75" i="216" s="1"/>
  <c r="E64" i="216"/>
  <c r="E74" i="103"/>
  <c r="E75" i="103" s="1"/>
  <c r="E64" i="103"/>
  <c r="E74" i="202"/>
  <c r="E75" i="202" s="1"/>
  <c r="E64" i="202"/>
  <c r="E74" i="30"/>
  <c r="E75" i="30" s="1"/>
  <c r="E64" i="30"/>
  <c r="E75" i="42"/>
  <c r="E64" i="49"/>
  <c r="E74" i="49"/>
  <c r="E75" i="49" s="1"/>
  <c r="E64" i="29"/>
  <c r="E74" i="29"/>
  <c r="E75" i="29" s="1"/>
  <c r="E74" i="164"/>
  <c r="E75" i="164" s="1"/>
  <c r="E64" i="164"/>
  <c r="E64" i="214"/>
  <c r="E74" i="214"/>
  <c r="E75" i="214" s="1"/>
  <c r="E75" i="205"/>
  <c r="E74" i="211"/>
  <c r="E76" i="211" s="1"/>
  <c r="E64" i="211"/>
  <c r="E64" i="161"/>
  <c r="E74" i="161"/>
  <c r="E75" i="161" s="1"/>
  <c r="E64" i="64"/>
  <c r="E74" i="64"/>
  <c r="E75" i="64" s="1"/>
  <c r="E64" i="191"/>
  <c r="E74" i="191"/>
  <c r="E75" i="191" s="1"/>
  <c r="E64" i="210"/>
  <c r="E74" i="210"/>
  <c r="E75" i="210" s="1"/>
  <c r="E74" i="99"/>
  <c r="E75" i="99" s="1"/>
  <c r="E64" i="99"/>
  <c r="E74" i="28"/>
  <c r="E75" i="28" s="1"/>
  <c r="E64" i="28"/>
  <c r="E74" i="195"/>
  <c r="E75" i="195" s="1"/>
  <c r="E74" i="129" l="1"/>
  <c r="E75" i="129" s="1"/>
  <c r="E74" i="174"/>
  <c r="E75" i="174" s="1"/>
  <c r="E74" i="89"/>
  <c r="E75" i="89" s="1"/>
  <c r="E74" i="167"/>
  <c r="E75" i="167" s="1"/>
  <c r="E74" i="24"/>
  <c r="E76" i="24" s="1"/>
  <c r="E74" i="212"/>
  <c r="E75" i="212" s="1"/>
  <c r="E74" i="22"/>
  <c r="E75" i="22" s="1"/>
  <c r="E74" i="67"/>
  <c r="E75" i="67" s="1"/>
  <c r="E74" i="69"/>
  <c r="E75" i="69" s="1"/>
  <c r="E74" i="122"/>
  <c r="E75" i="122" s="1"/>
  <c r="E74" i="79"/>
  <c r="E75" i="79" s="1"/>
  <c r="E74" i="78"/>
  <c r="E75" i="78" s="1"/>
  <c r="E74" i="16"/>
  <c r="E75" i="16" s="1"/>
  <c r="E74" i="10"/>
  <c r="E75" i="10" s="1"/>
  <c r="E74" i="136"/>
  <c r="E75" i="136" s="1"/>
  <c r="E74" i="94"/>
  <c r="E74" i="11"/>
  <c r="E75" i="11" s="1"/>
  <c r="E74" i="60"/>
  <c r="E75" i="60" s="1"/>
  <c r="E74" i="13"/>
  <c r="E75" i="13" s="1"/>
  <c r="E74" i="61"/>
  <c r="E75" i="61" s="1"/>
  <c r="E74" i="58"/>
  <c r="E75" i="58" s="1"/>
  <c r="E74" i="201"/>
  <c r="E75" i="201" s="1"/>
  <c r="E64" i="102"/>
  <c r="D74" i="128"/>
  <c r="D75" i="128" s="1"/>
  <c r="E74" i="121"/>
  <c r="E74" i="9"/>
  <c r="E75" i="9" s="1"/>
  <c r="E74" i="23"/>
  <c r="E75" i="23" s="1"/>
  <c r="E64" i="83"/>
  <c r="E74" i="128"/>
  <c r="E75" i="128" s="1"/>
  <c r="E64" i="128"/>
  <c r="E74" i="147"/>
  <c r="E76" i="147" s="1"/>
  <c r="E58" i="217"/>
  <c r="D74" i="217"/>
  <c r="D75" i="217" s="1"/>
  <c r="E64" i="62"/>
  <c r="E74" i="62"/>
  <c r="E75" i="62" s="1"/>
  <c r="E64" i="40"/>
  <c r="E74" i="40"/>
  <c r="E75" i="40" s="1"/>
  <c r="E64" i="187"/>
  <c r="E74" i="187"/>
  <c r="E75" i="187" s="1"/>
  <c r="E74" i="140"/>
  <c r="E75" i="140" s="1"/>
  <c r="E64" i="113"/>
  <c r="E74" i="113"/>
  <c r="E75" i="113" s="1"/>
  <c r="E74" i="144"/>
  <c r="E75" i="144" s="1"/>
  <c r="E64" i="144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64" i="92"/>
  <c r="E74" i="92"/>
  <c r="E75" i="92" s="1"/>
  <c r="E64" i="137"/>
  <c r="E74" i="137"/>
  <c r="E75" i="137" s="1"/>
  <c r="E74" i="138"/>
  <c r="E75" i="138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06"/>
  <c r="E74" i="106"/>
  <c r="E75" i="106" s="1"/>
  <c r="E64" i="151"/>
  <c r="E74" i="151"/>
  <c r="E76" i="151" s="1"/>
  <c r="E74" i="96"/>
  <c r="E76" i="96" s="1"/>
  <c r="E64" i="96"/>
  <c r="E74" i="48"/>
  <c r="E75" i="48" s="1"/>
  <c r="E64" i="41"/>
  <c r="E74" i="41"/>
  <c r="E75" i="41" s="1"/>
  <c r="E64" i="101"/>
  <c r="E74" i="101"/>
  <c r="E75" i="101" s="1"/>
  <c r="E64" i="173"/>
  <c r="E74" i="173"/>
  <c r="E75" i="173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179"/>
  <c r="E74" i="179"/>
  <c r="E76" i="179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48"/>
  <c r="E74" i="148"/>
  <c r="E76" i="148" s="1"/>
  <c r="E64" i="152"/>
  <c r="E74" i="152"/>
  <c r="E76" i="152" s="1"/>
  <c r="E74" i="197"/>
  <c r="E75" i="197" s="1"/>
  <c r="E64" i="188"/>
  <c r="E74" i="188"/>
  <c r="E75" i="188" s="1"/>
  <c r="E74" i="84"/>
  <c r="E75" i="84" s="1"/>
  <c r="E74" i="8"/>
  <c r="E75" i="8" s="1"/>
  <c r="E58" i="7"/>
  <c r="E74" i="7" s="1"/>
  <c r="E75" i="7" s="1"/>
  <c r="E74" i="217" l="1"/>
  <c r="E75" i="217" s="1"/>
  <c r="D75" i="7"/>
  <c r="E66" i="1"/>
  <c r="E73" i="1" l="1"/>
  <c r="E59" i="1"/>
  <c r="E72" i="1"/>
  <c r="V39" i="1"/>
  <c r="W39" i="1" s="1"/>
  <c r="E58" i="1"/>
  <c r="E69" i="1"/>
  <c r="E71" i="1"/>
  <c r="E74" i="1" l="1"/>
  <c r="E75" i="1" s="1"/>
</calcChain>
</file>

<file path=xl/sharedStrings.xml><?xml version="1.0" encoding="utf-8"?>
<sst xmlns="http://schemas.openxmlformats.org/spreadsheetml/2006/main" count="18985" uniqueCount="261">
  <si>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</si>
  <si>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</si>
  <si>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</si>
  <si>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</si>
  <si>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</si>
  <si>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</si>
  <si>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</si>
  <si>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</si>
  <si>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</si>
  <si>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</si>
  <si>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</si>
  <si>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</si>
  <si>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</si>
  <si>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</si>
  <si>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</si>
  <si>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</si>
  <si>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</si>
  <si>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</si>
  <si>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</si>
  <si>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</si>
  <si>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</si>
  <si>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</si>
  <si>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</si>
  <si>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</si>
  <si>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</si>
  <si>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</si>
  <si>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</si>
  <si>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</si>
  <si>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</si>
  <si>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</si>
  <si>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</si>
  <si>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</si>
  <si>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</si>
  <si>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</si>
  <si>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</si>
  <si>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</si>
  <si>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</si>
  <si>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</si>
  <si>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</si>
  <si>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</si>
  <si>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</si>
  <si>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</si>
  <si>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</si>
  <si>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</si>
  <si>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</si>
  <si>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</si>
  <si>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</si>
  <si>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</si>
  <si>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</si>
  <si>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</si>
  <si>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</si>
  <si>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</si>
  <si>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</si>
  <si>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</si>
  <si>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</si>
  <si>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</si>
  <si>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</si>
  <si>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</si>
  <si>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</si>
  <si>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</si>
  <si>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</si>
  <si>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</si>
  <si>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</si>
  <si>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</si>
  <si>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</si>
  <si>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</si>
  <si>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</si>
  <si>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</si>
  <si>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</si>
  <si>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</si>
  <si>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</si>
  <si>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</si>
  <si>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</si>
  <si>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</si>
  <si>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</si>
  <si>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</si>
  <si>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</si>
  <si>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</si>
  <si>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</si>
  <si>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</si>
  <si>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</si>
  <si>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</si>
  <si>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</si>
  <si>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</si>
  <si>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</si>
  <si>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</si>
  <si>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</si>
  <si>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</si>
  <si>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</si>
  <si>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</si>
  <si>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</si>
  <si>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</si>
  <si>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</si>
  <si>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</si>
  <si>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</si>
  <si>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</si>
  <si>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</si>
  <si>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</si>
  <si>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</si>
  <si>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</si>
  <si>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</si>
  <si>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</si>
  <si>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</si>
  <si>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</si>
  <si>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</si>
  <si>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</si>
  <si>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</si>
  <si>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</si>
  <si>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</si>
  <si>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</si>
  <si>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</si>
  <si>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</si>
  <si>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</si>
  <si>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</si>
  <si>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</si>
  <si>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</si>
  <si>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</si>
  <si>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</si>
  <si>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</si>
  <si>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</si>
  <si>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Fundusz Energetyczny</t>
  </si>
  <si>
    <t>spr1</t>
  </si>
  <si>
    <t>spr2</t>
  </si>
  <si>
    <t>różnica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</si>
  <si>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</si>
  <si>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</si>
  <si>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</si>
  <si>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</si>
  <si>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</si>
  <si>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</si>
  <si>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</si>
  <si>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</si>
  <si>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</si>
  <si>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</si>
  <si>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</si>
  <si>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</si>
  <si>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</si>
  <si>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</si>
  <si>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</si>
  <si>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</si>
  <si>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</si>
  <si>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</si>
  <si>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</si>
  <si>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</si>
  <si>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</si>
  <si>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Portfel Strategicznej Alokacji</t>
  </si>
  <si>
    <t>Allianz Stabilnego Wzrostu</t>
  </si>
  <si>
    <t>Allianz Obligacji Plus</t>
  </si>
  <si>
    <t xml:space="preserve">Allianz Aktywnej Alokacji </t>
  </si>
  <si>
    <t>Allianz Akcji Małych i Średnich Spółek</t>
  </si>
  <si>
    <t>Allianz Konserwatywny</t>
  </si>
  <si>
    <t>Allianz Polskich Obligacji Skarbowych</t>
  </si>
  <si>
    <t>Allianz Selektywny</t>
  </si>
  <si>
    <t>Allianz Akcji Globalnych</t>
  </si>
  <si>
    <t>Allianz Dynamiczna Multistrategia</t>
  </si>
  <si>
    <t>Allianz Defensywna Multistrategia</t>
  </si>
  <si>
    <t>Allianz Zbalansowana Multistrategia</t>
  </si>
  <si>
    <t>Allianz Globalny Stabilnego Dochodu</t>
  </si>
  <si>
    <t>Allianz Franklin European Dividend Fund (PLN Hedged)</t>
  </si>
  <si>
    <t>Allianz Franklin Global Fundamental Strategies Fund (PLN Hedged)</t>
  </si>
  <si>
    <t>Allianz Franklin U.S. Opportunities Fund (PLN Hedged)</t>
  </si>
  <si>
    <t>Allianz Goldman Sachs Emerging Markets Debt Portfolio A (Acc) (PLN) Hedged</t>
  </si>
  <si>
    <t>Allianz Goldman Sachs Global Strategic Macro Bond Portfolio A (Acc) (PLN) Hedged</t>
  </si>
  <si>
    <t>Allianz Investor Akcji</t>
  </si>
  <si>
    <t>Allianz Investor Zrównoważony</t>
  </si>
  <si>
    <t>Allianz Investor BRIC</t>
  </si>
  <si>
    <t>Allianz Investor Gold</t>
  </si>
  <si>
    <t>Allianz Investor Indie i Chiny</t>
  </si>
  <si>
    <t>Allianz Investor Zabezpieczenia Emerytalnego</t>
  </si>
  <si>
    <t>Allianz JPM Global Healthcare Fund (PLN Hedged)</t>
  </si>
  <si>
    <t>Allianz JPM Global Strategic Bond (PLN Hedged)</t>
  </si>
  <si>
    <t>Allianz ESALIENS Akcji</t>
  </si>
  <si>
    <t>Allianz ESALIENS Obligacji</t>
  </si>
  <si>
    <t>Allianz Noble Fund Akcji Małych i Średnich Spółek</t>
  </si>
  <si>
    <t>Allianz Pekao Akcji Rynków Wschodzących</t>
  </si>
  <si>
    <t>Allianz Pekao Alternatywny Globalnego Dochodu</t>
  </si>
  <si>
    <t>Allianz Pekao Obligacji Strategicznych</t>
  </si>
  <si>
    <t>Allianz Pekao Surowców i Energii</t>
  </si>
  <si>
    <t>Allianz Pekao Dynamicznych Spółek</t>
  </si>
  <si>
    <t>Allianz Pekao Obligacji Plus</t>
  </si>
  <si>
    <t>Allianz Pekao Obligacji - Dynamiczna Alokacja 2</t>
  </si>
  <si>
    <t>Allianz Pekao Akcji - Aktywna Selekcja</t>
  </si>
  <si>
    <t>Allianz Pekao Strategii Globalnej</t>
  </si>
  <si>
    <t>Allianz Pekao Akcji Małych i Średnich Spółek Rynków Rozwiniętych</t>
  </si>
  <si>
    <t>Allianz Pekao Obligacji i Dochodu</t>
  </si>
  <si>
    <t>Allianz PKO Obligacji Długoterminowych</t>
  </si>
  <si>
    <t>Allianz PZU Akcji Krakowiak</t>
  </si>
  <si>
    <t>Allianz PZU Akcji Małych i Średnich Spółek</t>
  </si>
  <si>
    <t>Allianz PZU Medyczny</t>
  </si>
  <si>
    <t>Allianz PZU Akcji Rynków Rozwiniętych</t>
  </si>
  <si>
    <t>Allianz PZU Papierów Dłużnych POLONEZ</t>
  </si>
  <si>
    <t>Allianz Quercus Agresywny</t>
  </si>
  <si>
    <t>Allianz Quercus Ochrony Kapitału</t>
  </si>
  <si>
    <t>Allianz Quercus Global Balanced</t>
  </si>
  <si>
    <t>Allianz Schroder Asian Opportunities (PLN Hedged)</t>
  </si>
  <si>
    <t>Allianz Schroder Emerging Markets Debt Absolute Return (PLN Hedged)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</si>
  <si>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</si>
  <si>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</si>
  <si>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</si>
  <si>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Skarbiec Obligacji Wysokiego Dochodu</t>
  </si>
  <si>
    <t>Allianz Skarbiec Małych i Średnich Spółek</t>
  </si>
  <si>
    <t>Allianz Skarbiec Spółek Wzrostowych</t>
  </si>
  <si>
    <t>Allianz Skarbiec Top Brands</t>
  </si>
  <si>
    <t>Allianz Templeton Global Bond Fund (PLN Hedged)</t>
  </si>
  <si>
    <t>Allianz Templeton Global Total Return Fund (PLN Hedged)</t>
  </si>
  <si>
    <t xml:space="preserve">Allianz Investor Dochodowy </t>
  </si>
  <si>
    <t>Allianz Investor Oszczędnościowy</t>
  </si>
  <si>
    <t>Allianz Pekao Spokojna Inwestycja</t>
  </si>
  <si>
    <t>Allianz Pekao Konserwatywny</t>
  </si>
  <si>
    <t>Allianz Pekao Konserwatywny Plus</t>
  </si>
  <si>
    <t>Allianz Skarbiec Konserwatywny</t>
  </si>
  <si>
    <t>Allianz Generali Obligacje Aktywny</t>
  </si>
  <si>
    <t>Allianz Generali Akcje Małych i Średnich Spółek</t>
  </si>
  <si>
    <t>Allianz Generali Korona Akcje</t>
  </si>
  <si>
    <t>Allianz Generali Korona Obligacje</t>
  </si>
  <si>
    <t>Allianz Generali Korona Dochodowy</t>
  </si>
  <si>
    <t>Allianz Generali Korona Zrównoważony</t>
  </si>
  <si>
    <t>Allianz Generali Oszczędnościowy</t>
  </si>
  <si>
    <t>Allianz Generali Stabilny Wzrost</t>
  </si>
  <si>
    <t>Allianz JPM Emerging Markets Opportunities Fund (PLN)</t>
  </si>
  <si>
    <t>Allianz ESALIENS Konserwatywny</t>
  </si>
  <si>
    <t>Allianz Schroder ISF - Global Credit High Income (PLN Hedged)</t>
  </si>
  <si>
    <t>Allianz Generali Złota</t>
  </si>
  <si>
    <t>Allianz Akcji Rynku Złota</t>
  </si>
  <si>
    <t>Allianz China A-Shares</t>
  </si>
  <si>
    <t>Allianz Pekao Bazowy 15 Dywidendowy</t>
  </si>
  <si>
    <t>Allianz Skarbiec Nowej Generacji</t>
  </si>
  <si>
    <t>Allianz Templeton Latin America Fund (PLN Hedged)</t>
  </si>
  <si>
    <t>Allianz Generali Akcji: Megatrendy</t>
  </si>
  <si>
    <t>Allianz Investor Quality</t>
  </si>
  <si>
    <t>Allianz Investor Akumulacji Kapitału</t>
  </si>
  <si>
    <t>Allianz Investor Fundamentalny Dywidend i Wzrostu</t>
  </si>
  <si>
    <t>Allianz ESALIENS Medycyny i Nowych Technologii</t>
  </si>
  <si>
    <t>Allianz PZU Akcji Polskich</t>
  </si>
  <si>
    <t>Fundusz Polskich Obligacji Skarbowych Bis</t>
  </si>
  <si>
    <t>Fundusz Zachowawczy</t>
  </si>
  <si>
    <t>31-12-2022</t>
  </si>
  <si>
    <t>Allianz Dłużnych Papierów Korporacyjnych</t>
  </si>
  <si>
    <t>Allianz Investor TOP Małych i Średnich Spółek</t>
  </si>
  <si>
    <t>Allianz Generali Akcji Rynków Wschodzących</t>
  </si>
  <si>
    <t>Allianz Generali Konserwatywny</t>
  </si>
  <si>
    <t>Allianz Pekao Akcji Europejskich</t>
  </si>
  <si>
    <t>30-06-2023</t>
  </si>
  <si>
    <t>30-06-2022</t>
  </si>
  <si>
    <t>SPORZĄDZONE NA DZIEŃ 30-06-2023</t>
  </si>
  <si>
    <t>\</t>
  </si>
  <si>
    <t>NA DZIEŃ 30-06-2023</t>
  </si>
  <si>
    <t xml:space="preserve">Allianz Goldman Sachs Akcji </t>
  </si>
  <si>
    <t>Allianz Goldman Sachs Obligacji</t>
  </si>
  <si>
    <t xml:space="preserve">Allianz Goldman Sachs Polski Odpowiedzialnego Inwestowania </t>
  </si>
  <si>
    <t>Allianz Goldman Sachs Średnich i Małych Spółek</t>
  </si>
  <si>
    <t>Allianz Goldman Sachs Europejski Spółek Dywidendowych</t>
  </si>
  <si>
    <t>Allianz Goldman Sachs Globalny Długu Korporacyjnego</t>
  </si>
  <si>
    <t>Allianz Goldman Sachs Globalny Spółek Dywidendowych</t>
  </si>
  <si>
    <t>Allianz Goldman Sachs Japonia</t>
  </si>
  <si>
    <t>Allianz Goldman Sachs Indeks Surowców</t>
  </si>
  <si>
    <t>Allianz Goldman Sachs Spółek Dywidendowych USA</t>
  </si>
  <si>
    <t>Allianz Goldman Sachs Stabilny Globalnej Dywersyfikacji</t>
  </si>
  <si>
    <t>Allianz Goldman Sachs Obligacji Rynków Wschodzących</t>
  </si>
  <si>
    <t>Allianz PKO Dynamicznej Alokacji</t>
  </si>
  <si>
    <t>Allianz Generali Akcje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</si>
</sst>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z_ł_-;\-* #,##0.00\ _z_ł_-;_-* &quot;-&quot;??\ _z_ł_-;_-@_-"/>
    <numFmt numFmtId="165" formatCode="#,##0.0000"/>
    <numFmt numFmtId="166" formatCode="0.0000"/>
    <numFmt numFmtId="167" formatCode="_-* #,##0.0000\ _z_ł_-;\-* #,##0.0000\ _z_ł_-;_-* &quot;-&quot;????\ _z_ł_-;_-@_-"/>
    <numFmt numFmtId="168" formatCode="#,##0.0000_ ;\-#,##0.0000\ "/>
    <numFmt numFmtId="169" formatCode="0.000"/>
    <numFmt numFmtId="170" formatCode="#,##0.00000"/>
    <numFmt numFmtId="171" formatCode="#,##0.000000"/>
    <numFmt numFmtId="172" formatCode="0.00000"/>
    <numFmt numFmtId="173" formatCode="#,##0.000000000"/>
    <numFmt numFmtId="174" formatCode="#,##0.00_ ;\-#,##0.00\ 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rgb="FF0070C0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1" fillId="20" borderId="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23" borderId="6" applyNumberFormat="0" applyFont="0" applyAlignment="0" applyProtection="0"/>
    <xf numFmtId="0" fontId="25" fillId="3" borderId="0" applyNumberFormat="0" applyBorder="0" applyAlignment="0" applyProtection="0"/>
    <xf numFmtId="0" fontId="30" fillId="0" borderId="0"/>
    <xf numFmtId="0" fontId="20" fillId="23" borderId="63" applyNumberFormat="0" applyFont="0" applyAlignment="0" applyProtection="0"/>
    <xf numFmtId="0" fontId="22" fillId="0" borderId="62" applyNumberFormat="0" applyFill="0" applyAlignment="0" applyProtection="0"/>
    <xf numFmtId="0" fontId="21" fillId="20" borderId="60" applyNumberFormat="0" applyAlignment="0" applyProtection="0"/>
    <xf numFmtId="0" fontId="14" fillId="20" borderId="61" applyNumberFormat="0" applyAlignment="0" applyProtection="0"/>
    <xf numFmtId="0" fontId="13" fillId="7" borderId="60" applyNumberFormat="0" applyAlignment="0" applyProtection="0"/>
    <xf numFmtId="0" fontId="4" fillId="0" borderId="0"/>
    <xf numFmtId="0" fontId="20" fillId="23" borderId="67" applyNumberFormat="0" applyFont="0" applyAlignment="0" applyProtection="0"/>
    <xf numFmtId="0" fontId="22" fillId="0" borderId="66" applyNumberFormat="0" applyFill="0" applyAlignment="0" applyProtection="0"/>
    <xf numFmtId="0" fontId="21" fillId="20" borderId="64" applyNumberFormat="0" applyAlignment="0" applyProtection="0"/>
    <xf numFmtId="0" fontId="14" fillId="20" borderId="65" applyNumberFormat="0" applyAlignment="0" applyProtection="0"/>
    <xf numFmtId="0" fontId="13" fillId="7" borderId="64" applyNumberFormat="0" applyAlignment="0" applyProtection="0"/>
    <xf numFmtId="0" fontId="32" fillId="0" borderId="0"/>
    <xf numFmtId="0" fontId="33" fillId="25" borderId="0" applyNumberFormat="0" applyBorder="0" applyAlignment="0" applyProtection="0"/>
    <xf numFmtId="0" fontId="34" fillId="26" borderId="68" applyNumberFormat="0" applyAlignment="0" applyProtection="0"/>
    <xf numFmtId="0" fontId="35" fillId="0" borderId="70" applyNumberFormat="0" applyFill="0" applyAlignment="0" applyProtection="0"/>
    <xf numFmtId="0" fontId="36" fillId="27" borderId="69" applyNumberFormat="0" applyAlignment="0" applyProtection="0"/>
    <xf numFmtId="0" fontId="37" fillId="0" borderId="7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28" borderId="71" applyNumberFormat="0" applyFont="0" applyAlignment="0" applyProtection="0"/>
    <xf numFmtId="0" fontId="4" fillId="28" borderId="71" applyNumberFormat="0" applyFont="0" applyAlignment="0" applyProtection="0"/>
    <xf numFmtId="0" fontId="42" fillId="0" borderId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0" fillId="23" borderId="85" applyNumberFormat="0" applyFont="0" applyAlignment="0" applyProtection="0"/>
    <xf numFmtId="0" fontId="22" fillId="0" borderId="84" applyNumberFormat="0" applyFill="0" applyAlignment="0" applyProtection="0"/>
    <xf numFmtId="0" fontId="14" fillId="20" borderId="83" applyNumberFormat="0" applyAlignment="0" applyProtection="0"/>
    <xf numFmtId="0" fontId="20" fillId="23" borderId="85" applyNumberFormat="0" applyFont="0" applyAlignment="0" applyProtection="0"/>
    <xf numFmtId="0" fontId="20" fillId="23" borderId="85" applyNumberFormat="0" applyFont="0" applyAlignment="0" applyProtection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1" fillId="20" borderId="82" applyNumberFormat="0" applyAlignment="0" applyProtection="0"/>
    <xf numFmtId="0" fontId="13" fillId="7" borderId="82" applyNumberFormat="0" applyAlignment="0" applyProtection="0"/>
    <xf numFmtId="0" fontId="4" fillId="0" borderId="0"/>
    <xf numFmtId="0" fontId="4" fillId="28" borderId="71" applyNumberFormat="0" applyFont="0" applyAlignment="0" applyProtection="0"/>
    <xf numFmtId="0" fontId="3" fillId="0" borderId="0"/>
    <xf numFmtId="0" fontId="4" fillId="0" borderId="0"/>
    <xf numFmtId="0" fontId="43" fillId="0" borderId="0"/>
    <xf numFmtId="0" fontId="44" fillId="0" borderId="0"/>
    <xf numFmtId="0" fontId="2" fillId="0" borderId="0"/>
    <xf numFmtId="9" fontId="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0"/>
    <xf numFmtId="0" fontId="51" fillId="0" borderId="0"/>
    <xf numFmtId="0" fontId="49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7" fillId="0" borderId="0"/>
    <xf numFmtId="0" fontId="47" fillId="0" borderId="0"/>
  </cellStyleXfs>
  <cellXfs count="478">
    <xf numFmtId="0" fontId="0" fillId="0" borderId="0" xfId="0"/>
    <xf numFmtId="165" fontId="4" fillId="24" borderId="79" xfId="0" applyNumberFormat="1" applyFont="1" applyFill="1" applyBorder="1"/>
    <xf numFmtId="0" fontId="5" fillId="24" borderId="0" xfId="0" applyFont="1" applyFill="1"/>
    <xf numFmtId="4" fontId="5" fillId="24" borderId="0" xfId="0" applyNumberFormat="1" applyFont="1" applyFill="1"/>
    <xf numFmtId="0" fontId="5" fillId="24" borderId="0" xfId="0" applyFont="1" applyFill="1" applyBorder="1" applyAlignment="1">
      <alignment horizontal="left" wrapText="1"/>
    </xf>
    <xf numFmtId="0" fontId="9" fillId="24" borderId="10" xfId="0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5" fillId="24" borderId="0" xfId="0" applyFont="1" applyFill="1" applyBorder="1" applyAlignment="1">
      <alignment horizontal="center" wrapText="1"/>
    </xf>
    <xf numFmtId="164" fontId="5" fillId="24" borderId="0" xfId="0" applyNumberFormat="1" applyFont="1" applyFill="1" applyBorder="1" applyAlignment="1">
      <alignment wrapText="1"/>
    </xf>
    <xf numFmtId="0" fontId="8" fillId="24" borderId="14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wrapText="1"/>
    </xf>
    <xf numFmtId="0" fontId="9" fillId="24" borderId="24" xfId="0" applyFont="1" applyFill="1" applyBorder="1" applyAlignment="1">
      <alignment wrapText="1"/>
    </xf>
    <xf numFmtId="0" fontId="8" fillId="24" borderId="19" xfId="0" applyFont="1" applyFill="1" applyBorder="1"/>
    <xf numFmtId="0" fontId="9" fillId="24" borderId="14" xfId="0" applyFont="1" applyFill="1" applyBorder="1" applyAlignment="1">
      <alignment horizontal="center"/>
    </xf>
    <xf numFmtId="0" fontId="9" fillId="24" borderId="15" xfId="0" applyNumberFormat="1" applyFont="1" applyFill="1" applyBorder="1" applyAlignment="1">
      <alignment wrapText="1"/>
    </xf>
    <xf numFmtId="0" fontId="9" fillId="24" borderId="17" xfId="0" applyFont="1" applyFill="1" applyBorder="1" applyAlignment="1">
      <alignment horizontal="center"/>
    </xf>
    <xf numFmtId="0" fontId="9" fillId="24" borderId="16" xfId="0" applyNumberFormat="1" applyFont="1" applyFill="1" applyBorder="1" applyAlignment="1">
      <alignment wrapText="1"/>
    </xf>
    <xf numFmtId="4" fontId="5" fillId="24" borderId="24" xfId="0" applyNumberFormat="1" applyFont="1" applyFill="1" applyBorder="1" applyAlignment="1">
      <alignment horizontal="center" wrapText="1"/>
    </xf>
    <xf numFmtId="4" fontId="5" fillId="24" borderId="25" xfId="0" applyNumberFormat="1" applyFont="1" applyFill="1" applyBorder="1" applyAlignment="1">
      <alignment horizontal="center" wrapText="1"/>
    </xf>
    <xf numFmtId="0" fontId="8" fillId="24" borderId="26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center"/>
    </xf>
    <xf numFmtId="0" fontId="9" fillId="24" borderId="24" xfId="0" applyNumberFormat="1" applyFont="1" applyFill="1" applyBorder="1" applyAlignment="1">
      <alignment wrapText="1"/>
    </xf>
    <xf numFmtId="0" fontId="8" fillId="24" borderId="29" xfId="0" applyFont="1" applyFill="1" applyBorder="1"/>
    <xf numFmtId="0" fontId="8" fillId="24" borderId="30" xfId="0" applyNumberFormat="1" applyFont="1" applyFill="1" applyBorder="1" applyAlignment="1">
      <alignment wrapText="1"/>
    </xf>
    <xf numFmtId="4" fontId="8" fillId="24" borderId="30" xfId="0" applyNumberFormat="1" applyFont="1" applyFill="1" applyBorder="1"/>
    <xf numFmtId="10" fontId="8" fillId="24" borderId="31" xfId="33" applyNumberFormat="1" applyFont="1" applyFill="1" applyBorder="1"/>
    <xf numFmtId="0" fontId="0" fillId="24" borderId="0" xfId="0" applyFill="1"/>
    <xf numFmtId="4" fontId="8" fillId="24" borderId="21" xfId="0" applyNumberFormat="1" applyFont="1" applyFill="1" applyBorder="1"/>
    <xf numFmtId="0" fontId="8" fillId="24" borderId="10" xfId="0" applyFont="1" applyFill="1" applyBorder="1" applyAlignment="1">
      <alignment horizontal="center"/>
    </xf>
    <xf numFmtId="0" fontId="8" fillId="24" borderId="35" xfId="0" applyNumberFormat="1" applyFont="1" applyFill="1" applyBorder="1" applyAlignment="1">
      <alignment wrapText="1"/>
    </xf>
    <xf numFmtId="10" fontId="8" fillId="24" borderId="12" xfId="33" applyNumberFormat="1" applyFont="1" applyFill="1" applyBorder="1"/>
    <xf numFmtId="0" fontId="20" fillId="0" borderId="0" xfId="31"/>
    <xf numFmtId="0" fontId="26" fillId="0" borderId="0" xfId="31" applyFont="1"/>
    <xf numFmtId="164" fontId="26" fillId="0" borderId="0" xfId="31" applyNumberFormat="1" applyFont="1"/>
    <xf numFmtId="0" fontId="27" fillId="0" borderId="26" xfId="31" applyFont="1" applyBorder="1"/>
    <xf numFmtId="0" fontId="27" fillId="0" borderId="38" xfId="31" applyFont="1" applyBorder="1"/>
    <xf numFmtId="164" fontId="27" fillId="0" borderId="39" xfId="31" applyNumberFormat="1" applyFont="1" applyBorder="1"/>
    <xf numFmtId="164" fontId="27" fillId="0" borderId="34" xfId="31" applyNumberFormat="1" applyFont="1" applyBorder="1"/>
    <xf numFmtId="164" fontId="27" fillId="0" borderId="0" xfId="31" applyNumberFormat="1" applyFont="1"/>
    <xf numFmtId="0" fontId="27" fillId="0" borderId="0" xfId="31" applyFont="1"/>
    <xf numFmtId="0" fontId="27" fillId="0" borderId="40" xfId="31" applyFont="1" applyBorder="1"/>
    <xf numFmtId="0" fontId="27" fillId="0" borderId="0" xfId="31" applyFont="1" applyBorder="1"/>
    <xf numFmtId="164" fontId="28" fillId="0" borderId="41" xfId="31" applyNumberFormat="1" applyFont="1" applyBorder="1" applyAlignment="1">
      <alignment horizontal="center"/>
    </xf>
    <xf numFmtId="164" fontId="28" fillId="0" borderId="42" xfId="31" applyNumberFormat="1" applyFont="1" applyBorder="1" applyAlignment="1">
      <alignment horizontal="center"/>
    </xf>
    <xf numFmtId="0" fontId="27" fillId="0" borderId="43" xfId="31" applyFont="1" applyBorder="1"/>
    <xf numFmtId="0" fontId="27" fillId="0" borderId="44" xfId="31" applyFont="1" applyBorder="1"/>
    <xf numFmtId="164" fontId="28" fillId="0" borderId="45" xfId="31" applyNumberFormat="1" applyFont="1" applyBorder="1" applyAlignment="1">
      <alignment horizontal="center"/>
    </xf>
    <xf numFmtId="164" fontId="28" fillId="0" borderId="46" xfId="31" applyNumberFormat="1" applyFont="1" applyBorder="1" applyAlignment="1">
      <alignment horizontal="center"/>
    </xf>
    <xf numFmtId="164" fontId="27" fillId="0" borderId="41" xfId="31" applyNumberFormat="1" applyFont="1" applyBorder="1"/>
    <xf numFmtId="164" fontId="27" fillId="0" borderId="42" xfId="31" applyNumberFormat="1" applyFont="1" applyBorder="1"/>
    <xf numFmtId="0" fontId="28" fillId="0" borderId="40" xfId="31" applyFont="1" applyBorder="1"/>
    <xf numFmtId="0" fontId="28" fillId="0" borderId="0" xfId="31" applyFont="1" applyBorder="1"/>
    <xf numFmtId="164" fontId="28" fillId="0" borderId="41" xfId="31" applyNumberFormat="1" applyFont="1" applyFill="1" applyBorder="1"/>
    <xf numFmtId="164" fontId="28" fillId="0" borderId="41" xfId="31" applyNumberFormat="1" applyFont="1" applyBorder="1"/>
    <xf numFmtId="164" fontId="28" fillId="0" borderId="42" xfId="31" applyNumberFormat="1" applyFont="1" applyBorder="1"/>
    <xf numFmtId="4" fontId="27" fillId="0" borderId="0" xfId="31" applyNumberFormat="1" applyFont="1"/>
    <xf numFmtId="0" fontId="28" fillId="0" borderId="26" xfId="31" applyFont="1" applyBorder="1"/>
    <xf numFmtId="0" fontId="28" fillId="0" borderId="38" xfId="31" applyFont="1" applyBorder="1"/>
    <xf numFmtId="164" fontId="28" fillId="0" borderId="39" xfId="31" applyNumberFormat="1" applyFont="1" applyBorder="1"/>
    <xf numFmtId="164" fontId="28" fillId="0" borderId="34" xfId="31" applyNumberFormat="1" applyFont="1" applyBorder="1"/>
    <xf numFmtId="0" fontId="28" fillId="0" borderId="43" xfId="31" applyFont="1" applyBorder="1"/>
    <xf numFmtId="0" fontId="28" fillId="0" borderId="44" xfId="31" applyFont="1" applyBorder="1"/>
    <xf numFmtId="164" fontId="28" fillId="0" borderId="45" xfId="31" applyNumberFormat="1" applyFont="1" applyBorder="1"/>
    <xf numFmtId="164" fontId="28" fillId="0" borderId="46" xfId="31" applyNumberFormat="1" applyFont="1" applyBorder="1"/>
    <xf numFmtId="164" fontId="27" fillId="0" borderId="45" xfId="31" applyNumberFormat="1" applyFont="1" applyBorder="1"/>
    <xf numFmtId="164" fontId="27" fillId="0" borderId="46" xfId="31" applyNumberFormat="1" applyFont="1" applyBorder="1"/>
    <xf numFmtId="10" fontId="8" fillId="24" borderId="28" xfId="33" applyNumberFormat="1" applyFont="1" applyFill="1" applyBorder="1"/>
    <xf numFmtId="164" fontId="0" fillId="0" borderId="0" xfId="0" applyNumberFormat="1"/>
    <xf numFmtId="0" fontId="9" fillId="24" borderId="36" xfId="0" applyFont="1" applyFill="1" applyBorder="1" applyAlignment="1">
      <alignment wrapText="1"/>
    </xf>
    <xf numFmtId="0" fontId="9" fillId="24" borderId="37" xfId="0" applyFont="1" applyFill="1" applyBorder="1" applyAlignment="1">
      <alignment wrapText="1"/>
    </xf>
    <xf numFmtId="164" fontId="20" fillId="0" borderId="0" xfId="31" applyNumberFormat="1"/>
    <xf numFmtId="4" fontId="20" fillId="0" borderId="0" xfId="31" applyNumberFormat="1"/>
    <xf numFmtId="4" fontId="0" fillId="0" borderId="0" xfId="0" applyNumberFormat="1"/>
    <xf numFmtId="164" fontId="20" fillId="0" borderId="0" xfId="31" applyNumberFormat="1" applyAlignment="1">
      <alignment horizontal="right"/>
    </xf>
    <xf numFmtId="4" fontId="8" fillId="0" borderId="0" xfId="0" applyNumberFormat="1" applyFont="1"/>
    <xf numFmtId="166" fontId="4" fillId="24" borderId="22" xfId="0" applyNumberFormat="1" applyFont="1" applyFill="1" applyBorder="1"/>
    <xf numFmtId="0" fontId="9" fillId="24" borderId="8" xfId="0" applyFont="1" applyFill="1" applyBorder="1" applyAlignment="1">
      <alignment horizontal="center"/>
    </xf>
    <xf numFmtId="4" fontId="29" fillId="0" borderId="0" xfId="0" applyNumberFormat="1" applyFont="1"/>
    <xf numFmtId="4" fontId="4" fillId="24" borderId="15" xfId="0" applyNumberFormat="1" applyFont="1" applyFill="1" applyBorder="1"/>
    <xf numFmtId="10" fontId="4" fillId="24" borderId="28" xfId="33" applyNumberFormat="1" applyFont="1" applyFill="1" applyBorder="1"/>
    <xf numFmtId="4" fontId="4" fillId="24" borderId="24" xfId="0" applyNumberFormat="1" applyFont="1" applyFill="1" applyBorder="1"/>
    <xf numFmtId="10" fontId="4" fillId="24" borderId="25" xfId="33" applyNumberFormat="1" applyFont="1" applyFill="1" applyBorder="1"/>
    <xf numFmtId="4" fontId="4" fillId="24" borderId="16" xfId="0" applyNumberFormat="1" applyFont="1" applyFill="1" applyBorder="1"/>
    <xf numFmtId="10" fontId="4" fillId="24" borderId="32" xfId="33" applyNumberFormat="1" applyFont="1" applyFill="1" applyBorder="1"/>
    <xf numFmtId="0" fontId="4" fillId="24" borderId="0" xfId="0" applyFont="1" applyFill="1"/>
    <xf numFmtId="0" fontId="8" fillId="0" borderId="0" xfId="0" applyFont="1"/>
    <xf numFmtId="0" fontId="7" fillId="24" borderId="0" xfId="0" applyFont="1" applyFill="1" applyBorder="1" applyAlignment="1">
      <alignment horizontal="center"/>
    </xf>
    <xf numFmtId="0" fontId="8" fillId="24" borderId="7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Border="1" applyAlignment="1">
      <alignment horizontal="left" vertical="center" wrapText="1"/>
    </xf>
    <xf numFmtId="0" fontId="8" fillId="24" borderId="19" xfId="0" applyFont="1" applyFill="1" applyBorder="1" applyAlignment="1">
      <alignment wrapText="1"/>
    </xf>
    <xf numFmtId="0" fontId="9" fillId="24" borderId="54" xfId="0" applyFont="1" applyFill="1" applyBorder="1" applyAlignment="1">
      <alignment wrapText="1"/>
    </xf>
    <xf numFmtId="0" fontId="8" fillId="24" borderId="14" xfId="0" applyFont="1" applyFill="1" applyBorder="1" applyAlignment="1">
      <alignment wrapText="1"/>
    </xf>
    <xf numFmtId="0" fontId="8" fillId="24" borderId="0" xfId="0" applyFont="1" applyFill="1" applyBorder="1" applyAlignment="1">
      <alignment horizontal="left" wrapText="1"/>
    </xf>
    <xf numFmtId="164" fontId="8" fillId="24" borderId="0" xfId="0" applyNumberFormat="1" applyFont="1" applyFill="1" applyBorder="1" applyAlignment="1">
      <alignment horizontal="right" wrapText="1"/>
    </xf>
    <xf numFmtId="0" fontId="8" fillId="24" borderId="27" xfId="0" applyFont="1" applyFill="1" applyBorder="1" applyAlignment="1">
      <alignment horizontal="left" wrapText="1"/>
    </xf>
    <xf numFmtId="0" fontId="8" fillId="24" borderId="11" xfId="0" applyFont="1" applyFill="1" applyBorder="1" applyAlignment="1">
      <alignment horizontal="left" wrapText="1"/>
    </xf>
    <xf numFmtId="0" fontId="8" fillId="24" borderId="23" xfId="0" applyFont="1" applyFill="1" applyBorder="1" applyAlignment="1">
      <alignment horizontal="left" wrapText="1"/>
    </xf>
    <xf numFmtId="0" fontId="8" fillId="24" borderId="24" xfId="0" applyFont="1" applyFill="1" applyBorder="1" applyAlignment="1">
      <alignment horizontal="left" wrapText="1"/>
    </xf>
    <xf numFmtId="0" fontId="8" fillId="24" borderId="51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4" fontId="8" fillId="24" borderId="13" xfId="0" applyNumberFormat="1" applyFont="1" applyFill="1" applyBorder="1"/>
    <xf numFmtId="0" fontId="9" fillId="24" borderId="14" xfId="0" applyFont="1" applyFill="1" applyBorder="1" applyAlignment="1">
      <alignment horizontal="left"/>
    </xf>
    <xf numFmtId="0" fontId="9" fillId="24" borderId="17" xfId="0" applyFont="1" applyFill="1" applyBorder="1" applyAlignment="1">
      <alignment horizontal="left"/>
    </xf>
    <xf numFmtId="0" fontId="9" fillId="24" borderId="14" xfId="0" applyFont="1" applyFill="1" applyBorder="1" applyAlignment="1">
      <alignment wrapText="1"/>
    </xf>
    <xf numFmtId="0" fontId="9" fillId="24" borderId="23" xfId="0" applyFont="1" applyFill="1" applyBorder="1" applyAlignment="1">
      <alignment wrapText="1"/>
    </xf>
    <xf numFmtId="0" fontId="9" fillId="24" borderId="14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left" wrapText="1"/>
    </xf>
    <xf numFmtId="0" fontId="9" fillId="24" borderId="17" xfId="0" applyFont="1" applyFill="1" applyBorder="1" applyAlignment="1">
      <alignment horizontal="left" wrapText="1"/>
    </xf>
    <xf numFmtId="0" fontId="9" fillId="24" borderId="0" xfId="0" applyFont="1" applyFill="1" applyBorder="1" applyAlignment="1">
      <alignment horizontal="left"/>
    </xf>
    <xf numFmtId="0" fontId="9" fillId="24" borderId="0" xfId="0" applyNumberFormat="1" applyFont="1" applyFill="1" applyBorder="1" applyAlignment="1">
      <alignment wrapText="1"/>
    </xf>
    <xf numFmtId="166" fontId="4" fillId="24" borderId="0" xfId="0" applyNumberFormat="1" applyFont="1" applyFill="1" applyBorder="1"/>
    <xf numFmtId="0" fontId="9" fillId="24" borderId="29" xfId="0" applyFont="1" applyFill="1" applyBorder="1" applyAlignment="1">
      <alignment horizontal="center"/>
    </xf>
    <xf numFmtId="0" fontId="9" fillId="24" borderId="30" xfId="0" applyNumberFormat="1" applyFont="1" applyFill="1" applyBorder="1" applyAlignment="1">
      <alignment wrapText="1"/>
    </xf>
    <xf numFmtId="4" fontId="4" fillId="24" borderId="30" xfId="0" applyNumberFormat="1" applyFont="1" applyFill="1" applyBorder="1"/>
    <xf numFmtId="10" fontId="4" fillId="24" borderId="31" xfId="33" applyNumberFormat="1" applyFont="1" applyFill="1" applyBorder="1"/>
    <xf numFmtId="0" fontId="8" fillId="24" borderId="57" xfId="0" applyFont="1" applyFill="1" applyBorder="1"/>
    <xf numFmtId="0" fontId="8" fillId="24" borderId="58" xfId="0" applyNumberFormat="1" applyFont="1" applyFill="1" applyBorder="1" applyAlignment="1">
      <alignment wrapText="1"/>
    </xf>
    <xf numFmtId="4" fontId="8" fillId="24" borderId="58" xfId="0" applyNumberFormat="1" applyFont="1" applyFill="1" applyBorder="1"/>
    <xf numFmtId="10" fontId="8" fillId="24" borderId="59" xfId="33" applyNumberFormat="1" applyFont="1" applyFill="1" applyBorder="1"/>
    <xf numFmtId="0" fontId="8" fillId="24" borderId="14" xfId="0" applyFont="1" applyFill="1" applyBorder="1"/>
    <xf numFmtId="0" fontId="8" fillId="24" borderId="15" xfId="0" applyNumberFormat="1" applyFont="1" applyFill="1" applyBorder="1" applyAlignment="1">
      <alignment wrapText="1"/>
    </xf>
    <xf numFmtId="4" fontId="8" fillId="24" borderId="15" xfId="0" applyNumberFormat="1" applyFont="1" applyFill="1" applyBorder="1"/>
    <xf numFmtId="0" fontId="9" fillId="24" borderId="23" xfId="0" applyFont="1" applyFill="1" applyBorder="1" applyAlignment="1">
      <alignment horizontal="left"/>
    </xf>
    <xf numFmtId="0" fontId="8" fillId="24" borderId="36" xfId="0" applyNumberFormat="1" applyFont="1" applyFill="1" applyBorder="1" applyAlignment="1">
      <alignment wrapText="1"/>
    </xf>
    <xf numFmtId="4" fontId="4" fillId="24" borderId="52" xfId="0" applyNumberFormat="1" applyFont="1" applyFill="1" applyBorder="1"/>
    <xf numFmtId="0" fontId="8" fillId="24" borderId="11" xfId="0" applyNumberFormat="1" applyFont="1" applyFill="1" applyBorder="1" applyAlignment="1">
      <alignment wrapText="1"/>
    </xf>
    <xf numFmtId="4" fontId="8" fillId="24" borderId="11" xfId="0" applyNumberFormat="1" applyFont="1" applyFill="1" applyBorder="1" applyAlignment="1">
      <alignment horizontal="right" wrapText="1"/>
    </xf>
    <xf numFmtId="0" fontId="8" fillId="24" borderId="20" xfId="0" applyFont="1" applyFill="1" applyBorder="1" applyAlignment="1">
      <alignment wrapText="1"/>
    </xf>
    <xf numFmtId="0" fontId="9" fillId="24" borderId="29" xfId="0" applyFont="1" applyFill="1" applyBorder="1" applyAlignment="1">
      <alignment horizontal="left"/>
    </xf>
    <xf numFmtId="0" fontId="8" fillId="24" borderId="14" xfId="0" applyFont="1" applyFill="1" applyBorder="1" applyAlignment="1">
      <alignment horizontal="left"/>
    </xf>
    <xf numFmtId="0" fontId="8" fillId="24" borderId="57" xfId="0" applyFont="1" applyFill="1" applyBorder="1" applyAlignment="1">
      <alignment horizontal="left"/>
    </xf>
    <xf numFmtId="0" fontId="8" fillId="24" borderId="29" xfId="0" applyFont="1" applyFill="1" applyBorder="1" applyAlignment="1">
      <alignment horizontal="left"/>
    </xf>
    <xf numFmtId="0" fontId="31" fillId="24" borderId="0" xfId="0" applyFont="1" applyFill="1" applyBorder="1" applyAlignment="1">
      <alignment horizontal="left" vertical="center" wrapText="1"/>
    </xf>
    <xf numFmtId="0" fontId="7" fillId="24" borderId="0" xfId="0" applyFont="1" applyFill="1" applyBorder="1" applyAlignment="1">
      <alignment horizontal="center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164" fontId="8" fillId="24" borderId="9" xfId="0" applyNumberFormat="1" applyFont="1" applyFill="1" applyBorder="1" applyAlignment="1">
      <alignment horizontal="right" wrapText="1"/>
    </xf>
    <xf numFmtId="165" fontId="4" fillId="24" borderId="47" xfId="0" applyNumberFormat="1" applyFont="1" applyFill="1" applyBorder="1"/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167" fontId="0" fillId="0" borderId="0" xfId="0" applyNumberFormat="1"/>
    <xf numFmtId="4" fontId="4" fillId="0" borderId="0" xfId="0" applyNumberFormat="1" applyFont="1"/>
    <xf numFmtId="0" fontId="0" fillId="0" borderId="0" xfId="0" applyAlignment="1">
      <alignment vertical="top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27" fillId="0" borderId="0" xfId="31" applyNumberFormat="1" applyFont="1"/>
    <xf numFmtId="4" fontId="4" fillId="0" borderId="0" xfId="31" applyNumberFormat="1" applyFont="1"/>
    <xf numFmtId="165" fontId="0" fillId="0" borderId="0" xfId="0" applyNumberFormat="1"/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4" fontId="8" fillId="0" borderId="0" xfId="0" applyNumberFormat="1" applyFont="1" applyFill="1"/>
    <xf numFmtId="4" fontId="29" fillId="0" borderId="0" xfId="0" applyNumberFormat="1" applyFont="1" applyFill="1"/>
    <xf numFmtId="164" fontId="0" fillId="0" borderId="0" xfId="0" applyNumberFormat="1" applyFill="1"/>
    <xf numFmtId="4" fontId="8" fillId="0" borderId="21" xfId="0" applyNumberFormat="1" applyFont="1" applyFill="1" applyBorder="1"/>
    <xf numFmtId="164" fontId="29" fillId="0" borderId="0" xfId="0" applyNumberFormat="1" applyFont="1"/>
    <xf numFmtId="2" fontId="29" fillId="0" borderId="0" xfId="0" applyNumberFormat="1" applyFont="1"/>
    <xf numFmtId="164" fontId="8" fillId="0" borderId="0" xfId="0" applyNumberFormat="1" applyFont="1" applyFill="1" applyBorder="1" applyAlignment="1">
      <alignment horizontal="right" wrapText="1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164" fontId="27" fillId="0" borderId="0" xfId="31" applyNumberFormat="1" applyFont="1" applyAlignment="1">
      <alignment horizontal="left"/>
    </xf>
    <xf numFmtId="164" fontId="20" fillId="0" borderId="0" xfId="31" applyNumberFormat="1" applyAlignment="1">
      <alignment horizontal="left"/>
    </xf>
    <xf numFmtId="169" fontId="0" fillId="0" borderId="0" xfId="0" applyNumberFormat="1"/>
    <xf numFmtId="0" fontId="8" fillId="24" borderId="7" xfId="0" applyFont="1" applyFill="1" applyBorder="1" applyAlignment="1">
      <alignment wrapText="1"/>
    </xf>
    <xf numFmtId="0" fontId="8" fillId="24" borderId="7" xfId="0" applyFont="1" applyFill="1" applyBorder="1" applyAlignment="1">
      <alignment wrapText="1"/>
    </xf>
    <xf numFmtId="0" fontId="4" fillId="0" borderId="0" xfId="0" applyFont="1"/>
    <xf numFmtId="0" fontId="4" fillId="24" borderId="14" xfId="0" applyFont="1" applyFill="1" applyBorder="1" applyAlignment="1">
      <alignment horizontal="left" wrapText="1"/>
    </xf>
    <xf numFmtId="0" fontId="4" fillId="24" borderId="15" xfId="0" applyFont="1" applyFill="1" applyBorder="1" applyAlignment="1">
      <alignment wrapText="1"/>
    </xf>
    <xf numFmtId="0" fontId="4" fillId="24" borderId="36" xfId="0" applyFont="1" applyFill="1" applyBorder="1" applyAlignment="1">
      <alignment wrapText="1"/>
    </xf>
    <xf numFmtId="0" fontId="4" fillId="24" borderId="23" xfId="0" applyFont="1" applyFill="1" applyBorder="1" applyAlignment="1">
      <alignment horizontal="left" wrapText="1"/>
    </xf>
    <xf numFmtId="0" fontId="4" fillId="24" borderId="54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 wrapText="1"/>
    </xf>
    <xf numFmtId="0" fontId="4" fillId="24" borderId="37" xfId="0" applyFont="1" applyFill="1" applyBorder="1" applyAlignment="1">
      <alignment wrapText="1"/>
    </xf>
    <xf numFmtId="0" fontId="4" fillId="24" borderId="10" xfId="0" applyFont="1" applyFill="1" applyBorder="1" applyAlignment="1">
      <alignment horizontal="center"/>
    </xf>
    <xf numFmtId="0" fontId="4" fillId="24" borderId="14" xfId="0" applyFont="1" applyFill="1" applyBorder="1" applyAlignment="1">
      <alignment wrapText="1"/>
    </xf>
    <xf numFmtId="0" fontId="4" fillId="24" borderId="23" xfId="0" applyFont="1" applyFill="1" applyBorder="1" applyAlignment="1">
      <alignment wrapText="1"/>
    </xf>
    <xf numFmtId="0" fontId="4" fillId="24" borderId="24" xfId="0" applyFont="1" applyFill="1" applyBorder="1" applyAlignment="1">
      <alignment wrapText="1"/>
    </xf>
    <xf numFmtId="0" fontId="4" fillId="24" borderId="14" xfId="0" applyFont="1" applyFill="1" applyBorder="1" applyAlignment="1">
      <alignment horizontal="left"/>
    </xf>
    <xf numFmtId="0" fontId="4" fillId="24" borderId="15" xfId="0" applyNumberFormat="1" applyFont="1" applyFill="1" applyBorder="1" applyAlignment="1">
      <alignment wrapText="1"/>
    </xf>
    <xf numFmtId="0" fontId="4" fillId="24" borderId="23" xfId="0" applyFont="1" applyFill="1" applyBorder="1" applyAlignment="1">
      <alignment horizontal="left"/>
    </xf>
    <xf numFmtId="0" fontId="4" fillId="24" borderId="24" xfId="0" applyNumberFormat="1" applyFont="1" applyFill="1" applyBorder="1" applyAlignment="1">
      <alignment wrapText="1"/>
    </xf>
    <xf numFmtId="0" fontId="4" fillId="24" borderId="17" xfId="0" applyFont="1" applyFill="1" applyBorder="1" applyAlignment="1">
      <alignment horizontal="left"/>
    </xf>
    <xf numFmtId="0" fontId="4" fillId="24" borderId="16" xfId="0" applyNumberFormat="1" applyFont="1" applyFill="1" applyBorder="1" applyAlignment="1">
      <alignment wrapText="1"/>
    </xf>
    <xf numFmtId="0" fontId="4" fillId="24" borderId="0" xfId="0" applyFont="1" applyFill="1" applyBorder="1" applyAlignment="1">
      <alignment horizontal="left"/>
    </xf>
    <xf numFmtId="0" fontId="4" fillId="24" borderId="0" xfId="0" applyNumberFormat="1" applyFont="1" applyFill="1" applyBorder="1" applyAlignment="1">
      <alignment wrapText="1"/>
    </xf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8" fillId="24" borderId="35" xfId="0" applyFont="1" applyFill="1" applyBorder="1" applyAlignment="1">
      <alignment wrapText="1"/>
    </xf>
    <xf numFmtId="0" fontId="9" fillId="24" borderId="80" xfId="0" applyFont="1" applyFill="1" applyBorder="1" applyAlignment="1">
      <alignment wrapText="1"/>
    </xf>
    <xf numFmtId="0" fontId="9" fillId="24" borderId="81" xfId="0" applyFont="1" applyFill="1" applyBorder="1" applyAlignment="1">
      <alignment wrapText="1"/>
    </xf>
    <xf numFmtId="0" fontId="8" fillId="24" borderId="80" xfId="0" applyFont="1" applyFill="1" applyBorder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164" fontId="8" fillId="0" borderId="0" xfId="31" applyNumberFormat="1" applyFont="1"/>
    <xf numFmtId="4" fontId="8" fillId="0" borderId="0" xfId="31" applyNumberFormat="1" applyFont="1"/>
    <xf numFmtId="0" fontId="8" fillId="24" borderId="7" xfId="0" applyFont="1" applyFill="1" applyBorder="1" applyAlignment="1">
      <alignment wrapText="1"/>
    </xf>
    <xf numFmtId="0" fontId="4" fillId="0" borderId="0" xfId="0" applyFont="1" applyFill="1"/>
    <xf numFmtId="4" fontId="4" fillId="0" borderId="0" xfId="0" applyNumberFormat="1" applyFont="1" applyFill="1"/>
    <xf numFmtId="172" fontId="4" fillId="0" borderId="0" xfId="0" applyNumberFormat="1" applyFont="1"/>
    <xf numFmtId="167" fontId="4" fillId="0" borderId="0" xfId="0" applyNumberFormat="1" applyFont="1"/>
    <xf numFmtId="173" fontId="0" fillId="0" borderId="0" xfId="0" applyNumberFormat="1"/>
    <xf numFmtId="0" fontId="8" fillId="24" borderId="7" xfId="0" applyFont="1" applyFill="1" applyBorder="1" applyAlignment="1">
      <alignment wrapText="1"/>
    </xf>
    <xf numFmtId="164" fontId="27" fillId="0" borderId="0" xfId="31" applyNumberFormat="1" applyFont="1" applyAlignment="1">
      <alignment horizontal="center"/>
    </xf>
    <xf numFmtId="0" fontId="4" fillId="24" borderId="8" xfId="0" applyFont="1" applyFill="1" applyBorder="1" applyAlignment="1">
      <alignment horizontal="center"/>
    </xf>
    <xf numFmtId="0" fontId="8" fillId="0" borderId="0" xfId="31" applyFont="1"/>
    <xf numFmtId="0" fontId="8" fillId="24" borderId="36" xfId="0" applyFont="1" applyFill="1" applyBorder="1" applyAlignment="1">
      <alignment wrapText="1"/>
    </xf>
    <xf numFmtId="4" fontId="4" fillId="0" borderId="0" xfId="0" quotePrefix="1" applyNumberFormat="1" applyFont="1"/>
    <xf numFmtId="170" fontId="4" fillId="0" borderId="0" xfId="0" quotePrefix="1" applyNumberFormat="1" applyFont="1"/>
    <xf numFmtId="164" fontId="2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4" fontId="27" fillId="0" borderId="0" xfId="31" applyNumberFormat="1" applyFont="1" applyAlignment="1">
      <alignment horizontal="center"/>
    </xf>
    <xf numFmtId="164" fontId="8" fillId="24" borderId="34" xfId="0" applyNumberFormat="1" applyFont="1" applyFill="1" applyBorder="1" applyAlignment="1">
      <alignment horizontal="right" wrapText="1"/>
    </xf>
    <xf numFmtId="0" fontId="4" fillId="24" borderId="30" xfId="0" applyNumberFormat="1" applyFont="1" applyFill="1" applyBorder="1" applyAlignment="1">
      <alignment wrapText="1"/>
    </xf>
    <xf numFmtId="0" fontId="4" fillId="24" borderId="29" xfId="0" applyFont="1" applyFill="1" applyBorder="1" applyAlignment="1">
      <alignment horizontal="left"/>
    </xf>
    <xf numFmtId="0" fontId="41" fillId="0" borderId="0" xfId="0" applyFont="1"/>
    <xf numFmtId="0" fontId="8" fillId="24" borderId="7" xfId="0" applyFont="1" applyFill="1" applyBorder="1" applyAlignment="1">
      <alignment wrapText="1"/>
    </xf>
    <xf numFmtId="4" fontId="4" fillId="24" borderId="73" xfId="0" applyNumberFormat="1" applyFont="1" applyFill="1" applyBorder="1"/>
    <xf numFmtId="0" fontId="4" fillId="24" borderId="80" xfId="0" applyFont="1" applyFill="1" applyBorder="1" applyAlignment="1">
      <alignment wrapText="1"/>
    </xf>
    <xf numFmtId="0" fontId="4" fillId="24" borderId="81" xfId="0" applyFont="1" applyFill="1" applyBorder="1" applyAlignment="1">
      <alignment wrapText="1"/>
    </xf>
    <xf numFmtId="170" fontId="4" fillId="0" borderId="0" xfId="0" applyNumberFormat="1" applyFont="1"/>
    <xf numFmtId="4" fontId="41" fillId="0" borderId="0" xfId="0" applyNumberFormat="1" applyFont="1"/>
    <xf numFmtId="4" fontId="40" fillId="0" borderId="0" xfId="0" applyNumberFormat="1" applyFont="1"/>
    <xf numFmtId="0" fontId="4" fillId="0" borderId="15" xfId="0" applyFont="1" applyFill="1" applyBorder="1" applyAlignment="1">
      <alignment wrapText="1"/>
    </xf>
    <xf numFmtId="15" fontId="8" fillId="24" borderId="89" xfId="0" quotePrefix="1" applyNumberFormat="1" applyFont="1" applyFill="1" applyBorder="1" applyAlignment="1">
      <alignment horizontal="center" wrapText="1"/>
    </xf>
    <xf numFmtId="164" fontId="0" fillId="0" borderId="0" xfId="0" quotePrefix="1" applyNumberFormat="1"/>
    <xf numFmtId="164" fontId="4" fillId="0" borderId="0" xfId="0" applyNumberFormat="1" applyFont="1"/>
    <xf numFmtId="4" fontId="20" fillId="0" borderId="0" xfId="31" applyNumberFormat="1" applyFont="1"/>
    <xf numFmtId="0" fontId="20" fillId="0" borderId="0" xfId="31" applyFont="1"/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0" fillId="0" borderId="0" xfId="0" applyNumberFormat="1"/>
    <xf numFmtId="14" fontId="28" fillId="0" borderId="41" xfId="31" applyNumberFormat="1" applyFont="1" applyBorder="1" applyAlignment="1">
      <alignment horizontal="center"/>
    </xf>
    <xf numFmtId="14" fontId="28" fillId="0" borderId="42" xfId="31" applyNumberFormat="1" applyFont="1" applyBorder="1" applyAlignment="1">
      <alignment horizontal="center"/>
    </xf>
    <xf numFmtId="15" fontId="8" fillId="24" borderId="9" xfId="0" quotePrefix="1" applyNumberFormat="1" applyFont="1" applyFill="1" applyBorder="1" applyAlignment="1">
      <alignment horizontal="center" wrapText="1"/>
    </xf>
    <xf numFmtId="15" fontId="8" fillId="24" borderId="18" xfId="0" quotePrefix="1" applyNumberFormat="1" applyFont="1" applyFill="1" applyBorder="1" applyAlignment="1">
      <alignment horizontal="center" wrapText="1"/>
    </xf>
    <xf numFmtId="0" fontId="46" fillId="0" borderId="0" xfId="0" applyFont="1"/>
    <xf numFmtId="0" fontId="8" fillId="0" borderId="14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164" fontId="8" fillId="0" borderId="52" xfId="0" applyNumberFormat="1" applyFont="1" applyFill="1" applyBorder="1" applyAlignment="1">
      <alignment horizontal="right" wrapText="1"/>
    </xf>
    <xf numFmtId="164" fontId="8" fillId="0" borderId="22" xfId="0" applyNumberFormat="1" applyFont="1" applyFill="1" applyBorder="1" applyAlignment="1">
      <alignment horizontal="right" wrapText="1"/>
    </xf>
    <xf numFmtId="164" fontId="4" fillId="0" borderId="22" xfId="0" applyNumberFormat="1" applyFont="1" applyFill="1" applyBorder="1" applyAlignment="1">
      <alignment horizontal="right" wrapText="1"/>
    </xf>
    <xf numFmtId="164" fontId="8" fillId="24" borderId="47" xfId="0" applyNumberFormat="1" applyFont="1" applyFill="1" applyBorder="1" applyAlignment="1">
      <alignment horizontal="right" wrapText="1"/>
    </xf>
    <xf numFmtId="166" fontId="4" fillId="24" borderId="33" xfId="0" applyNumberFormat="1" applyFont="1" applyFill="1" applyBorder="1"/>
    <xf numFmtId="164" fontId="4" fillId="24" borderId="0" xfId="0" applyNumberFormat="1" applyFont="1" applyFill="1" applyBorder="1" applyAlignment="1">
      <alignment wrapText="1"/>
    </xf>
    <xf numFmtId="164" fontId="48" fillId="24" borderId="0" xfId="0" applyNumberFormat="1" applyFont="1" applyFill="1" applyBorder="1" applyAlignment="1">
      <alignment wrapText="1"/>
    </xf>
    <xf numFmtId="4" fontId="40" fillId="0" borderId="0" xfId="0" applyNumberFormat="1" applyFont="1" applyFill="1" applyAlignment="1">
      <alignment horizontal="right"/>
    </xf>
    <xf numFmtId="4" fontId="41" fillId="0" borderId="0" xfId="0" applyNumberFormat="1" applyFont="1" applyFill="1" applyAlignment="1">
      <alignment horizontal="right"/>
    </xf>
    <xf numFmtId="164" fontId="41" fillId="0" borderId="0" xfId="0" applyNumberFormat="1" applyFont="1"/>
    <xf numFmtId="0" fontId="29" fillId="0" borderId="0" xfId="0" applyFont="1"/>
    <xf numFmtId="4" fontId="8" fillId="24" borderId="11" xfId="0" quotePrefix="1" applyNumberFormat="1" applyFont="1" applyFill="1" applyBorder="1" applyAlignment="1">
      <alignment horizontal="center" wrapText="1"/>
    </xf>
    <xf numFmtId="4" fontId="0" fillId="0" borderId="0" xfId="86" applyNumberFormat="1" applyFont="1"/>
    <xf numFmtId="4" fontId="41" fillId="0" borderId="0" xfId="0" applyNumberFormat="1" applyFont="1" applyFill="1"/>
    <xf numFmtId="0" fontId="41" fillId="0" borderId="0" xfId="0" applyFont="1" applyFill="1"/>
    <xf numFmtId="4" fontId="4" fillId="0" borderId="0" xfId="0" applyNumberFormat="1" applyFont="1" applyAlignment="1">
      <alignment horizontal="right"/>
    </xf>
    <xf numFmtId="164" fontId="4" fillId="0" borderId="73" xfId="0" applyNumberFormat="1" applyFont="1" applyFill="1" applyBorder="1" applyAlignment="1">
      <alignment horizontal="right" wrapText="1"/>
    </xf>
    <xf numFmtId="4" fontId="4" fillId="24" borderId="79" xfId="0" applyNumberFormat="1" applyFont="1" applyFill="1" applyBorder="1"/>
    <xf numFmtId="166" fontId="4" fillId="24" borderId="86" xfId="0" applyNumberFormat="1" applyFont="1" applyFill="1" applyBorder="1"/>
    <xf numFmtId="165" fontId="4" fillId="24" borderId="87" xfId="0" applyNumberFormat="1" applyFont="1" applyFill="1" applyBorder="1"/>
    <xf numFmtId="165" fontId="4" fillId="24" borderId="22" xfId="0" applyNumberFormat="1" applyFont="1" applyFill="1" applyBorder="1"/>
    <xf numFmtId="166" fontId="4" fillId="24" borderId="47" xfId="0" applyNumberFormat="1" applyFont="1" applyFill="1" applyBorder="1"/>
    <xf numFmtId="0" fontId="4" fillId="24" borderId="23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165" fontId="4" fillId="24" borderId="78" xfId="0" applyNumberFormat="1" applyFont="1" applyFill="1" applyBorder="1"/>
    <xf numFmtId="166" fontId="4" fillId="24" borderId="79" xfId="0" applyNumberFormat="1" applyFont="1" applyFill="1" applyBorder="1"/>
    <xf numFmtId="165" fontId="4" fillId="0" borderId="87" xfId="81" applyNumberFormat="1" applyFont="1" applyBorder="1" applyAlignment="1">
      <alignment horizontal="right" vertical="top"/>
    </xf>
    <xf numFmtId="165" fontId="4" fillId="24" borderId="42" xfId="0" applyNumberFormat="1" applyFont="1" applyFill="1" applyBorder="1"/>
    <xf numFmtId="165" fontId="4" fillId="0" borderId="78" xfId="0" applyNumberFormat="1" applyFont="1" applyFill="1" applyBorder="1"/>
    <xf numFmtId="168" fontId="4" fillId="0" borderId="22" xfId="0" applyNumberFormat="1" applyFont="1" applyFill="1" applyBorder="1" applyAlignment="1">
      <alignment horizontal="right" wrapText="1"/>
    </xf>
    <xf numFmtId="165" fontId="4" fillId="24" borderId="47" xfId="0" applyNumberFormat="1" applyFont="1" applyFill="1" applyBorder="1" applyAlignment="1">
      <alignment horizontal="right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24" xfId="0" applyFont="1" applyFill="1" applyBorder="1" applyAlignment="1">
      <alignment wrapText="1"/>
    </xf>
    <xf numFmtId="4" fontId="4" fillId="0" borderId="73" xfId="97" applyNumberFormat="1" applyFont="1" applyFill="1" applyBorder="1" applyAlignment="1">
      <alignment horizontal="right" vertical="top"/>
    </xf>
    <xf numFmtId="164" fontId="8" fillId="24" borderId="50" xfId="0" applyNumberFormat="1" applyFont="1" applyFill="1" applyBorder="1" applyAlignment="1">
      <alignment horizontal="right" wrapText="1"/>
    </xf>
    <xf numFmtId="164" fontId="8" fillId="24" borderId="48" xfId="0" applyNumberFormat="1" applyFont="1" applyFill="1" applyBorder="1" applyAlignment="1">
      <alignment horizontal="right" wrapText="1"/>
    </xf>
    <xf numFmtId="164" fontId="4" fillId="24" borderId="48" xfId="0" applyNumberFormat="1" applyFont="1" applyFill="1" applyBorder="1" applyAlignment="1">
      <alignment horizontal="right" wrapText="1"/>
    </xf>
    <xf numFmtId="164" fontId="8" fillId="24" borderId="56" xfId="0" applyNumberFormat="1" applyFont="1" applyFill="1" applyBorder="1" applyAlignment="1">
      <alignment horizontal="right" wrapText="1"/>
    </xf>
    <xf numFmtId="164" fontId="8" fillId="24" borderId="10" xfId="0" applyNumberFormat="1" applyFont="1" applyFill="1" applyBorder="1" applyAlignment="1">
      <alignment horizontal="right" wrapText="1"/>
    </xf>
    <xf numFmtId="165" fontId="4" fillId="0" borderId="88" xfId="0" applyNumberFormat="1" applyFont="1" applyBorder="1"/>
    <xf numFmtId="166" fontId="4" fillId="24" borderId="49" xfId="0" applyNumberFormat="1" applyFont="1" applyFill="1" applyBorder="1"/>
    <xf numFmtId="4" fontId="4" fillId="0" borderId="15" xfId="97" applyNumberFormat="1" applyFont="1" applyFill="1" applyBorder="1" applyAlignment="1">
      <alignment horizontal="right" vertical="top"/>
    </xf>
    <xf numFmtId="165" fontId="4" fillId="24" borderId="48" xfId="0" applyNumberFormat="1" applyFont="1" applyFill="1" applyBorder="1"/>
    <xf numFmtId="4" fontId="4" fillId="24" borderId="55" xfId="0" applyNumberFormat="1" applyFont="1" applyFill="1" applyBorder="1"/>
    <xf numFmtId="4" fontId="8" fillId="0" borderId="88" xfId="0" applyNumberFormat="1" applyFont="1" applyFill="1" applyBorder="1"/>
    <xf numFmtId="4" fontId="4" fillId="0" borderId="88" xfId="0" applyNumberFormat="1" applyFont="1" applyFill="1" applyBorder="1"/>
    <xf numFmtId="4" fontId="52" fillId="0" borderId="0" xfId="0" applyNumberFormat="1" applyFont="1"/>
    <xf numFmtId="4" fontId="4" fillId="0" borderId="15" xfId="97" applyNumberFormat="1" applyFont="1" applyFill="1" applyBorder="1" applyAlignment="1">
      <alignment vertical="top"/>
    </xf>
    <xf numFmtId="4" fontId="53" fillId="0" borderId="15" xfId="93" applyNumberFormat="1" applyFont="1" applyFill="1" applyBorder="1"/>
    <xf numFmtId="10" fontId="4" fillId="24" borderId="86" xfId="33" applyNumberFormat="1" applyFont="1" applyFill="1" applyBorder="1"/>
    <xf numFmtId="4" fontId="4" fillId="0" borderId="88" xfId="0" applyNumberFormat="1" applyFont="1" applyBorder="1"/>
    <xf numFmtId="0" fontId="20" fillId="0" borderId="0" xfId="31" applyFont="1" applyFill="1"/>
    <xf numFmtId="4" fontId="54" fillId="0" borderId="41" xfId="91" applyNumberFormat="1" applyFont="1" applyFill="1" applyBorder="1" applyAlignment="1" applyProtection="1">
      <alignment horizontal="center" vertical="center" wrapText="1"/>
      <protection locked="0"/>
    </xf>
    <xf numFmtId="4" fontId="54" fillId="0" borderId="90" xfId="91" applyNumberFormat="1" applyFont="1" applyFill="1" applyBorder="1" applyAlignment="1" applyProtection="1">
      <alignment horizontal="center" vertical="center" wrapText="1"/>
      <protection locked="0"/>
    </xf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166" fontId="4" fillId="0" borderId="32" xfId="0" applyNumberFormat="1" applyFont="1" applyBorder="1"/>
    <xf numFmtId="165" fontId="4" fillId="0" borderId="88" xfId="0" quotePrefix="1" applyNumberFormat="1" applyFont="1" applyBorder="1"/>
    <xf numFmtId="165" fontId="4" fillId="24" borderId="33" xfId="0" applyNumberFormat="1" applyFont="1" applyFill="1" applyBorder="1"/>
    <xf numFmtId="165" fontId="4" fillId="0" borderId="28" xfId="0" applyNumberFormat="1" applyFont="1" applyBorder="1"/>
    <xf numFmtId="165" fontId="4" fillId="24" borderId="32" xfId="0" applyNumberFormat="1" applyFont="1" applyFill="1" applyBorder="1"/>
    <xf numFmtId="166" fontId="4" fillId="24" borderId="32" xfId="0" applyNumberFormat="1" applyFont="1" applyFill="1" applyBorder="1"/>
    <xf numFmtId="165" fontId="4" fillId="0" borderId="28" xfId="81" applyNumberFormat="1" applyFont="1" applyFill="1" applyBorder="1" applyAlignment="1">
      <alignment horizontal="right" vertical="top"/>
    </xf>
    <xf numFmtId="165" fontId="4" fillId="0" borderId="32" xfId="81" applyNumberFormat="1" applyFont="1" applyFill="1" applyBorder="1" applyAlignment="1">
      <alignment horizontal="right" vertical="top"/>
    </xf>
    <xf numFmtId="165" fontId="4" fillId="0" borderId="28" xfId="81" applyNumberFormat="1" applyFont="1" applyBorder="1" applyAlignment="1">
      <alignment horizontal="right" vertical="top"/>
    </xf>
    <xf numFmtId="165" fontId="4" fillId="0" borderId="32" xfId="81" applyNumberFormat="1" applyFont="1" applyBorder="1" applyAlignment="1">
      <alignment horizontal="right" vertical="top"/>
    </xf>
    <xf numFmtId="165" fontId="4" fillId="0" borderId="78" xfId="81" applyNumberFormat="1" applyFont="1" applyBorder="1" applyAlignment="1">
      <alignment horizontal="right" vertical="top"/>
    </xf>
    <xf numFmtId="165" fontId="4" fillId="0" borderId="42" xfId="81" applyNumberFormat="1" applyFont="1" applyBorder="1" applyAlignment="1">
      <alignment horizontal="right" vertical="top"/>
    </xf>
    <xf numFmtId="165" fontId="4" fillId="0" borderId="42" xfId="81" applyNumberFormat="1" applyFont="1" applyFill="1" applyBorder="1" applyAlignment="1">
      <alignment horizontal="right" vertical="top"/>
    </xf>
    <xf numFmtId="165" fontId="4" fillId="0" borderId="78" xfId="81" applyNumberFormat="1" applyFont="1" applyFill="1" applyBorder="1" applyAlignment="1">
      <alignment horizontal="right" vertical="top"/>
    </xf>
    <xf numFmtId="165" fontId="4" fillId="24" borderId="88" xfId="0" applyNumberFormat="1" applyFont="1" applyFill="1" applyBorder="1"/>
    <xf numFmtId="165" fontId="4" fillId="0" borderId="46" xfId="81" applyNumberFormat="1" applyFont="1" applyBorder="1" applyAlignment="1">
      <alignment horizontal="right" vertical="top"/>
    </xf>
    <xf numFmtId="166" fontId="4" fillId="24" borderId="33" xfId="0" applyNumberFormat="1" applyFont="1" applyFill="1" applyBorder="1" applyAlignment="1">
      <alignment horizontal="right"/>
    </xf>
    <xf numFmtId="166" fontId="4" fillId="0" borderId="33" xfId="0" applyNumberFormat="1" applyFont="1" applyFill="1" applyBorder="1" applyAlignment="1">
      <alignment horizontal="right"/>
    </xf>
    <xf numFmtId="165" fontId="4" fillId="0" borderId="47" xfId="0" applyNumberFormat="1" applyFont="1" applyFill="1" applyBorder="1" applyAlignment="1">
      <alignment horizontal="right"/>
    </xf>
    <xf numFmtId="165" fontId="4" fillId="24" borderId="22" xfId="0" applyNumberFormat="1" applyFont="1" applyFill="1" applyBorder="1" applyAlignment="1">
      <alignment horizontal="right"/>
    </xf>
    <xf numFmtId="0" fontId="30" fillId="0" borderId="0" xfId="38"/>
    <xf numFmtId="166" fontId="4" fillId="24" borderId="86" xfId="0" applyNumberFormat="1" applyFont="1" applyFill="1" applyBorder="1" applyAlignment="1">
      <alignment horizontal="right"/>
    </xf>
    <xf numFmtId="4" fontId="47" fillId="0" borderId="0" xfId="98" applyNumberFormat="1"/>
    <xf numFmtId="164" fontId="55" fillId="0" borderId="0" xfId="31" applyNumberFormat="1" applyFont="1"/>
    <xf numFmtId="4" fontId="56" fillId="0" borderId="13" xfId="0" applyNumberFormat="1" applyFont="1" applyFill="1" applyBorder="1"/>
    <xf numFmtId="10" fontId="8" fillId="24" borderId="88" xfId="33" applyNumberFormat="1" applyFont="1" applyFill="1" applyBorder="1"/>
    <xf numFmtId="0" fontId="31" fillId="24" borderId="0" xfId="0" applyFont="1" applyFill="1" applyBorder="1" applyAlignment="1">
      <alignment horizontal="left" vertical="center" wrapText="1"/>
    </xf>
    <xf numFmtId="0" fontId="8" fillId="24" borderId="7" xfId="0" applyFont="1" applyFill="1" applyBorder="1" applyAlignment="1">
      <alignment wrapText="1"/>
    </xf>
    <xf numFmtId="166" fontId="29" fillId="24" borderId="0" xfId="0" applyNumberFormat="1" applyFont="1" applyFill="1" applyBorder="1"/>
    <xf numFmtId="4" fontId="56" fillId="24" borderId="13" xfId="0" applyNumberFormat="1" applyFont="1" applyFill="1" applyBorder="1"/>
    <xf numFmtId="4" fontId="57" fillId="0" borderId="0" xfId="31" applyNumberFormat="1" applyFont="1"/>
    <xf numFmtId="4" fontId="58" fillId="0" borderId="0" xfId="31" applyNumberFormat="1" applyFont="1"/>
    <xf numFmtId="0" fontId="58" fillId="0" borderId="0" xfId="31" applyFont="1" applyAlignment="1">
      <alignment horizontal="center"/>
    </xf>
    <xf numFmtId="4" fontId="4" fillId="24" borderId="79" xfId="0" applyNumberFormat="1" applyFont="1" applyFill="1" applyBorder="1" applyAlignment="1">
      <alignment horizontal="right" wrapText="1"/>
    </xf>
    <xf numFmtId="4" fontId="8" fillId="24" borderId="21" xfId="0" applyNumberFormat="1" applyFont="1" applyFill="1" applyBorder="1" applyAlignment="1">
      <alignment horizontal="right" wrapText="1"/>
    </xf>
    <xf numFmtId="4" fontId="4" fillId="0" borderId="79" xfId="0" applyNumberFormat="1" applyFont="1" applyFill="1" applyBorder="1" applyAlignment="1">
      <alignment horizontal="right" wrapText="1"/>
    </xf>
    <xf numFmtId="4" fontId="4" fillId="24" borderId="86" xfId="0" applyNumberFormat="1" applyFont="1" applyFill="1" applyBorder="1" applyAlignment="1">
      <alignment horizontal="right" wrapText="1"/>
    </xf>
    <xf numFmtId="4" fontId="8" fillId="24" borderId="79" xfId="0" applyNumberFormat="1" applyFont="1" applyFill="1" applyBorder="1" applyAlignment="1">
      <alignment horizontal="right" wrapText="1"/>
    </xf>
    <xf numFmtId="4" fontId="4" fillId="24" borderId="33" xfId="0" applyNumberFormat="1" applyFont="1" applyFill="1" applyBorder="1" applyAlignment="1">
      <alignment horizontal="right" wrapText="1"/>
    </xf>
    <xf numFmtId="4" fontId="8" fillId="24" borderId="9" xfId="0" applyNumberFormat="1" applyFont="1" applyFill="1" applyBorder="1" applyAlignment="1">
      <alignment horizontal="right" wrapText="1"/>
    </xf>
    <xf numFmtId="174" fontId="8" fillId="0" borderId="34" xfId="0" applyNumberFormat="1" applyFont="1" applyFill="1" applyBorder="1" applyAlignment="1">
      <alignment horizontal="right" wrapText="1"/>
    </xf>
    <xf numFmtId="174" fontId="8" fillId="0" borderId="52" xfId="0" applyNumberFormat="1" applyFont="1" applyFill="1" applyBorder="1" applyAlignment="1">
      <alignment horizontal="right" wrapText="1"/>
    </xf>
    <xf numFmtId="174" fontId="8" fillId="0" borderId="22" xfId="0" applyNumberFormat="1" applyFont="1" applyFill="1" applyBorder="1" applyAlignment="1">
      <alignment horizontal="right" wrapText="1"/>
    </xf>
    <xf numFmtId="174" fontId="4" fillId="0" borderId="22" xfId="0" applyNumberFormat="1" applyFont="1" applyFill="1" applyBorder="1" applyAlignment="1">
      <alignment horizontal="right" wrapText="1"/>
    </xf>
    <xf numFmtId="174" fontId="4" fillId="0" borderId="47" xfId="0" applyNumberFormat="1" applyFont="1" applyFill="1" applyBorder="1" applyAlignment="1">
      <alignment horizontal="right" wrapText="1"/>
    </xf>
    <xf numFmtId="174" fontId="8" fillId="0" borderId="47" xfId="0" applyNumberFormat="1" applyFont="1" applyFill="1" applyBorder="1" applyAlignment="1">
      <alignment horizontal="right" wrapText="1"/>
    </xf>
    <xf numFmtId="174" fontId="8" fillId="0" borderId="9" xfId="0" applyNumberFormat="1" applyFont="1" applyFill="1" applyBorder="1" applyAlignment="1">
      <alignment horizontal="right" wrapText="1"/>
    </xf>
    <xf numFmtId="165" fontId="4" fillId="0" borderId="22" xfId="0" applyNumberFormat="1" applyFont="1" applyFill="1" applyBorder="1"/>
    <xf numFmtId="165" fontId="4" fillId="0" borderId="47" xfId="0" applyNumberFormat="1" applyFont="1" applyFill="1" applyBorder="1"/>
    <xf numFmtId="4" fontId="4" fillId="0" borderId="52" xfId="0" applyNumberFormat="1" applyFont="1" applyFill="1" applyBorder="1"/>
    <xf numFmtId="166" fontId="4" fillId="0" borderId="47" xfId="0" applyNumberFormat="1" applyFont="1" applyFill="1" applyBorder="1"/>
    <xf numFmtId="166" fontId="4" fillId="0" borderId="32" xfId="0" applyNumberFormat="1" applyFont="1" applyFill="1" applyBorder="1"/>
    <xf numFmtId="174" fontId="8" fillId="24" borderId="20" xfId="0" applyNumberFormat="1" applyFont="1" applyFill="1" applyBorder="1" applyAlignment="1">
      <alignment horizontal="right" wrapText="1"/>
    </xf>
    <xf numFmtId="174" fontId="8" fillId="24" borderId="21" xfId="0" applyNumberFormat="1" applyFont="1" applyFill="1" applyBorder="1" applyAlignment="1">
      <alignment horizontal="right" wrapText="1"/>
    </xf>
    <xf numFmtId="174" fontId="4" fillId="0" borderId="73" xfId="0" applyNumberFormat="1" applyFont="1" applyFill="1" applyBorder="1" applyAlignment="1">
      <alignment horizontal="right" wrapText="1"/>
    </xf>
    <xf numFmtId="174" fontId="4" fillId="0" borderId="79" xfId="0" applyNumberFormat="1" applyFont="1" applyFill="1" applyBorder="1" applyAlignment="1">
      <alignment horizontal="right" wrapText="1"/>
    </xf>
    <xf numFmtId="174" fontId="4" fillId="24" borderId="73" xfId="0" applyNumberFormat="1" applyFont="1" applyFill="1" applyBorder="1" applyAlignment="1">
      <alignment horizontal="right" wrapText="1"/>
    </xf>
    <xf numFmtId="174" fontId="4" fillId="24" borderId="79" xfId="0" applyNumberFormat="1" applyFont="1" applyFill="1" applyBorder="1" applyAlignment="1">
      <alignment horizontal="right" wrapText="1"/>
    </xf>
    <xf numFmtId="174" fontId="4" fillId="24" borderId="74" xfId="0" applyNumberFormat="1" applyFont="1" applyFill="1" applyBorder="1" applyAlignment="1">
      <alignment horizontal="right" wrapText="1"/>
    </xf>
    <xf numFmtId="174" fontId="4" fillId="24" borderId="86" xfId="0" applyNumberFormat="1" applyFont="1" applyFill="1" applyBorder="1" applyAlignment="1">
      <alignment horizontal="right" wrapText="1"/>
    </xf>
    <xf numFmtId="174" fontId="8" fillId="24" borderId="73" xfId="0" applyNumberFormat="1" applyFont="1" applyFill="1" applyBorder="1" applyAlignment="1">
      <alignment horizontal="right" wrapText="1"/>
    </xf>
    <xf numFmtId="174" fontId="8" fillId="24" borderId="79" xfId="0" applyNumberFormat="1" applyFont="1" applyFill="1" applyBorder="1" applyAlignment="1">
      <alignment horizontal="right" wrapText="1"/>
    </xf>
    <xf numFmtId="174" fontId="4" fillId="24" borderId="16" xfId="0" applyNumberFormat="1" applyFont="1" applyFill="1" applyBorder="1" applyAlignment="1">
      <alignment horizontal="right" wrapText="1"/>
    </xf>
    <xf numFmtId="174" fontId="4" fillId="24" borderId="33" xfId="0" applyNumberFormat="1" applyFont="1" applyFill="1" applyBorder="1" applyAlignment="1">
      <alignment horizontal="right" wrapText="1"/>
    </xf>
    <xf numFmtId="174" fontId="8" fillId="24" borderId="18" xfId="0" applyNumberFormat="1" applyFont="1" applyFill="1" applyBorder="1" applyAlignment="1">
      <alignment horizontal="right" wrapText="1"/>
    </xf>
    <xf numFmtId="174" fontId="8" fillId="24" borderId="9" xfId="0" applyNumberFormat="1" applyFont="1" applyFill="1" applyBorder="1" applyAlignment="1">
      <alignment horizontal="right" wrapText="1"/>
    </xf>
    <xf numFmtId="174" fontId="8" fillId="24" borderId="50" xfId="0" applyNumberFormat="1" applyFont="1" applyFill="1" applyBorder="1" applyAlignment="1">
      <alignment horizontal="right" wrapText="1"/>
    </xf>
    <xf numFmtId="174" fontId="8" fillId="24" borderId="34" xfId="0" applyNumberFormat="1" applyFont="1" applyFill="1" applyBorder="1" applyAlignment="1">
      <alignment horizontal="right" wrapText="1"/>
    </xf>
    <xf numFmtId="174" fontId="8" fillId="24" borderId="48" xfId="0" applyNumberFormat="1" applyFont="1" applyFill="1" applyBorder="1" applyAlignment="1">
      <alignment horizontal="right" wrapText="1"/>
    </xf>
    <xf numFmtId="174" fontId="4" fillId="24" borderId="48" xfId="0" applyNumberFormat="1" applyFont="1" applyFill="1" applyBorder="1" applyAlignment="1">
      <alignment horizontal="right" wrapText="1"/>
    </xf>
    <xf numFmtId="174" fontId="4" fillId="24" borderId="56" xfId="0" applyNumberFormat="1" applyFont="1" applyFill="1" applyBorder="1" applyAlignment="1">
      <alignment horizontal="right" wrapText="1"/>
    </xf>
    <xf numFmtId="174" fontId="8" fillId="24" borderId="56" xfId="0" applyNumberFormat="1" applyFont="1" applyFill="1" applyBorder="1" applyAlignment="1">
      <alignment horizontal="right" wrapText="1"/>
    </xf>
    <xf numFmtId="174" fontId="8" fillId="24" borderId="47" xfId="0" applyNumberFormat="1" applyFont="1" applyFill="1" applyBorder="1" applyAlignment="1">
      <alignment horizontal="right" wrapText="1"/>
    </xf>
    <xf numFmtId="174" fontId="8" fillId="24" borderId="10" xfId="0" applyNumberFormat="1" applyFont="1" applyFill="1" applyBorder="1" applyAlignment="1">
      <alignment horizontal="right" wrapText="1"/>
    </xf>
    <xf numFmtId="4" fontId="8" fillId="24" borderId="50" xfId="0" applyNumberFormat="1" applyFont="1" applyFill="1" applyBorder="1" applyAlignment="1">
      <alignment horizontal="right" wrapText="1"/>
    </xf>
    <xf numFmtId="4" fontId="8" fillId="24" borderId="34" xfId="0" applyNumberFormat="1" applyFont="1" applyFill="1" applyBorder="1" applyAlignment="1">
      <alignment horizontal="right" wrapText="1"/>
    </xf>
    <xf numFmtId="4" fontId="8" fillId="24" borderId="48" xfId="0" applyNumberFormat="1" applyFont="1" applyFill="1" applyBorder="1" applyAlignment="1">
      <alignment horizontal="right" wrapText="1"/>
    </xf>
    <xf numFmtId="4" fontId="4" fillId="24" borderId="48" xfId="0" applyNumberFormat="1" applyFont="1" applyFill="1" applyBorder="1" applyAlignment="1">
      <alignment horizontal="right" wrapText="1"/>
    </xf>
    <xf numFmtId="4" fontId="4" fillId="24" borderId="56" xfId="0" applyNumberFormat="1" applyFont="1" applyFill="1" applyBorder="1" applyAlignment="1">
      <alignment horizontal="right" wrapText="1"/>
    </xf>
    <xf numFmtId="4" fontId="8" fillId="24" borderId="56" xfId="0" applyNumberFormat="1" applyFont="1" applyFill="1" applyBorder="1" applyAlignment="1">
      <alignment horizontal="right" wrapText="1"/>
    </xf>
    <xf numFmtId="4" fontId="8" fillId="24" borderId="47" xfId="0" applyNumberFormat="1" applyFont="1" applyFill="1" applyBorder="1" applyAlignment="1">
      <alignment horizontal="right" wrapText="1"/>
    </xf>
    <xf numFmtId="4" fontId="8" fillId="24" borderId="10" xfId="0" applyNumberFormat="1" applyFont="1" applyFill="1" applyBorder="1" applyAlignment="1">
      <alignment horizontal="right" wrapText="1"/>
    </xf>
    <xf numFmtId="174" fontId="5" fillId="24" borderId="0" xfId="0" applyNumberFormat="1" applyFont="1" applyFill="1" applyBorder="1" applyAlignment="1">
      <alignment wrapText="1"/>
    </xf>
    <xf numFmtId="174" fontId="4" fillId="24" borderId="0" xfId="0" applyNumberFormat="1" applyFont="1" applyFill="1" applyBorder="1" applyAlignment="1">
      <alignment wrapText="1"/>
    </xf>
    <xf numFmtId="174" fontId="8" fillId="24" borderId="11" xfId="0" applyNumberFormat="1" applyFont="1" applyFill="1" applyBorder="1" applyAlignment="1">
      <alignment horizontal="right" wrapText="1"/>
    </xf>
    <xf numFmtId="174" fontId="8" fillId="0" borderId="73" xfId="0" applyNumberFormat="1" applyFont="1" applyFill="1" applyBorder="1" applyAlignment="1">
      <alignment horizontal="right" wrapText="1"/>
    </xf>
    <xf numFmtId="174" fontId="4" fillId="0" borderId="74" xfId="0" applyNumberFormat="1" applyFont="1" applyFill="1" applyBorder="1" applyAlignment="1">
      <alignment horizontal="right" wrapText="1"/>
    </xf>
    <xf numFmtId="174" fontId="8" fillId="24" borderId="74" xfId="0" applyNumberFormat="1" applyFont="1" applyFill="1" applyBorder="1" applyAlignment="1">
      <alignment horizontal="right" wrapText="1"/>
    </xf>
    <xf numFmtId="4" fontId="8" fillId="0" borderId="52" xfId="0" applyNumberFormat="1" applyFont="1" applyFill="1" applyBorder="1" applyAlignment="1">
      <alignment horizontal="right" wrapText="1"/>
    </xf>
    <xf numFmtId="4" fontId="8" fillId="0" borderId="22" xfId="0" applyNumberFormat="1" applyFont="1" applyFill="1" applyBorder="1" applyAlignment="1">
      <alignment horizontal="right" wrapText="1"/>
    </xf>
    <xf numFmtId="4" fontId="4" fillId="0" borderId="22" xfId="0" applyNumberFormat="1" applyFont="1" applyFill="1" applyBorder="1" applyAlignment="1">
      <alignment horizontal="right" wrapText="1"/>
    </xf>
    <xf numFmtId="4" fontId="4" fillId="0" borderId="47" xfId="0" applyNumberFormat="1" applyFont="1" applyFill="1" applyBorder="1" applyAlignment="1">
      <alignment horizontal="right" wrapText="1"/>
    </xf>
    <xf numFmtId="4" fontId="4" fillId="0" borderId="48" xfId="0" applyNumberFormat="1" applyFont="1" applyFill="1" applyBorder="1" applyAlignment="1">
      <alignment horizontal="right" wrapText="1"/>
    </xf>
    <xf numFmtId="165" fontId="4" fillId="24" borderId="75" xfId="0" applyNumberFormat="1" applyFont="1" applyFill="1" applyBorder="1"/>
    <xf numFmtId="4" fontId="4" fillId="24" borderId="77" xfId="0" applyNumberFormat="1" applyFont="1" applyFill="1" applyBorder="1"/>
    <xf numFmtId="4" fontId="4" fillId="24" borderId="75" xfId="0" applyNumberFormat="1" applyFont="1" applyFill="1" applyBorder="1"/>
    <xf numFmtId="165" fontId="4" fillId="24" borderId="76" xfId="0" applyNumberFormat="1" applyFont="1" applyFill="1" applyBorder="1"/>
    <xf numFmtId="165" fontId="4" fillId="0" borderId="74" xfId="0" applyNumberFormat="1" applyFont="1" applyBorder="1"/>
    <xf numFmtId="165" fontId="4" fillId="0" borderId="77" xfId="0" applyNumberFormat="1" applyFont="1" applyBorder="1"/>
    <xf numFmtId="165" fontId="4" fillId="0" borderId="16" xfId="0" applyNumberFormat="1" applyFont="1" applyBorder="1"/>
    <xf numFmtId="165" fontId="4" fillId="0" borderId="42" xfId="81" applyNumberFormat="1" applyBorder="1" applyAlignment="1">
      <alignment horizontal="right" vertical="top"/>
    </xf>
    <xf numFmtId="165" fontId="4" fillId="24" borderId="86" xfId="0" applyNumberFormat="1" applyFont="1" applyFill="1" applyBorder="1"/>
    <xf numFmtId="15" fontId="8" fillId="0" borderId="18" xfId="0" quotePrefix="1" applyNumberFormat="1" applyFont="1" applyFill="1" applyBorder="1" applyAlignment="1">
      <alignment horizontal="center" wrapText="1"/>
    </xf>
    <xf numFmtId="4" fontId="8" fillId="0" borderId="20" xfId="0" applyNumberFormat="1" applyFont="1" applyFill="1" applyBorder="1" applyAlignment="1">
      <alignment horizontal="right" wrapText="1"/>
    </xf>
    <xf numFmtId="4" fontId="4" fillId="0" borderId="73" xfId="0" applyNumberFormat="1" applyFont="1" applyFill="1" applyBorder="1" applyAlignment="1">
      <alignment horizontal="right" wrapText="1"/>
    </xf>
    <xf numFmtId="4" fontId="4" fillId="0" borderId="74" xfId="0" applyNumberFormat="1" applyFont="1" applyFill="1" applyBorder="1" applyAlignment="1">
      <alignment horizontal="right" wrapText="1"/>
    </xf>
    <xf numFmtId="4" fontId="8" fillId="0" borderId="73" xfId="0" applyNumberFormat="1" applyFont="1" applyFill="1" applyBorder="1" applyAlignment="1">
      <alignment horizontal="right" wrapText="1"/>
    </xf>
    <xf numFmtId="4" fontId="4" fillId="0" borderId="16" xfId="0" applyNumberFormat="1" applyFont="1" applyFill="1" applyBorder="1" applyAlignment="1">
      <alignment horizontal="right" wrapText="1"/>
    </xf>
    <xf numFmtId="4" fontId="8" fillId="0" borderId="18" xfId="0" applyNumberFormat="1" applyFont="1" applyFill="1" applyBorder="1" applyAlignment="1">
      <alignment horizontal="right" wrapText="1"/>
    </xf>
    <xf numFmtId="174" fontId="8" fillId="0" borderId="50" xfId="0" applyNumberFormat="1" applyFont="1" applyFill="1" applyBorder="1" applyAlignment="1">
      <alignment horizontal="right" wrapText="1"/>
    </xf>
    <xf numFmtId="174" fontId="8" fillId="0" borderId="48" xfId="0" applyNumberFormat="1" applyFont="1" applyFill="1" applyBorder="1" applyAlignment="1">
      <alignment horizontal="right" wrapText="1"/>
    </xf>
    <xf numFmtId="174" fontId="4" fillId="0" borderId="48" xfId="0" applyNumberFormat="1" applyFont="1" applyFill="1" applyBorder="1" applyAlignment="1">
      <alignment horizontal="right" wrapText="1"/>
    </xf>
    <xf numFmtId="174" fontId="4" fillId="0" borderId="56" xfId="0" applyNumberFormat="1" applyFont="1" applyFill="1" applyBorder="1" applyAlignment="1">
      <alignment horizontal="right" wrapText="1"/>
    </xf>
    <xf numFmtId="174" fontId="8" fillId="0" borderId="56" xfId="0" applyNumberFormat="1" applyFont="1" applyFill="1" applyBorder="1" applyAlignment="1">
      <alignment horizontal="right" wrapText="1"/>
    </xf>
    <xf numFmtId="174" fontId="8" fillId="0" borderId="10" xfId="0" applyNumberFormat="1" applyFont="1" applyFill="1" applyBorder="1" applyAlignment="1">
      <alignment horizontal="right" wrapText="1"/>
    </xf>
    <xf numFmtId="165" fontId="4" fillId="0" borderId="48" xfId="0" applyNumberFormat="1" applyFont="1" applyFill="1" applyBorder="1"/>
    <xf numFmtId="4" fontId="4" fillId="0" borderId="55" xfId="0" applyNumberFormat="1" applyFont="1" applyFill="1" applyBorder="1"/>
    <xf numFmtId="166" fontId="4" fillId="0" borderId="49" xfId="0" applyNumberFormat="1" applyFont="1" applyFill="1" applyBorder="1"/>
    <xf numFmtId="174" fontId="4" fillId="24" borderId="88" xfId="0" applyNumberFormat="1" applyFont="1" applyFill="1" applyBorder="1" applyAlignment="1">
      <alignment horizontal="right" wrapText="1"/>
    </xf>
    <xf numFmtId="174" fontId="4" fillId="24" borderId="87" xfId="0" applyNumberFormat="1" applyFont="1" applyFill="1" applyBorder="1" applyAlignment="1">
      <alignment horizontal="right" wrapText="1"/>
    </xf>
    <xf numFmtId="174" fontId="8" fillId="24" borderId="88" xfId="0" applyNumberFormat="1" applyFont="1" applyFill="1" applyBorder="1" applyAlignment="1">
      <alignment horizontal="right" wrapText="1"/>
    </xf>
    <xf numFmtId="174" fontId="4" fillId="24" borderId="91" xfId="0" applyNumberFormat="1" applyFont="1" applyFill="1" applyBorder="1" applyAlignment="1">
      <alignment horizontal="right" wrapText="1"/>
    </xf>
    <xf numFmtId="174" fontId="8" fillId="24" borderId="89" xfId="0" applyNumberFormat="1" applyFont="1" applyFill="1" applyBorder="1" applyAlignment="1">
      <alignment horizontal="right" wrapText="1"/>
    </xf>
    <xf numFmtId="165" fontId="4" fillId="0" borderId="79" xfId="0" applyNumberFormat="1" applyFont="1" applyBorder="1"/>
    <xf numFmtId="165" fontId="4" fillId="24" borderId="73" xfId="0" applyNumberFormat="1" applyFont="1" applyFill="1" applyBorder="1"/>
    <xf numFmtId="165" fontId="4" fillId="0" borderId="73" xfId="0" applyNumberFormat="1" applyFont="1" applyBorder="1"/>
    <xf numFmtId="166" fontId="4" fillId="24" borderId="92" xfId="0" applyNumberFormat="1" applyFont="1" applyFill="1" applyBorder="1"/>
    <xf numFmtId="166" fontId="4" fillId="24" borderId="88" xfId="0" applyNumberFormat="1" applyFont="1" applyFill="1" applyBorder="1"/>
    <xf numFmtId="174" fontId="8" fillId="24" borderId="93" xfId="0" applyNumberFormat="1" applyFont="1" applyFill="1" applyBorder="1" applyAlignment="1">
      <alignment horizontal="right" wrapText="1"/>
    </xf>
    <xf numFmtId="174" fontId="4" fillId="0" borderId="88" xfId="0" applyNumberFormat="1" applyFont="1" applyFill="1" applyBorder="1" applyAlignment="1">
      <alignment horizontal="right" wrapText="1"/>
    </xf>
    <xf numFmtId="0" fontId="8" fillId="24" borderId="26" xfId="0" applyFont="1" applyFill="1" applyBorder="1" applyAlignment="1">
      <alignment horizontal="center" wrapText="1"/>
    </xf>
    <xf numFmtId="0" fontId="8" fillId="24" borderId="50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left"/>
    </xf>
    <xf numFmtId="0" fontId="31" fillId="24" borderId="0" xfId="0" applyFont="1" applyFill="1" applyBorder="1" applyAlignment="1">
      <alignment horizontal="left" vertical="center" wrapText="1"/>
    </xf>
    <xf numFmtId="0" fontId="6" fillId="24" borderId="44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4" fillId="0" borderId="0" xfId="0" applyFont="1" applyAlignment="1"/>
    <xf numFmtId="0" fontId="4" fillId="0" borderId="44" xfId="0" applyFont="1" applyBorder="1" applyAlignment="1">
      <alignment horizontal="center" wrapText="1"/>
    </xf>
    <xf numFmtId="0" fontId="8" fillId="24" borderId="7" xfId="0" applyFont="1" applyFill="1" applyBorder="1" applyAlignment="1">
      <alignment wrapText="1"/>
    </xf>
    <xf numFmtId="0" fontId="8" fillId="24" borderId="8" xfId="0" applyFont="1" applyFill="1" applyBorder="1" applyAlignment="1">
      <alignment wrapText="1"/>
    </xf>
    <xf numFmtId="0" fontId="0" fillId="0" borderId="0" xfId="0" applyAlignment="1"/>
    <xf numFmtId="0" fontId="0" fillId="0" borderId="44" xfId="0" applyBorder="1" applyAlignment="1">
      <alignment horizontal="center" wrapText="1"/>
    </xf>
    <xf numFmtId="0" fontId="8" fillId="24" borderId="51" xfId="0" applyFont="1" applyFill="1" applyBorder="1" applyAlignment="1">
      <alignment wrapText="1"/>
    </xf>
    <xf numFmtId="0" fontId="8" fillId="24" borderId="5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8" fillId="24" borderId="7" xfId="0" applyFont="1" applyFill="1" applyBorder="1" applyAlignment="1">
      <alignment horizontal="center" wrapText="1"/>
    </xf>
    <xf numFmtId="0" fontId="8" fillId="24" borderId="10" xfId="0" applyFont="1" applyFill="1" applyBorder="1" applyAlignment="1">
      <alignment horizontal="center" wrapText="1"/>
    </xf>
    <xf numFmtId="0" fontId="8" fillId="24" borderId="10" xfId="0" applyFont="1" applyFill="1" applyBorder="1" applyAlignment="1">
      <alignment wrapText="1"/>
    </xf>
    <xf numFmtId="174" fontId="6" fillId="24" borderId="44" xfId="0" applyNumberFormat="1" applyFont="1" applyFill="1" applyBorder="1" applyAlignment="1">
      <alignment horizontal="center" wrapText="1"/>
    </xf>
  </cellXfs>
  <cellStyles count="99">
    <cellStyle name="=D:\WINNT\SYSTEM32\COMMAND.COM" xfId="61" xr:uid="{00000000-0005-0000-0000-000000000000}"/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D000000}"/>
    <cellStyle name="40% - Accent2" xfId="8" xr:uid="{00000000-0005-0000-0000-00000E000000}"/>
    <cellStyle name="40% - Accent3" xfId="9" xr:uid="{00000000-0005-0000-0000-00000F000000}"/>
    <cellStyle name="40% - Accent4" xfId="10" xr:uid="{00000000-0005-0000-0000-000010000000}"/>
    <cellStyle name="40% - Accent5" xfId="11" xr:uid="{00000000-0005-0000-0000-000011000000}"/>
    <cellStyle name="40% - Accent6" xfId="12" xr:uid="{00000000-0005-0000-0000-000012000000}"/>
    <cellStyle name="60% - Accent1" xfId="13" xr:uid="{00000000-0005-0000-0000-000019000000}"/>
    <cellStyle name="60% - Accent2" xfId="14" xr:uid="{00000000-0005-0000-0000-00001A000000}"/>
    <cellStyle name="60% - Accent3" xfId="15" xr:uid="{00000000-0005-0000-0000-00001B000000}"/>
    <cellStyle name="60% - Accent4" xfId="16" xr:uid="{00000000-0005-0000-0000-00001C000000}"/>
    <cellStyle name="60% - Accent5" xfId="17" xr:uid="{00000000-0005-0000-0000-00001D000000}"/>
    <cellStyle name="60% - Accent6" xfId="18" xr:uid="{00000000-0005-0000-0000-00001E000000}"/>
    <cellStyle name="Accent1" xfId="19" xr:uid="{00000000-0005-0000-0000-000025000000}"/>
    <cellStyle name="Accent2" xfId="20" xr:uid="{00000000-0005-0000-0000-000026000000}"/>
    <cellStyle name="Accent3" xfId="21" xr:uid="{00000000-0005-0000-0000-000027000000}"/>
    <cellStyle name="Accent4" xfId="22" xr:uid="{00000000-0005-0000-0000-000028000000}"/>
    <cellStyle name="Accent5" xfId="23" xr:uid="{00000000-0005-0000-0000-000029000000}"/>
    <cellStyle name="Accent6" xfId="24" xr:uid="{00000000-0005-0000-0000-00002A000000}"/>
    <cellStyle name="Bad" xfId="37" xr:uid="{00000000-0005-0000-0000-000031000000}"/>
    <cellStyle name="Calculation" xfId="32" xr:uid="{00000000-0005-0000-0000-000032000000}"/>
    <cellStyle name="Check Cell" xfId="25" xr:uid="{00000000-0005-0000-0000-000033000000}"/>
    <cellStyle name="Dane wejściowe" xfId="52" builtinId="20" customBuiltin="1"/>
    <cellStyle name="Dane wejściowe 2" xfId="43" xr:uid="{00000000-0005-0000-0000-000035000000}"/>
    <cellStyle name="Dane wejściowe 2 2" xfId="49" xr:uid="{00000000-0005-0000-0000-000036000000}"/>
    <cellStyle name="Dane wejściowe 2 2 2" xfId="62" xr:uid="{00000000-0005-0000-0000-000037000000}"/>
    <cellStyle name="Dane wejściowe 2 3" xfId="72" xr:uid="{00000000-0005-0000-0000-000038000000}"/>
    <cellStyle name="Dane wejściowe 3" xfId="77" xr:uid="{00000000-0005-0000-0000-000039000000}"/>
    <cellStyle name="Dane wyjściowe" xfId="54" builtinId="21" customBuiltin="1"/>
    <cellStyle name="Dane wyjściowe 2" xfId="42" xr:uid="{00000000-0005-0000-0000-00003B000000}"/>
    <cellStyle name="Dane wyjściowe 2 2" xfId="48" xr:uid="{00000000-0005-0000-0000-00003C000000}"/>
    <cellStyle name="Dane wyjściowe 2 2 2" xfId="63" xr:uid="{00000000-0005-0000-0000-00003D000000}"/>
    <cellStyle name="Dane wyjściowe 2 3" xfId="73" xr:uid="{00000000-0005-0000-0000-00003E000000}"/>
    <cellStyle name="Dane wyjściowe 3" xfId="68" xr:uid="{00000000-0005-0000-0000-00003F000000}"/>
    <cellStyle name="Dobry" xfId="51" builtinId="26" customBuiltin="1"/>
    <cellStyle name="Dziesiętny" xfId="86" builtinId="3"/>
    <cellStyle name="Dziesiętny 2" xfId="94" xr:uid="{00000000-0005-0000-0000-000042000000}"/>
    <cellStyle name="Explanatory Text" xfId="34" xr:uid="{00000000-0005-0000-0000-000043000000}"/>
    <cellStyle name="Heading 1" xfId="26" xr:uid="{00000000-0005-0000-0000-000045000000}"/>
    <cellStyle name="Heading 2" xfId="27" xr:uid="{00000000-0005-0000-0000-000046000000}"/>
    <cellStyle name="Heading 3" xfId="28" xr:uid="{00000000-0005-0000-0000-000047000000}"/>
    <cellStyle name="Heading 4" xfId="29" xr:uid="{00000000-0005-0000-0000-000048000000}"/>
    <cellStyle name="Komórka połączona" xfId="53" builtinId="24" customBuiltin="1"/>
    <cellStyle name="Neutral" xfId="30" xr:uid="{00000000-0005-0000-0000-000051000000}"/>
    <cellStyle name="Normalny" xfId="0" builtinId="0"/>
    <cellStyle name="Normalny 10" xfId="93" xr:uid="{00000000-0005-0000-0000-000055000000}"/>
    <cellStyle name="Normalny 2" xfId="38" xr:uid="{00000000-0005-0000-0000-000056000000}"/>
    <cellStyle name="Normalny 2 2" xfId="83" xr:uid="{00000000-0005-0000-0000-000057000000}"/>
    <cellStyle name="Normalny 2 2 2" xfId="91" xr:uid="{00000000-0005-0000-0000-000058000000}"/>
    <cellStyle name="Normalny 2 3" xfId="95" xr:uid="{00000000-0005-0000-0000-000059000000}"/>
    <cellStyle name="Normalny 2 4" xfId="89" xr:uid="{00000000-0005-0000-0000-00005A000000}"/>
    <cellStyle name="Normalny 2_1.2" xfId="96" xr:uid="{00000000-0005-0000-0000-00005B000000}"/>
    <cellStyle name="Normalny 3" xfId="44" xr:uid="{00000000-0005-0000-0000-00005C000000}"/>
    <cellStyle name="Normalny 3 2" xfId="82" xr:uid="{00000000-0005-0000-0000-00005D000000}"/>
    <cellStyle name="Normalny 3 3" xfId="92" xr:uid="{00000000-0005-0000-0000-00005E000000}"/>
    <cellStyle name="Normalny 4" xfId="50" xr:uid="{00000000-0005-0000-0000-00005F000000}"/>
    <cellStyle name="Normalny 4 2" xfId="71" xr:uid="{00000000-0005-0000-0000-000060000000}"/>
    <cellStyle name="Normalny 4 3" xfId="88" xr:uid="{00000000-0005-0000-0000-000061000000}"/>
    <cellStyle name="Normalny 5" xfId="57" xr:uid="{00000000-0005-0000-0000-000062000000}"/>
    <cellStyle name="Normalny 5 2" xfId="78" xr:uid="{00000000-0005-0000-0000-000063000000}"/>
    <cellStyle name="Normalny 50" xfId="90" xr:uid="{00000000-0005-0000-0000-000064000000}"/>
    <cellStyle name="Normalny 6" xfId="60" xr:uid="{00000000-0005-0000-0000-000065000000}"/>
    <cellStyle name="Normalny 7" xfId="80" xr:uid="{00000000-0005-0000-0000-000066000000}"/>
    <cellStyle name="Normalny 8" xfId="84" xr:uid="{00000000-0005-0000-0000-000067000000}"/>
    <cellStyle name="Normalny 9" xfId="87" xr:uid="{00000000-0005-0000-0000-000068000000}"/>
    <cellStyle name="Normalny_Arkusz1" xfId="31" xr:uid="{00000000-0005-0000-0000-000069000000}"/>
    <cellStyle name="Normalny_Arkusz1 2" xfId="81" xr:uid="{00000000-0005-0000-0000-00006A000000}"/>
    <cellStyle name="Normalny_Arkusz1_1" xfId="97" xr:uid="{00000000-0005-0000-0000-00006B000000}"/>
    <cellStyle name="Normalny_obrotowka_062022" xfId="98" xr:uid="{00000000-0005-0000-0000-00006C000000}"/>
    <cellStyle name="Note" xfId="36" xr:uid="{00000000-0005-0000-0000-00006D000000}"/>
    <cellStyle name="Note 2" xfId="58" xr:uid="{00000000-0005-0000-0000-00006E000000}"/>
    <cellStyle name="Note 2 2" xfId="79" xr:uid="{00000000-0005-0000-0000-00006F000000}"/>
    <cellStyle name="Note 3" xfId="59" xr:uid="{00000000-0005-0000-0000-000070000000}"/>
    <cellStyle name="Obliczenia 2" xfId="41" xr:uid="{00000000-0005-0000-0000-000072000000}"/>
    <cellStyle name="Obliczenia 2 2" xfId="47" xr:uid="{00000000-0005-0000-0000-000073000000}"/>
    <cellStyle name="Obliczenia 2 2 2" xfId="64" xr:uid="{00000000-0005-0000-0000-000074000000}"/>
    <cellStyle name="Obliczenia 2 3" xfId="74" xr:uid="{00000000-0005-0000-0000-000075000000}"/>
    <cellStyle name="Obliczenia 3" xfId="76" xr:uid="{00000000-0005-0000-0000-000076000000}"/>
    <cellStyle name="Procentowy" xfId="33" builtinId="5"/>
    <cellStyle name="Procentowy 2" xfId="85" xr:uid="{00000000-0005-0000-0000-000079000000}"/>
    <cellStyle name="Suma" xfId="55" builtinId="25" customBuiltin="1"/>
    <cellStyle name="Suma 2" xfId="40" xr:uid="{00000000-0005-0000-0000-00007B000000}"/>
    <cellStyle name="Suma 2 2" xfId="46" xr:uid="{00000000-0005-0000-0000-00007C000000}"/>
    <cellStyle name="Suma 2 2 2" xfId="65" xr:uid="{00000000-0005-0000-0000-00007D000000}"/>
    <cellStyle name="Suma 2 3" xfId="67" xr:uid="{00000000-0005-0000-0000-00007E000000}"/>
    <cellStyle name="Suma 3" xfId="75" xr:uid="{00000000-0005-0000-0000-00007F000000}"/>
    <cellStyle name="Tekst ostrzeżenia" xfId="56" builtinId="11" customBuiltin="1"/>
    <cellStyle name="Title" xfId="35" xr:uid="{00000000-0005-0000-0000-000082000000}"/>
    <cellStyle name="Uwaga 2" xfId="39" xr:uid="{00000000-0005-0000-0000-000086000000}"/>
    <cellStyle name="Uwaga 2 2" xfId="45" xr:uid="{00000000-0005-0000-0000-000087000000}"/>
    <cellStyle name="Uwaga 2 2 2" xfId="66" xr:uid="{00000000-0005-0000-0000-000088000000}"/>
    <cellStyle name="Uwaga 2 3" xfId="70" xr:uid="{00000000-0005-0000-0000-000089000000}"/>
    <cellStyle name="Uwaga 3" xfId="69" xr:uid="{00000000-0005-0000-0000-00008A000000}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W81"/>
  <sheetViews>
    <sheetView tabSelected="1" zoomScale="80" zoomScaleNormal="80" workbookViewId="0">
      <selection activeCell="C35" sqref="C35"/>
    </sheetView>
  </sheetViews>
  <sheetFormatPr defaultRowHeight="12.75"/>
  <cols>
    <col min="1" max="1" width="9.140625" style="85"/>
    <col min="2" max="2" width="5.28515625" style="85" bestFit="1" customWidth="1"/>
    <col min="3" max="3" width="75.42578125" style="85" customWidth="1"/>
    <col min="4" max="5" width="17.85546875" style="85" customWidth="1"/>
    <col min="6" max="6" width="7.42578125" customWidth="1"/>
    <col min="7" max="7" width="18.140625" bestFit="1" customWidth="1"/>
    <col min="8" max="8" width="16.85546875" customWidth="1"/>
    <col min="9" max="9" width="15.42578125" customWidth="1"/>
    <col min="10" max="10" width="10.5703125" customWidth="1"/>
    <col min="11" max="11" width="19.5703125" customWidth="1"/>
    <col min="12" max="12" width="15.85546875" customWidth="1"/>
    <col min="20" max="20" width="16" bestFit="1" customWidth="1"/>
    <col min="22" max="22" width="16.140625" bestFit="1" customWidth="1"/>
    <col min="23" max="23" width="14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 customHeight="1">
      <c r="B6" s="458" t="s">
        <v>81</v>
      </c>
      <c r="C6" s="458"/>
      <c r="D6" s="458"/>
      <c r="E6" s="458"/>
    </row>
    <row r="7" spans="2:12" ht="14.25">
      <c r="B7" s="296"/>
      <c r="C7" s="296"/>
      <c r="D7" s="296"/>
      <c r="E7" s="296"/>
    </row>
    <row r="8" spans="2:12" ht="12.75" customHeight="1">
      <c r="B8" s="460" t="s">
        <v>18</v>
      </c>
      <c r="C8" s="460"/>
      <c r="D8" s="460"/>
      <c r="E8" s="460"/>
    </row>
    <row r="9" spans="2:12" ht="15.75" customHeight="1" thickBot="1">
      <c r="B9" s="459" t="s">
        <v>100</v>
      </c>
      <c r="C9" s="459"/>
      <c r="D9" s="459"/>
      <c r="E9" s="459"/>
    </row>
    <row r="10" spans="2:12" ht="13.5" thickBot="1">
      <c r="B10" s="323"/>
      <c r="C10" s="222" t="s">
        <v>2</v>
      </c>
      <c r="D10" s="426" t="s">
        <v>236</v>
      </c>
      <c r="E10" s="256" t="s">
        <v>242</v>
      </c>
      <c r="G10" s="73"/>
    </row>
    <row r="11" spans="2:12">
      <c r="B11" s="92" t="s">
        <v>3</v>
      </c>
      <c r="C11" s="204" t="s">
        <v>106</v>
      </c>
      <c r="D11" s="427">
        <v>119132173.26000001</v>
      </c>
      <c r="E11" s="358">
        <f>E12+E13+E14</f>
        <v>110207568.29000001</v>
      </c>
    </row>
    <row r="12" spans="2:12">
      <c r="B12" s="182" t="s">
        <v>4</v>
      </c>
      <c r="C12" s="184" t="s">
        <v>5</v>
      </c>
      <c r="D12" s="428">
        <v>117773610.48</v>
      </c>
      <c r="E12" s="359">
        <f>109413920+4151517.37-3377333.16</f>
        <v>110188104.21000001</v>
      </c>
      <c r="G12" s="155"/>
    </row>
    <row r="13" spans="2:12" ht="12.75" customHeight="1">
      <c r="B13" s="182" t="s">
        <v>6</v>
      </c>
      <c r="C13" s="184" t="s">
        <v>7</v>
      </c>
      <c r="D13" s="428">
        <v>1358562.78</v>
      </c>
      <c r="E13" s="357">
        <v>0</v>
      </c>
      <c r="G13" s="73"/>
    </row>
    <row r="14" spans="2:12">
      <c r="B14" s="182" t="s">
        <v>8</v>
      </c>
      <c r="C14" s="184" t="s">
        <v>10</v>
      </c>
      <c r="D14" s="428">
        <v>0</v>
      </c>
      <c r="E14" s="357">
        <v>19464.080000000002</v>
      </c>
      <c r="G14" s="68"/>
    </row>
    <row r="15" spans="2:12">
      <c r="B15" s="182" t="s">
        <v>103</v>
      </c>
      <c r="C15" s="184" t="s">
        <v>11</v>
      </c>
      <c r="D15" s="428">
        <v>0</v>
      </c>
      <c r="E15" s="357">
        <f>E14</f>
        <v>19464.080000000002</v>
      </c>
      <c r="G15" s="68"/>
    </row>
    <row r="16" spans="2:12">
      <c r="B16" s="185" t="s">
        <v>104</v>
      </c>
      <c r="C16" s="186" t="s">
        <v>12</v>
      </c>
      <c r="D16" s="429">
        <v>0</v>
      </c>
      <c r="E16" s="360">
        <v>0</v>
      </c>
    </row>
    <row r="17" spans="2:12">
      <c r="B17" s="9" t="s">
        <v>13</v>
      </c>
      <c r="C17" s="224" t="s">
        <v>65</v>
      </c>
      <c r="D17" s="430">
        <v>353684.91</v>
      </c>
      <c r="E17" s="361">
        <f>E18</f>
        <v>225612.91</v>
      </c>
    </row>
    <row r="18" spans="2:12">
      <c r="B18" s="182" t="s">
        <v>4</v>
      </c>
      <c r="C18" s="184" t="s">
        <v>11</v>
      </c>
      <c r="D18" s="429">
        <v>353684.91</v>
      </c>
      <c r="E18" s="360">
        <v>225612.91</v>
      </c>
    </row>
    <row r="19" spans="2:12" ht="15" customHeight="1">
      <c r="B19" s="182" t="s">
        <v>6</v>
      </c>
      <c r="C19" s="184" t="s">
        <v>105</v>
      </c>
      <c r="D19" s="428">
        <v>0</v>
      </c>
      <c r="E19" s="357">
        <v>0</v>
      </c>
    </row>
    <row r="20" spans="2:12" ht="13.5" thickBot="1">
      <c r="B20" s="187" t="s">
        <v>8</v>
      </c>
      <c r="C20" s="188" t="s">
        <v>14</v>
      </c>
      <c r="D20" s="431">
        <v>0</v>
      </c>
      <c r="E20" s="362">
        <v>0</v>
      </c>
      <c r="G20" s="68"/>
    </row>
    <row r="21" spans="2:12" ht="13.5" customHeight="1" thickBot="1">
      <c r="B21" s="464" t="s">
        <v>107</v>
      </c>
      <c r="C21" s="465"/>
      <c r="D21" s="432">
        <v>118778488.35000001</v>
      </c>
      <c r="E21" s="363">
        <f>E11-E17</f>
        <v>109981955.38000001</v>
      </c>
      <c r="F21" s="78"/>
      <c r="G21" s="78"/>
      <c r="H21" s="169"/>
      <c r="J21" s="227"/>
      <c r="K21" s="169"/>
    </row>
    <row r="22" spans="2:12">
      <c r="B22" s="4"/>
      <c r="C22" s="7"/>
      <c r="D22" s="8"/>
      <c r="E22" s="268"/>
      <c r="G22" s="73"/>
    </row>
    <row r="23" spans="2:12" ht="14.25" customHeight="1">
      <c r="B23" s="460" t="s">
        <v>101</v>
      </c>
      <c r="C23" s="460"/>
      <c r="D23" s="460"/>
      <c r="E23" s="460"/>
      <c r="G23" s="73"/>
    </row>
    <row r="24" spans="2:12" ht="16.5" customHeight="1" thickBot="1">
      <c r="B24" s="459" t="s">
        <v>102</v>
      </c>
      <c r="C24" s="459"/>
      <c r="D24" s="459"/>
      <c r="E24" s="459"/>
    </row>
    <row r="25" spans="2:12" ht="13.5" thickBot="1">
      <c r="B25" s="323"/>
      <c r="C25" s="189" t="s">
        <v>2</v>
      </c>
      <c r="D25" s="426" t="s">
        <v>243</v>
      </c>
      <c r="E25" s="256" t="s">
        <v>242</v>
      </c>
    </row>
    <row r="26" spans="2:12">
      <c r="B26" s="97" t="s">
        <v>15</v>
      </c>
      <c r="C26" s="98" t="s">
        <v>16</v>
      </c>
      <c r="D26" s="433">
        <v>129181125.66999999</v>
      </c>
      <c r="E26" s="364">
        <f>D21</f>
        <v>118778488.35000001</v>
      </c>
      <c r="F26" s="162"/>
      <c r="G26" s="171"/>
    </row>
    <row r="27" spans="2:12">
      <c r="B27" s="259" t="s">
        <v>17</v>
      </c>
      <c r="C27" s="260" t="s">
        <v>108</v>
      </c>
      <c r="D27" s="434">
        <v>-6867622.0600000005</v>
      </c>
      <c r="E27" s="365">
        <v>-10874688.80000001</v>
      </c>
      <c r="F27" s="164"/>
      <c r="G27" s="270"/>
      <c r="H27" s="243"/>
      <c r="I27" s="243"/>
      <c r="J27" s="243"/>
      <c r="K27" s="68"/>
      <c r="L27" s="68"/>
    </row>
    <row r="28" spans="2:12">
      <c r="B28" s="259" t="s">
        <v>18</v>
      </c>
      <c r="C28" s="260" t="s">
        <v>19</v>
      </c>
      <c r="D28" s="434">
        <v>3931465.7499999995</v>
      </c>
      <c r="E28" s="366">
        <v>5221979.2699999996</v>
      </c>
      <c r="F28" s="164"/>
      <c r="G28" s="270"/>
      <c r="H28" s="243"/>
      <c r="I28" s="243"/>
      <c r="J28" s="243"/>
    </row>
    <row r="29" spans="2:12">
      <c r="B29" s="298" t="s">
        <v>4</v>
      </c>
      <c r="C29" s="245" t="s">
        <v>20</v>
      </c>
      <c r="D29" s="435">
        <v>1625570.15</v>
      </c>
      <c r="E29" s="367">
        <v>1612035.24</v>
      </c>
      <c r="F29" s="164"/>
      <c r="G29" s="271"/>
      <c r="H29" s="243"/>
      <c r="I29" s="243"/>
      <c r="J29" s="243"/>
    </row>
    <row r="30" spans="2:12">
      <c r="B30" s="298" t="s">
        <v>6</v>
      </c>
      <c r="C30" s="245" t="s">
        <v>21</v>
      </c>
      <c r="D30" s="435">
        <v>0</v>
      </c>
      <c r="E30" s="367">
        <v>0</v>
      </c>
      <c r="F30" s="164"/>
      <c r="G30" s="271"/>
      <c r="H30" s="243"/>
      <c r="I30" s="243"/>
      <c r="J30" s="243"/>
    </row>
    <row r="31" spans="2:12">
      <c r="B31" s="298" t="s">
        <v>8</v>
      </c>
      <c r="C31" s="245" t="s">
        <v>22</v>
      </c>
      <c r="D31" s="435">
        <v>2305895.5999999996</v>
      </c>
      <c r="E31" s="367">
        <v>3609944.03</v>
      </c>
      <c r="F31" s="164"/>
      <c r="G31" s="271"/>
      <c r="H31" s="243"/>
      <c r="I31" s="243"/>
      <c r="J31" s="243"/>
    </row>
    <row r="32" spans="2:12">
      <c r="B32" s="261" t="s">
        <v>23</v>
      </c>
      <c r="C32" s="262" t="s">
        <v>24</v>
      </c>
      <c r="D32" s="434">
        <v>10799087.810000001</v>
      </c>
      <c r="E32" s="366">
        <v>16096668.07000001</v>
      </c>
      <c r="F32" s="164"/>
      <c r="G32" s="270"/>
      <c r="H32" s="243"/>
      <c r="I32" s="243"/>
      <c r="J32" s="243"/>
    </row>
    <row r="33" spans="2:23">
      <c r="B33" s="298" t="s">
        <v>4</v>
      </c>
      <c r="C33" s="245" t="s">
        <v>25</v>
      </c>
      <c r="D33" s="435">
        <v>7956122.7400000002</v>
      </c>
      <c r="E33" s="367">
        <v>13370273.460000001</v>
      </c>
      <c r="F33" s="164"/>
      <c r="G33" s="271"/>
      <c r="H33" s="243"/>
      <c r="I33" s="243"/>
      <c r="J33" s="243"/>
    </row>
    <row r="34" spans="2:23">
      <c r="B34" s="298" t="s">
        <v>6</v>
      </c>
      <c r="C34" s="245" t="s">
        <v>26</v>
      </c>
      <c r="D34" s="435">
        <v>2205787.65</v>
      </c>
      <c r="E34" s="367">
        <v>2238384.96</v>
      </c>
      <c r="F34" s="164"/>
      <c r="G34" s="271"/>
      <c r="H34" s="243"/>
      <c r="I34" s="243"/>
      <c r="J34" s="243"/>
    </row>
    <row r="35" spans="2:23">
      <c r="B35" s="298" t="s">
        <v>8</v>
      </c>
      <c r="C35" s="245" t="s">
        <v>27</v>
      </c>
      <c r="D35" s="435">
        <v>493512.23</v>
      </c>
      <c r="E35" s="367">
        <v>425285.82</v>
      </c>
      <c r="F35" s="164"/>
      <c r="G35" s="271"/>
      <c r="H35" s="243"/>
      <c r="I35" s="243"/>
      <c r="J35" s="243"/>
    </row>
    <row r="36" spans="2:23">
      <c r="B36" s="298" t="s">
        <v>9</v>
      </c>
      <c r="C36" s="245" t="s">
        <v>28</v>
      </c>
      <c r="D36" s="435">
        <v>0</v>
      </c>
      <c r="E36" s="367">
        <v>0</v>
      </c>
      <c r="F36" s="164"/>
      <c r="G36" s="271"/>
      <c r="H36" s="243"/>
      <c r="I36" s="243"/>
      <c r="J36" s="243"/>
    </row>
    <row r="37" spans="2:23" ht="25.5">
      <c r="B37" s="298" t="s">
        <v>29</v>
      </c>
      <c r="C37" s="245" t="s">
        <v>30</v>
      </c>
      <c r="D37" s="435">
        <v>0</v>
      </c>
      <c r="E37" s="367">
        <v>0</v>
      </c>
      <c r="F37" s="164"/>
      <c r="G37" s="271"/>
      <c r="H37" s="243"/>
      <c r="I37" s="243"/>
      <c r="J37" s="243"/>
      <c r="T37" s="242">
        <f>177697141.37/22.3484</f>
        <v>7951224.3100177189</v>
      </c>
    </row>
    <row r="38" spans="2:23">
      <c r="B38" s="298" t="s">
        <v>31</v>
      </c>
      <c r="C38" s="245" t="s">
        <v>32</v>
      </c>
      <c r="D38" s="435">
        <v>0</v>
      </c>
      <c r="E38" s="367">
        <v>0</v>
      </c>
      <c r="F38" s="164"/>
      <c r="G38" s="271"/>
      <c r="H38" s="243"/>
      <c r="I38" s="243"/>
      <c r="J38" s="243"/>
      <c r="T38" s="201">
        <f>15680789.11/25.1598</f>
        <v>623247.76468811359</v>
      </c>
    </row>
    <row r="39" spans="2:23">
      <c r="B39" s="299" t="s">
        <v>33</v>
      </c>
      <c r="C39" s="300" t="s">
        <v>34</v>
      </c>
      <c r="D39" s="436">
        <v>143665.19</v>
      </c>
      <c r="E39" s="368">
        <v>62723.830000008362</v>
      </c>
      <c r="F39" s="164"/>
      <c r="G39" s="271"/>
      <c r="H39" s="243"/>
      <c r="I39" s="243"/>
      <c r="J39" s="243"/>
      <c r="T39" s="73">
        <f>SUM(T37:T38)</f>
        <v>8574472.0747058317</v>
      </c>
      <c r="V39" s="68">
        <f>E21/22.3484</f>
        <v>4921245.1620697677</v>
      </c>
      <c r="W39" s="68">
        <f>V39-T39</f>
        <v>-3653226.912636064</v>
      </c>
    </row>
    <row r="40" spans="2:23" ht="13.5" thickBot="1">
      <c r="B40" s="99" t="s">
        <v>35</v>
      </c>
      <c r="C40" s="100" t="s">
        <v>36</v>
      </c>
      <c r="D40" s="437">
        <v>-1352410.81</v>
      </c>
      <c r="E40" s="369">
        <v>2078155.8300000003</v>
      </c>
      <c r="F40" s="162"/>
      <c r="G40" s="165"/>
      <c r="H40" s="73"/>
    </row>
    <row r="41" spans="2:23" ht="13.5" thickBot="1">
      <c r="B41" s="101" t="s">
        <v>37</v>
      </c>
      <c r="C41" s="102" t="s">
        <v>38</v>
      </c>
      <c r="D41" s="438">
        <v>120961092.79999998</v>
      </c>
      <c r="E41" s="370">
        <f>E26+E27+E40</f>
        <v>109981955.38</v>
      </c>
      <c r="F41" s="166"/>
      <c r="G41" s="167"/>
    </row>
    <row r="42" spans="2:23" ht="13.5" customHeight="1">
      <c r="B42" s="95"/>
      <c r="C42" s="95"/>
      <c r="D42" s="96"/>
      <c r="E42" s="96"/>
      <c r="F42" s="78"/>
      <c r="G42" s="247"/>
    </row>
    <row r="43" spans="2:23" ht="13.5">
      <c r="B43" s="461" t="s">
        <v>60</v>
      </c>
      <c r="C43" s="462"/>
      <c r="D43" s="462"/>
      <c r="E43" s="462"/>
      <c r="G43" s="73"/>
    </row>
    <row r="44" spans="2:23" ht="19.5" customHeight="1" thickBot="1">
      <c r="B44" s="459" t="s">
        <v>118</v>
      </c>
      <c r="C44" s="463"/>
      <c r="D44" s="463"/>
      <c r="E44" s="463"/>
      <c r="G44" s="73"/>
    </row>
    <row r="45" spans="2:23" ht="13.5" thickBot="1">
      <c r="B45" s="297"/>
      <c r="C45" s="29" t="s">
        <v>39</v>
      </c>
      <c r="D45" s="274" t="s">
        <v>243</v>
      </c>
      <c r="E45" s="246" t="s">
        <v>242</v>
      </c>
      <c r="G45" s="73"/>
    </row>
    <row r="46" spans="2:23">
      <c r="B46" s="13" t="s">
        <v>18</v>
      </c>
      <c r="C46" s="30" t="s">
        <v>109</v>
      </c>
      <c r="D46" s="348"/>
      <c r="E46" s="168"/>
      <c r="G46" s="201"/>
    </row>
    <row r="47" spans="2:23">
      <c r="B47" s="193" t="s">
        <v>4</v>
      </c>
      <c r="C47" s="194" t="s">
        <v>40</v>
      </c>
      <c r="D47" s="439">
        <v>5751567.9347999999</v>
      </c>
      <c r="E47" s="371">
        <v>5218681.5176999997</v>
      </c>
      <c r="G47" s="201"/>
    </row>
    <row r="48" spans="2:23">
      <c r="B48" s="195" t="s">
        <v>6</v>
      </c>
      <c r="C48" s="196" t="s">
        <v>41</v>
      </c>
      <c r="D48" s="439">
        <v>5439791.0288999993</v>
      </c>
      <c r="E48" s="372">
        <v>4746812.6734999996</v>
      </c>
      <c r="G48" s="161"/>
      <c r="I48" s="161"/>
      <c r="J48" s="161"/>
    </row>
    <row r="49" spans="2:9">
      <c r="B49" s="122" t="s">
        <v>23</v>
      </c>
      <c r="C49" s="126" t="s">
        <v>110</v>
      </c>
      <c r="D49" s="440"/>
      <c r="E49" s="373"/>
    </row>
    <row r="50" spans="2:9">
      <c r="B50" s="193" t="s">
        <v>4</v>
      </c>
      <c r="C50" s="194" t="s">
        <v>40</v>
      </c>
      <c r="D50" s="439">
        <v>22.4602</v>
      </c>
      <c r="E50" s="374">
        <v>22.760300000000001</v>
      </c>
      <c r="G50" s="217"/>
    </row>
    <row r="51" spans="2:9">
      <c r="B51" s="193" t="s">
        <v>6</v>
      </c>
      <c r="C51" s="194" t="s">
        <v>111</v>
      </c>
      <c r="D51" s="439">
        <v>22.153500000000001</v>
      </c>
      <c r="E51" s="374">
        <v>22.760300000000001</v>
      </c>
      <c r="G51" s="181"/>
    </row>
    <row r="52" spans="2:9">
      <c r="B52" s="193" t="s">
        <v>8</v>
      </c>
      <c r="C52" s="194" t="s">
        <v>112</v>
      </c>
      <c r="D52" s="439">
        <v>22.573600000000003</v>
      </c>
      <c r="E52" s="374">
        <v>23.169600000000003</v>
      </c>
    </row>
    <row r="53" spans="2:9" ht="13.5" thickBot="1">
      <c r="B53" s="197" t="s">
        <v>9</v>
      </c>
      <c r="C53" s="198" t="s">
        <v>41</v>
      </c>
      <c r="D53" s="441">
        <v>22.2363</v>
      </c>
      <c r="E53" s="375">
        <v>23.169600000000003</v>
      </c>
    </row>
    <row r="54" spans="2:9">
      <c r="B54" s="199"/>
      <c r="C54" s="200"/>
      <c r="D54" s="113"/>
      <c r="E54" s="113"/>
    </row>
    <row r="55" spans="2:9" ht="13.5">
      <c r="B55" s="461" t="s">
        <v>62</v>
      </c>
      <c r="C55" s="462"/>
      <c r="D55" s="462"/>
      <c r="E55" s="462"/>
    </row>
    <row r="56" spans="2:9" ht="15.75" customHeight="1" thickBot="1">
      <c r="B56" s="459" t="s">
        <v>113</v>
      </c>
      <c r="C56" s="463"/>
      <c r="D56" s="463"/>
      <c r="E56" s="463"/>
    </row>
    <row r="57" spans="2:9" ht="23.25" thickBot="1">
      <c r="B57" s="454" t="s">
        <v>42</v>
      </c>
      <c r="C57" s="455"/>
      <c r="D57" s="18" t="s">
        <v>119</v>
      </c>
      <c r="E57" s="19" t="s">
        <v>114</v>
      </c>
    </row>
    <row r="58" spans="2:9">
      <c r="B58" s="20" t="s">
        <v>18</v>
      </c>
      <c r="C58" s="128" t="s">
        <v>43</v>
      </c>
      <c r="D58" s="129">
        <f>D59+D61+D69+D66</f>
        <v>110188104.20999999</v>
      </c>
      <c r="E58" s="31">
        <f>D58/E21</f>
        <v>1.0018743877510425</v>
      </c>
    </row>
    <row r="59" spans="2:9" ht="25.5">
      <c r="B59" s="195" t="s">
        <v>4</v>
      </c>
      <c r="C59" s="196" t="s">
        <v>44</v>
      </c>
      <c r="D59" s="81">
        <v>109413920</v>
      </c>
      <c r="E59" s="82">
        <f>D59/E21</f>
        <v>0.99483519475501792</v>
      </c>
    </row>
    <row r="60" spans="2:9" ht="25.5">
      <c r="B60" s="193" t="s">
        <v>6</v>
      </c>
      <c r="C60" s="194" t="s">
        <v>45</v>
      </c>
      <c r="D60" s="79">
        <v>0</v>
      </c>
      <c r="E60" s="80">
        <v>0</v>
      </c>
    </row>
    <row r="61" spans="2:9">
      <c r="B61" s="193" t="s">
        <v>8</v>
      </c>
      <c r="C61" s="194" t="s">
        <v>46</v>
      </c>
      <c r="D61" s="79">
        <v>0</v>
      </c>
      <c r="E61" s="80">
        <v>0</v>
      </c>
      <c r="G61" s="73"/>
      <c r="H61" s="73"/>
      <c r="I61" s="73"/>
    </row>
    <row r="62" spans="2:9">
      <c r="B62" s="193" t="s">
        <v>9</v>
      </c>
      <c r="C62" s="194" t="s">
        <v>47</v>
      </c>
      <c r="D62" s="79">
        <v>0</v>
      </c>
      <c r="E62" s="80">
        <v>0</v>
      </c>
      <c r="G62" s="73"/>
      <c r="H62" s="73"/>
      <c r="I62" s="73"/>
    </row>
    <row r="63" spans="2:9">
      <c r="B63" s="193" t="s">
        <v>29</v>
      </c>
      <c r="C63" s="194" t="s">
        <v>48</v>
      </c>
      <c r="D63" s="79">
        <v>0</v>
      </c>
      <c r="E63" s="80">
        <v>0</v>
      </c>
      <c r="G63" s="73"/>
      <c r="H63" s="73"/>
      <c r="I63" s="73"/>
    </row>
    <row r="64" spans="2:9">
      <c r="B64" s="195" t="s">
        <v>31</v>
      </c>
      <c r="C64" s="196" t="s">
        <v>49</v>
      </c>
      <c r="D64" s="81">
        <v>0</v>
      </c>
      <c r="E64" s="82">
        <v>0</v>
      </c>
      <c r="G64" s="164"/>
      <c r="H64" s="164"/>
      <c r="I64" s="164"/>
    </row>
    <row r="65" spans="2:9" ht="13.5" customHeight="1">
      <c r="B65" s="195" t="s">
        <v>33</v>
      </c>
      <c r="C65" s="196" t="s">
        <v>115</v>
      </c>
      <c r="D65" s="81">
        <v>0</v>
      </c>
      <c r="E65" s="82">
        <v>0</v>
      </c>
    </row>
    <row r="66" spans="2:9">
      <c r="B66" s="195" t="s">
        <v>50</v>
      </c>
      <c r="C66" s="196" t="s">
        <v>51</v>
      </c>
      <c r="D66" s="81">
        <v>0</v>
      </c>
      <c r="E66" s="82">
        <f>D66/E21</f>
        <v>0</v>
      </c>
      <c r="I66" s="73"/>
    </row>
    <row r="67" spans="2:9">
      <c r="B67" s="193" t="s">
        <v>52</v>
      </c>
      <c r="C67" s="194" t="s">
        <v>53</v>
      </c>
      <c r="D67" s="79">
        <v>0</v>
      </c>
      <c r="E67" s="80">
        <v>0</v>
      </c>
      <c r="I67" s="73"/>
    </row>
    <row r="68" spans="2:9">
      <c r="B68" s="193" t="s">
        <v>54</v>
      </c>
      <c r="C68" s="194" t="s">
        <v>55</v>
      </c>
      <c r="D68" s="79">
        <v>0</v>
      </c>
      <c r="E68" s="80">
        <v>0</v>
      </c>
      <c r="I68" s="73"/>
    </row>
    <row r="69" spans="2:9">
      <c r="B69" s="193" t="s">
        <v>56</v>
      </c>
      <c r="C69" s="194" t="s">
        <v>57</v>
      </c>
      <c r="D69" s="301">
        <f>4151517.37-3377333.16</f>
        <v>774184.21</v>
      </c>
      <c r="E69" s="80">
        <f>D69/E21</f>
        <v>7.0391929960247259E-3</v>
      </c>
      <c r="G69" s="73"/>
    </row>
    <row r="70" spans="2:9">
      <c r="B70" s="236" t="s">
        <v>58</v>
      </c>
      <c r="C70" s="235" t="s">
        <v>59</v>
      </c>
      <c r="D70" s="116">
        <v>0</v>
      </c>
      <c r="E70" s="117">
        <v>0</v>
      </c>
      <c r="G70" s="73"/>
    </row>
    <row r="71" spans="2:9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9">
      <c r="B72" s="133" t="s">
        <v>60</v>
      </c>
      <c r="C72" s="119" t="s">
        <v>63</v>
      </c>
      <c r="D72" s="120">
        <f>E14</f>
        <v>19464.080000000002</v>
      </c>
      <c r="E72" s="121">
        <f>D72/E21</f>
        <v>1.769752131861033E-4</v>
      </c>
    </row>
    <row r="73" spans="2:9">
      <c r="B73" s="134" t="s">
        <v>62</v>
      </c>
      <c r="C73" s="24" t="s">
        <v>65</v>
      </c>
      <c r="D73" s="25">
        <f>E17</f>
        <v>225612.91</v>
      </c>
      <c r="E73" s="26">
        <f>D73/E21</f>
        <v>2.0513629642288323E-3</v>
      </c>
    </row>
    <row r="74" spans="2:9">
      <c r="B74" s="132" t="s">
        <v>64</v>
      </c>
      <c r="C74" s="123" t="s">
        <v>66</v>
      </c>
      <c r="D74" s="124">
        <f>D58-D73+D72+D71</f>
        <v>109981955.38</v>
      </c>
      <c r="E74" s="67">
        <f>E58+E71+E72-E73</f>
        <v>0.99999999999999989</v>
      </c>
      <c r="G74" s="68"/>
      <c r="H74" s="68"/>
    </row>
    <row r="75" spans="2:9">
      <c r="B75" s="193" t="s">
        <v>4</v>
      </c>
      <c r="C75" s="194" t="s">
        <v>67</v>
      </c>
      <c r="D75" s="79">
        <f>D74</f>
        <v>109981955.38</v>
      </c>
      <c r="E75" s="80">
        <f>E74</f>
        <v>0.99999999999999989</v>
      </c>
      <c r="G75" s="68"/>
    </row>
    <row r="76" spans="2:9">
      <c r="B76" s="193" t="s">
        <v>6</v>
      </c>
      <c r="C76" s="194" t="s">
        <v>116</v>
      </c>
      <c r="D76" s="79">
        <v>0</v>
      </c>
      <c r="E76" s="80">
        <v>0</v>
      </c>
    </row>
    <row r="77" spans="2:9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9">
      <c r="B78" s="2"/>
      <c r="C78" s="2"/>
      <c r="D78" s="3"/>
      <c r="E78" s="3"/>
    </row>
    <row r="79" spans="2:9">
      <c r="B79" s="2"/>
      <c r="C79" s="2"/>
      <c r="D79" s="3"/>
      <c r="E79" s="3"/>
    </row>
    <row r="80" spans="2:9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7109375" customWidth="1"/>
    <col min="9" max="9" width="13.28515625" customWidth="1"/>
    <col min="10" max="10" width="13.5703125" customWidth="1"/>
    <col min="11" max="11" width="15.2851562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87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18853967.960000001</v>
      </c>
      <c r="E11" s="377">
        <f>SUM(E12:E14)</f>
        <v>21658085.829999998</v>
      </c>
      <c r="H11" s="73"/>
    </row>
    <row r="12" spans="2:12">
      <c r="B12" s="182" t="s">
        <v>4</v>
      </c>
      <c r="C12" s="240" t="s">
        <v>5</v>
      </c>
      <c r="D12" s="378">
        <v>18758490.919999998</v>
      </c>
      <c r="E12" s="379">
        <f>21530236+127451.72-3516.76</f>
        <v>21654170.959999997</v>
      </c>
      <c r="G12" s="73"/>
      <c r="H12" s="73"/>
    </row>
    <row r="13" spans="2:12">
      <c r="B13" s="182" t="s">
        <v>6</v>
      </c>
      <c r="C13" s="240" t="s">
        <v>7</v>
      </c>
      <c r="D13" s="380">
        <v>87732.87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7744.17</v>
      </c>
      <c r="E14" s="381">
        <f>E15</f>
        <v>3914.87</v>
      </c>
      <c r="H14" s="73"/>
    </row>
    <row r="15" spans="2:12">
      <c r="B15" s="182" t="s">
        <v>103</v>
      </c>
      <c r="C15" s="240" t="s">
        <v>11</v>
      </c>
      <c r="D15" s="380">
        <v>7744.17</v>
      </c>
      <c r="E15" s="381">
        <v>3914.87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73795.960000000006</v>
      </c>
      <c r="E17" s="385">
        <f>E18</f>
        <v>83138.53</v>
      </c>
    </row>
    <row r="18" spans="2:11">
      <c r="B18" s="182" t="s">
        <v>4</v>
      </c>
      <c r="C18" s="240" t="s">
        <v>11</v>
      </c>
      <c r="D18" s="382">
        <v>73795.960000000006</v>
      </c>
      <c r="E18" s="383">
        <v>83138.53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18780172</v>
      </c>
      <c r="E21" s="389">
        <f>E11-E17</f>
        <v>21574947.299999997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9"/>
      <c r="G22" s="73"/>
    </row>
    <row r="23" spans="2:11" ht="15.75">
      <c r="B23" s="460"/>
      <c r="C23" s="470"/>
      <c r="D23" s="470"/>
      <c r="E23" s="470"/>
      <c r="G23" s="73"/>
    </row>
    <row r="24" spans="2:11" ht="18" customHeight="1" thickBot="1">
      <c r="B24" s="459" t="s">
        <v>102</v>
      </c>
      <c r="C24" s="471"/>
      <c r="D24" s="471"/>
      <c r="E24" s="471"/>
      <c r="K24" s="18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23721330.23</v>
      </c>
      <c r="E26" s="391">
        <f>D21</f>
        <v>18780172</v>
      </c>
      <c r="G26" s="75"/>
    </row>
    <row r="27" spans="2:11">
      <c r="B27" s="9" t="s">
        <v>17</v>
      </c>
      <c r="C27" s="10" t="s">
        <v>108</v>
      </c>
      <c r="D27" s="392">
        <v>-151038.79000000004</v>
      </c>
      <c r="E27" s="365">
        <v>-1042137.6300000001</v>
      </c>
      <c r="F27" s="73"/>
      <c r="G27" s="155"/>
      <c r="H27" s="276"/>
      <c r="I27" s="276"/>
      <c r="J27" s="216"/>
    </row>
    <row r="28" spans="2:11">
      <c r="B28" s="9" t="s">
        <v>18</v>
      </c>
      <c r="C28" s="10" t="s">
        <v>19</v>
      </c>
      <c r="D28" s="392">
        <v>1354497.87</v>
      </c>
      <c r="E28" s="366">
        <v>1296370.5999999999</v>
      </c>
      <c r="F28" s="73"/>
      <c r="G28" s="155"/>
      <c r="H28" s="276"/>
      <c r="I28" s="276"/>
      <c r="J28" s="216"/>
    </row>
    <row r="29" spans="2:11">
      <c r="B29" s="190" t="s">
        <v>4</v>
      </c>
      <c r="C29" s="183" t="s">
        <v>20</v>
      </c>
      <c r="D29" s="393">
        <v>1151803.6400000001</v>
      </c>
      <c r="E29" s="367">
        <v>1089859.71</v>
      </c>
      <c r="F29" s="73"/>
      <c r="G29" s="155"/>
      <c r="H29" s="276"/>
      <c r="I29" s="276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76"/>
      <c r="I30" s="276"/>
      <c r="J30" s="216"/>
    </row>
    <row r="31" spans="2:11">
      <c r="B31" s="190" t="s">
        <v>8</v>
      </c>
      <c r="C31" s="183" t="s">
        <v>22</v>
      </c>
      <c r="D31" s="393">
        <v>202694.22999999998</v>
      </c>
      <c r="E31" s="367">
        <v>206510.88999999998</v>
      </c>
      <c r="F31" s="73"/>
      <c r="G31" s="155"/>
      <c r="H31" s="276"/>
      <c r="I31" s="276"/>
      <c r="J31" s="216"/>
    </row>
    <row r="32" spans="2:11">
      <c r="B32" s="94" t="s">
        <v>23</v>
      </c>
      <c r="C32" s="11" t="s">
        <v>24</v>
      </c>
      <c r="D32" s="392">
        <v>1505536.6600000001</v>
      </c>
      <c r="E32" s="366">
        <v>2338508.23</v>
      </c>
      <c r="F32" s="73"/>
      <c r="G32" s="155"/>
      <c r="H32" s="276"/>
      <c r="I32" s="276"/>
      <c r="J32" s="216"/>
    </row>
    <row r="33" spans="2:10">
      <c r="B33" s="190" t="s">
        <v>4</v>
      </c>
      <c r="C33" s="183" t="s">
        <v>25</v>
      </c>
      <c r="D33" s="393">
        <v>1147846.8999999999</v>
      </c>
      <c r="E33" s="367">
        <v>2042462.74</v>
      </c>
      <c r="F33" s="73"/>
      <c r="G33" s="155"/>
      <c r="H33" s="276"/>
      <c r="I33" s="276"/>
      <c r="J33" s="216"/>
    </row>
    <row r="34" spans="2:10">
      <c r="B34" s="190" t="s">
        <v>6</v>
      </c>
      <c r="C34" s="183" t="s">
        <v>26</v>
      </c>
      <c r="D34" s="393">
        <v>58049.11</v>
      </c>
      <c r="E34" s="367">
        <v>63523.47</v>
      </c>
      <c r="F34" s="73"/>
      <c r="G34" s="155"/>
      <c r="H34" s="276"/>
      <c r="I34" s="276"/>
      <c r="J34" s="216"/>
    </row>
    <row r="35" spans="2:10">
      <c r="B35" s="190" t="s">
        <v>8</v>
      </c>
      <c r="C35" s="183" t="s">
        <v>27</v>
      </c>
      <c r="D35" s="393">
        <v>225013.38</v>
      </c>
      <c r="E35" s="367">
        <v>219876.99</v>
      </c>
      <c r="F35" s="73"/>
      <c r="G35" s="155"/>
      <c r="H35" s="276"/>
      <c r="I35" s="276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76"/>
      <c r="I36" s="276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76"/>
      <c r="I37" s="276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76"/>
      <c r="I38" s="276"/>
      <c r="J38" s="216"/>
    </row>
    <row r="39" spans="2:10">
      <c r="B39" s="191" t="s">
        <v>33</v>
      </c>
      <c r="C39" s="192" t="s">
        <v>34</v>
      </c>
      <c r="D39" s="394">
        <v>74627.27</v>
      </c>
      <c r="E39" s="368">
        <v>12645.03</v>
      </c>
      <c r="F39" s="73"/>
      <c r="G39" s="155"/>
      <c r="H39" s="276"/>
      <c r="I39" s="276"/>
      <c r="J39" s="216"/>
    </row>
    <row r="40" spans="2:10" ht="13.5" thickBot="1">
      <c r="B40" s="99" t="s">
        <v>35</v>
      </c>
      <c r="C40" s="100" t="s">
        <v>36</v>
      </c>
      <c r="D40" s="395">
        <v>-6008217.6399999997</v>
      </c>
      <c r="E40" s="396">
        <v>3836912.9300000006</v>
      </c>
      <c r="G40" s="75"/>
    </row>
    <row r="41" spans="2:10" ht="13.5" thickBot="1">
      <c r="B41" s="101" t="s">
        <v>37</v>
      </c>
      <c r="C41" s="102" t="s">
        <v>38</v>
      </c>
      <c r="D41" s="397">
        <v>17562073.800000001</v>
      </c>
      <c r="E41" s="389">
        <f>E26+E27+E40</f>
        <v>21574947.300000001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1552941.4571</v>
      </c>
      <c r="E47" s="283">
        <v>1525671.4672999999</v>
      </c>
      <c r="G47" s="201"/>
    </row>
    <row r="48" spans="2:10">
      <c r="B48" s="195" t="s">
        <v>6</v>
      </c>
      <c r="C48" s="196" t="s">
        <v>41</v>
      </c>
      <c r="D48" s="310">
        <v>1536599.9303000001</v>
      </c>
      <c r="E48" s="327">
        <v>1448254.2362000002</v>
      </c>
      <c r="G48" s="203"/>
      <c r="I48" s="203"/>
      <c r="J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15.2751</v>
      </c>
      <c r="E50" s="283">
        <v>12.3094</v>
      </c>
      <c r="G50" s="217"/>
    </row>
    <row r="51" spans="2:7">
      <c r="B51" s="193" t="s">
        <v>6</v>
      </c>
      <c r="C51" s="194" t="s">
        <v>111</v>
      </c>
      <c r="D51" s="310">
        <v>10.997</v>
      </c>
      <c r="E51" s="283">
        <v>12.3094</v>
      </c>
      <c r="G51" s="181"/>
    </row>
    <row r="52" spans="2:7" ht="12.75" customHeight="1">
      <c r="B52" s="193" t="s">
        <v>8</v>
      </c>
      <c r="C52" s="194" t="s">
        <v>112</v>
      </c>
      <c r="D52" s="310">
        <v>15.742600000000001</v>
      </c>
      <c r="E52" s="283">
        <v>14.8972</v>
      </c>
    </row>
    <row r="53" spans="2:7" ht="13.5" thickBot="1">
      <c r="B53" s="197" t="s">
        <v>9</v>
      </c>
      <c r="C53" s="198" t="s">
        <v>41</v>
      </c>
      <c r="D53" s="308">
        <v>11.4292</v>
      </c>
      <c r="E53" s="267">
        <v>14.897200000000002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5.7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21654170.959999997</v>
      </c>
      <c r="E58" s="31">
        <f>D58/E21</f>
        <v>1.0036720210204175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E12-127451.72</f>
        <v>21526719.239999998</v>
      </c>
      <c r="E64" s="82">
        <f>D64/E21</f>
        <v>0.99776462675299338</v>
      </c>
      <c r="G64" s="73"/>
    </row>
    <row r="65" spans="2:7">
      <c r="B65" s="285" t="s">
        <v>33</v>
      </c>
      <c r="C65" s="196" t="s">
        <v>115</v>
      </c>
      <c r="D65" s="81">
        <v>0</v>
      </c>
      <c r="E65" s="82">
        <v>0</v>
      </c>
    </row>
    <row r="66" spans="2:7">
      <c r="B66" s="285" t="s">
        <v>50</v>
      </c>
      <c r="C66" s="196" t="s">
        <v>51</v>
      </c>
      <c r="D66" s="81">
        <v>0</v>
      </c>
      <c r="E66" s="82">
        <v>0</v>
      </c>
    </row>
    <row r="67" spans="2:7">
      <c r="B67" s="286" t="s">
        <v>52</v>
      </c>
      <c r="C67" s="194" t="s">
        <v>53</v>
      </c>
      <c r="D67" s="79">
        <v>0</v>
      </c>
      <c r="E67" s="80">
        <v>0</v>
      </c>
      <c r="G67" s="73"/>
    </row>
    <row r="68" spans="2:7">
      <c r="B68" s="286" t="s">
        <v>54</v>
      </c>
      <c r="C68" s="194" t="s">
        <v>55</v>
      </c>
      <c r="D68" s="79">
        <v>0</v>
      </c>
      <c r="E68" s="80">
        <v>0</v>
      </c>
    </row>
    <row r="69" spans="2:7">
      <c r="B69" s="286" t="s">
        <v>56</v>
      </c>
      <c r="C69" s="194" t="s">
        <v>57</v>
      </c>
      <c r="D69" s="309">
        <v>127451.72</v>
      </c>
      <c r="E69" s="80">
        <f>D69/E21</f>
        <v>5.9073942674242371E-3</v>
      </c>
    </row>
    <row r="70" spans="2:7">
      <c r="B70" s="287" t="s">
        <v>58</v>
      </c>
      <c r="C70" s="23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3914.87</v>
      </c>
      <c r="E72" s="121">
        <f>D72/E21</f>
        <v>1.814544409107317E-4</v>
      </c>
    </row>
    <row r="73" spans="2:7">
      <c r="B73" s="23" t="s">
        <v>62</v>
      </c>
      <c r="C73" s="24" t="s">
        <v>65</v>
      </c>
      <c r="D73" s="25">
        <f>E17</f>
        <v>83138.53</v>
      </c>
      <c r="E73" s="26">
        <f>D73/E21</f>
        <v>3.853475461328242E-3</v>
      </c>
    </row>
    <row r="74" spans="2:7">
      <c r="B74" s="122" t="s">
        <v>64</v>
      </c>
      <c r="C74" s="123" t="s">
        <v>66</v>
      </c>
      <c r="D74" s="124">
        <f>D58+D71+D72-D73</f>
        <v>21574947.299999997</v>
      </c>
      <c r="E74" s="67">
        <f>E58+E71+E72-E73</f>
        <v>1</v>
      </c>
    </row>
    <row r="75" spans="2:7">
      <c r="B75" s="286" t="s">
        <v>4</v>
      </c>
      <c r="C75" s="194" t="s">
        <v>67</v>
      </c>
      <c r="D75" s="79">
        <f>D74</f>
        <v>21574947.299999997</v>
      </c>
      <c r="E75" s="80">
        <f>E74</f>
        <v>1</v>
      </c>
    </row>
    <row r="76" spans="2:7">
      <c r="B76" s="286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Arkusz115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180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127951.55</v>
      </c>
      <c r="E11" s="377">
        <v>124431</v>
      </c>
    </row>
    <row r="12" spans="2:12">
      <c r="B12" s="182" t="s">
        <v>4</v>
      </c>
      <c r="C12" s="183" t="s">
        <v>5</v>
      </c>
      <c r="D12" s="378">
        <v>127951.55</v>
      </c>
      <c r="E12" s="379">
        <v>124431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127951.55</v>
      </c>
      <c r="E21" s="389">
        <v>124431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142750.63</v>
      </c>
      <c r="E26" s="234">
        <f>D21</f>
        <v>127951.55</v>
      </c>
      <c r="G26" s="75"/>
    </row>
    <row r="27" spans="2:11">
      <c r="B27" s="9" t="s">
        <v>17</v>
      </c>
      <c r="C27" s="10" t="s">
        <v>108</v>
      </c>
      <c r="D27" s="392">
        <v>-7930.22</v>
      </c>
      <c r="E27" s="365">
        <v>-12412.31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164.59</v>
      </c>
      <c r="E28" s="366">
        <v>0.18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164.59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0.18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8094.81</v>
      </c>
      <c r="E32" s="366">
        <v>12412.49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6758.41</v>
      </c>
      <c r="E33" s="367">
        <v>11107.93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490.06</v>
      </c>
      <c r="E35" s="367">
        <v>476.07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846.34</v>
      </c>
      <c r="E37" s="367">
        <v>828.49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-8607.4699999999993</v>
      </c>
      <c r="E40" s="396">
        <v>8891.76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126212.94</v>
      </c>
      <c r="E41" s="150">
        <f>E26+E27+E40</f>
        <v>124431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11356.454</v>
      </c>
      <c r="E47" s="151">
        <v>10219.772000000001</v>
      </c>
      <c r="G47" s="73"/>
    </row>
    <row r="48" spans="2:10">
      <c r="B48" s="195" t="s">
        <v>6</v>
      </c>
      <c r="C48" s="196" t="s">
        <v>41</v>
      </c>
      <c r="D48" s="310">
        <v>10705.084000000001</v>
      </c>
      <c r="E48" s="151">
        <v>9278.9709999999995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12.57</v>
      </c>
      <c r="E50" s="151">
        <v>12.52</v>
      </c>
      <c r="G50" s="181"/>
    </row>
    <row r="51" spans="2:7">
      <c r="B51" s="193" t="s">
        <v>6</v>
      </c>
      <c r="C51" s="194" t="s">
        <v>111</v>
      </c>
      <c r="D51" s="310">
        <v>11.43</v>
      </c>
      <c r="E51" s="151">
        <v>12.52</v>
      </c>
      <c r="G51" s="181"/>
    </row>
    <row r="52" spans="2:7">
      <c r="B52" s="193" t="s">
        <v>8</v>
      </c>
      <c r="C52" s="194" t="s">
        <v>112</v>
      </c>
      <c r="D52" s="310">
        <v>12.620000000000001</v>
      </c>
      <c r="E52" s="151">
        <v>13.44</v>
      </c>
    </row>
    <row r="53" spans="2:7" ht="13.5" customHeight="1" thickBot="1">
      <c r="B53" s="197" t="s">
        <v>9</v>
      </c>
      <c r="C53" s="198" t="s">
        <v>41</v>
      </c>
      <c r="D53" s="308">
        <v>11.79</v>
      </c>
      <c r="E53" s="267">
        <v>13.41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124431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124431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124431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124431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Arkusz11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181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323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8548.44</v>
      </c>
      <c r="E11" s="377">
        <v>9954.44</v>
      </c>
    </row>
    <row r="12" spans="2:12">
      <c r="B12" s="182" t="s">
        <v>4</v>
      </c>
      <c r="C12" s="183" t="s">
        <v>5</v>
      </c>
      <c r="D12" s="378">
        <v>8548.44</v>
      </c>
      <c r="E12" s="379">
        <v>9954.44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8548.44</v>
      </c>
      <c r="E21" s="389">
        <v>9954.44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10734.88</v>
      </c>
      <c r="E26" s="234">
        <f>D21</f>
        <v>8548.44</v>
      </c>
      <c r="G26" s="75"/>
    </row>
    <row r="27" spans="2:11">
      <c r="B27" s="9" t="s">
        <v>17</v>
      </c>
      <c r="C27" s="10" t="s">
        <v>108</v>
      </c>
      <c r="D27" s="392">
        <v>-113.31</v>
      </c>
      <c r="E27" s="365">
        <v>-107.02000000000001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113.31</v>
      </c>
      <c r="E32" s="366">
        <v>107.02000000000001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40.94</v>
      </c>
      <c r="E35" s="367">
        <v>43.09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72.37</v>
      </c>
      <c r="E37" s="367">
        <v>63.93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-2671.49</v>
      </c>
      <c r="E40" s="396">
        <v>1513.02</v>
      </c>
      <c r="G40" s="75"/>
    </row>
    <row r="41" spans="2:10" ht="13.5" thickBot="1">
      <c r="B41" s="101" t="s">
        <v>37</v>
      </c>
      <c r="C41" s="102" t="s">
        <v>38</v>
      </c>
      <c r="D41" s="306">
        <v>7950.08</v>
      </c>
      <c r="E41" s="150">
        <f>E26+E27+E40</f>
        <v>9954.44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661.83</v>
      </c>
      <c r="E47" s="151">
        <v>648.1</v>
      </c>
      <c r="G47" s="73"/>
    </row>
    <row r="48" spans="2:10">
      <c r="B48" s="195" t="s">
        <v>6</v>
      </c>
      <c r="C48" s="196" t="s">
        <v>41</v>
      </c>
      <c r="D48" s="310">
        <v>653.25199999999995</v>
      </c>
      <c r="E48" s="151">
        <v>640.56899999999996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16.22</v>
      </c>
      <c r="E50" s="151">
        <v>13.19</v>
      </c>
      <c r="G50" s="181"/>
    </row>
    <row r="51" spans="2:7">
      <c r="B51" s="193" t="s">
        <v>6</v>
      </c>
      <c r="C51" s="194" t="s">
        <v>111</v>
      </c>
      <c r="D51" s="310">
        <v>11.91</v>
      </c>
      <c r="E51" s="151">
        <v>13.19</v>
      </c>
      <c r="G51" s="181"/>
    </row>
    <row r="52" spans="2:7">
      <c r="B52" s="193" t="s">
        <v>8</v>
      </c>
      <c r="C52" s="194" t="s">
        <v>112</v>
      </c>
      <c r="D52" s="310">
        <v>16.920000000000002</v>
      </c>
      <c r="E52" s="151">
        <v>15.61</v>
      </c>
    </row>
    <row r="53" spans="2:7" ht="12.75" customHeight="1" thickBot="1">
      <c r="B53" s="197" t="s">
        <v>9</v>
      </c>
      <c r="C53" s="198" t="s">
        <v>41</v>
      </c>
      <c r="D53" s="308">
        <v>12.17</v>
      </c>
      <c r="E53" s="267">
        <v>15.54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9954.44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9954.44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9954.44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9954.44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Arkusz119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182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400845.74</v>
      </c>
      <c r="E11" s="377">
        <v>431277.7</v>
      </c>
    </row>
    <row r="12" spans="2:12">
      <c r="B12" s="182" t="s">
        <v>4</v>
      </c>
      <c r="C12" s="183" t="s">
        <v>5</v>
      </c>
      <c r="D12" s="378">
        <v>400845.74</v>
      </c>
      <c r="E12" s="379">
        <v>431277.7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400845.74</v>
      </c>
      <c r="E21" s="389">
        <v>431277.7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724815.85</v>
      </c>
      <c r="E26" s="391">
        <f>D21</f>
        <v>400845.74</v>
      </c>
      <c r="G26" s="75"/>
    </row>
    <row r="27" spans="2:11">
      <c r="B27" s="9" t="s">
        <v>17</v>
      </c>
      <c r="C27" s="10" t="s">
        <v>108</v>
      </c>
      <c r="D27" s="392">
        <v>-236360.62</v>
      </c>
      <c r="E27" s="365">
        <v>-7504.18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236360.62</v>
      </c>
      <c r="E32" s="366">
        <v>7504.18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230985.59</v>
      </c>
      <c r="E33" s="367">
        <v>3115.15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1091.33</v>
      </c>
      <c r="E35" s="367">
        <v>1198.1600000000001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4283.7</v>
      </c>
      <c r="E37" s="367">
        <v>3190.86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-82519.63</v>
      </c>
      <c r="E40" s="396">
        <v>37936.14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405935.6</v>
      </c>
      <c r="E41" s="389">
        <f>E26+E27+E40</f>
        <v>431277.7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29309.172999999999</v>
      </c>
      <c r="E47" s="151">
        <v>18557.672999999999</v>
      </c>
      <c r="G47" s="73"/>
    </row>
    <row r="48" spans="2:10">
      <c r="B48" s="195" t="s">
        <v>6</v>
      </c>
      <c r="C48" s="196" t="s">
        <v>41</v>
      </c>
      <c r="D48" s="310">
        <v>19256.906999999999</v>
      </c>
      <c r="E48" s="151">
        <v>18228.135999999999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24.73</v>
      </c>
      <c r="E50" s="151">
        <v>21.6</v>
      </c>
      <c r="G50" s="181"/>
    </row>
    <row r="51" spans="2:7">
      <c r="B51" s="193" t="s">
        <v>6</v>
      </c>
      <c r="C51" s="194" t="s">
        <v>111</v>
      </c>
      <c r="D51" s="310">
        <v>20.71</v>
      </c>
      <c r="E51" s="151">
        <v>21.6</v>
      </c>
      <c r="G51" s="181"/>
    </row>
    <row r="52" spans="2:7">
      <c r="B52" s="193" t="s">
        <v>8</v>
      </c>
      <c r="C52" s="194" t="s">
        <v>112</v>
      </c>
      <c r="D52" s="310">
        <v>24.78</v>
      </c>
      <c r="E52" s="151">
        <v>23.66</v>
      </c>
    </row>
    <row r="53" spans="2:7" ht="12.75" customHeight="1" thickBot="1">
      <c r="B53" s="197" t="s">
        <v>9</v>
      </c>
      <c r="C53" s="198" t="s">
        <v>41</v>
      </c>
      <c r="D53" s="308">
        <v>21.08</v>
      </c>
      <c r="E53" s="267">
        <v>23.66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431277.7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431277.7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431277.7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431277.7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Arkusz120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183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106248.71</v>
      </c>
      <c r="E11" s="377">
        <v>113086.75</v>
      </c>
    </row>
    <row r="12" spans="2:12">
      <c r="B12" s="182" t="s">
        <v>4</v>
      </c>
      <c r="C12" s="183" t="s">
        <v>5</v>
      </c>
      <c r="D12" s="378">
        <v>106248.71</v>
      </c>
      <c r="E12" s="379">
        <v>113086.75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106248.71</v>
      </c>
      <c r="E21" s="389">
        <v>113086.75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131422.44</v>
      </c>
      <c r="E26" s="234">
        <f>D21</f>
        <v>106248.71</v>
      </c>
      <c r="G26" s="75"/>
    </row>
    <row r="27" spans="2:11">
      <c r="B27" s="9" t="s">
        <v>17</v>
      </c>
      <c r="C27" s="10" t="s">
        <v>108</v>
      </c>
      <c r="D27" s="392">
        <v>-1709.4499999999998</v>
      </c>
      <c r="E27" s="365">
        <v>-1971.97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/>
      <c r="E31" s="367">
        <v>0.01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1709.4499999999998</v>
      </c>
      <c r="E32" s="366">
        <v>1971.98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772.3</v>
      </c>
      <c r="E35" s="367">
        <v>1083.21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937.15</v>
      </c>
      <c r="E37" s="367">
        <v>888.77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-27164.799999999999</v>
      </c>
      <c r="E40" s="396">
        <v>8810.01</v>
      </c>
      <c r="G40" s="75"/>
      <c r="H40" s="258"/>
    </row>
    <row r="41" spans="2:10" ht="13.5" thickBot="1">
      <c r="B41" s="101" t="s">
        <v>37</v>
      </c>
      <c r="C41" s="102" t="s">
        <v>38</v>
      </c>
      <c r="D41" s="306">
        <v>102548.19</v>
      </c>
      <c r="E41" s="150">
        <f>E26+E27+E40</f>
        <v>113086.75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8188.3140000000003</v>
      </c>
      <c r="E47" s="151">
        <v>7911.2960000000003</v>
      </c>
      <c r="G47" s="73"/>
    </row>
    <row r="48" spans="2:10">
      <c r="B48" s="195" t="s">
        <v>6</v>
      </c>
      <c r="C48" s="196" t="s">
        <v>41</v>
      </c>
      <c r="D48" s="310">
        <v>8068.308</v>
      </c>
      <c r="E48" s="151">
        <v>7772.2849999999999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16.05</v>
      </c>
      <c r="E50" s="151">
        <v>13.43</v>
      </c>
      <c r="G50" s="181"/>
    </row>
    <row r="51" spans="2:7">
      <c r="B51" s="193" t="s">
        <v>6</v>
      </c>
      <c r="C51" s="194" t="s">
        <v>111</v>
      </c>
      <c r="D51" s="310">
        <v>12.49</v>
      </c>
      <c r="E51" s="151">
        <v>13.43</v>
      </c>
      <c r="G51" s="181"/>
    </row>
    <row r="52" spans="2:7">
      <c r="B52" s="193" t="s">
        <v>8</v>
      </c>
      <c r="C52" s="194" t="s">
        <v>112</v>
      </c>
      <c r="D52" s="310">
        <v>16.080000000000002</v>
      </c>
      <c r="E52" s="151">
        <v>14.77</v>
      </c>
    </row>
    <row r="53" spans="2:7" ht="13.5" thickBot="1">
      <c r="B53" s="197" t="s">
        <v>9</v>
      </c>
      <c r="C53" s="198" t="s">
        <v>41</v>
      </c>
      <c r="D53" s="308">
        <v>12.71</v>
      </c>
      <c r="E53" s="267">
        <v>14.55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113086.75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113086.75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113086.75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113086.75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Arkusz121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8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184</v>
      </c>
      <c r="C6" s="458"/>
      <c r="D6" s="458"/>
      <c r="E6" s="458"/>
    </row>
    <row r="7" spans="2:12" ht="14.25">
      <c r="B7" s="210"/>
      <c r="C7" s="210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11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82" t="s">
        <v>4</v>
      </c>
      <c r="C12" s="183" t="s">
        <v>5</v>
      </c>
      <c r="D12" s="378">
        <v>0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554119.96</v>
      </c>
      <c r="E26" s="391">
        <v>0</v>
      </c>
      <c r="G26" s="75"/>
    </row>
    <row r="27" spans="2:11">
      <c r="B27" s="9" t="s">
        <v>17</v>
      </c>
      <c r="C27" s="10" t="s">
        <v>108</v>
      </c>
      <c r="D27" s="392">
        <v>-4791.3999999999996</v>
      </c>
      <c r="E27" s="365">
        <v>0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4791.3999999999996</v>
      </c>
      <c r="E32" s="366">
        <v>0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646.28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4145.12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-71038.86</v>
      </c>
      <c r="E40" s="396">
        <v>0</v>
      </c>
      <c r="G40" s="75"/>
    </row>
    <row r="41" spans="2:10" ht="13.5" thickBot="1">
      <c r="B41" s="101" t="s">
        <v>37</v>
      </c>
      <c r="C41" s="102" t="s">
        <v>38</v>
      </c>
      <c r="D41" s="397">
        <v>478289.69999999995</v>
      </c>
      <c r="E41" s="389">
        <v>0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44615.133999999998</v>
      </c>
      <c r="E47" s="151">
        <v>0</v>
      </c>
      <c r="G47" s="73"/>
    </row>
    <row r="48" spans="2:10">
      <c r="B48" s="195" t="s">
        <v>6</v>
      </c>
      <c r="C48" s="196" t="s">
        <v>41</v>
      </c>
      <c r="D48" s="310">
        <v>44204.224000000002</v>
      </c>
      <c r="E48" s="151">
        <v>0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12.42</v>
      </c>
      <c r="E50" s="151">
        <v>0</v>
      </c>
      <c r="G50" s="181"/>
    </row>
    <row r="51" spans="2:7">
      <c r="B51" s="193" t="s">
        <v>6</v>
      </c>
      <c r="C51" s="194" t="s">
        <v>111</v>
      </c>
      <c r="D51" s="310">
        <v>10.81</v>
      </c>
      <c r="E51" s="151">
        <v>11.4</v>
      </c>
      <c r="G51" s="181"/>
    </row>
    <row r="52" spans="2:7">
      <c r="B52" s="193" t="s">
        <v>8</v>
      </c>
      <c r="C52" s="194" t="s">
        <v>112</v>
      </c>
      <c r="D52" s="310">
        <v>12.42</v>
      </c>
      <c r="E52" s="151">
        <v>11.97</v>
      </c>
    </row>
    <row r="53" spans="2:7" ht="13.5" thickBot="1">
      <c r="B53" s="197" t="s">
        <v>9</v>
      </c>
      <c r="C53" s="198" t="s">
        <v>41</v>
      </c>
      <c r="D53" s="308">
        <v>10.82</v>
      </c>
      <c r="E53" s="267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Arkusz123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0.5703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  <c r="H5" s="162"/>
      <c r="I5" s="162"/>
      <c r="J5" s="162"/>
    </row>
    <row r="6" spans="2:12" ht="14.25">
      <c r="B6" s="458" t="s">
        <v>185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159591.84</v>
      </c>
      <c r="E11" s="377">
        <v>180741.91</v>
      </c>
    </row>
    <row r="12" spans="2:12">
      <c r="B12" s="182" t="s">
        <v>4</v>
      </c>
      <c r="C12" s="183" t="s">
        <v>5</v>
      </c>
      <c r="D12" s="378">
        <v>159591.84</v>
      </c>
      <c r="E12" s="379">
        <v>180741.91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159591.84</v>
      </c>
      <c r="E21" s="446">
        <v>180741.91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381423.37</v>
      </c>
      <c r="E26" s="234">
        <f>D21</f>
        <v>159591.84</v>
      </c>
      <c r="G26" s="75"/>
    </row>
    <row r="27" spans="2:11">
      <c r="B27" s="9" t="s">
        <v>17</v>
      </c>
      <c r="C27" s="10" t="s">
        <v>108</v>
      </c>
      <c r="D27" s="392">
        <v>-193453.75</v>
      </c>
      <c r="E27" s="365">
        <v>6870.67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12832.03</v>
      </c>
      <c r="E28" s="366">
        <v>17965.39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8958.6</v>
      </c>
      <c r="E29" s="367">
        <v>7903.75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3873.43</v>
      </c>
      <c r="E31" s="367">
        <v>10061.640000000001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206285.78</v>
      </c>
      <c r="E32" s="366">
        <v>11094.72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203365.1</v>
      </c>
      <c r="E33" s="367">
        <v>8265.9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862.26</v>
      </c>
      <c r="E35" s="367">
        <v>832.49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1834.63</v>
      </c>
      <c r="E37" s="367">
        <v>852.39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223.79</v>
      </c>
      <c r="E39" s="368">
        <v>1143.94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-36589.379999999997</v>
      </c>
      <c r="E40" s="396">
        <v>14279.4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151380.24</v>
      </c>
      <c r="E41" s="150">
        <f>E26+E27+E40</f>
        <v>180741.91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1855.5329999999999</v>
      </c>
      <c r="E47" s="151">
        <v>852.88499999999999</v>
      </c>
      <c r="G47" s="73"/>
      <c r="H47" s="161"/>
    </row>
    <row r="48" spans="2:10">
      <c r="B48" s="195" t="s">
        <v>6</v>
      </c>
      <c r="C48" s="196" t="s">
        <v>41</v>
      </c>
      <c r="D48" s="310">
        <v>853.66399999999999</v>
      </c>
      <c r="E48" s="151">
        <v>888.12300000000005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205.56</v>
      </c>
      <c r="E50" s="151">
        <v>187.12</v>
      </c>
      <c r="G50" s="181"/>
    </row>
    <row r="51" spans="2:7">
      <c r="B51" s="193" t="s">
        <v>6</v>
      </c>
      <c r="C51" s="194" t="s">
        <v>111</v>
      </c>
      <c r="D51" s="310">
        <v>169.08</v>
      </c>
      <c r="E51" s="151">
        <v>187.12</v>
      </c>
      <c r="G51" s="181"/>
    </row>
    <row r="52" spans="2:7">
      <c r="B52" s="193" t="s">
        <v>8</v>
      </c>
      <c r="C52" s="194" t="s">
        <v>112</v>
      </c>
      <c r="D52" s="310">
        <v>205.81</v>
      </c>
      <c r="E52" s="151">
        <v>203.51</v>
      </c>
    </row>
    <row r="53" spans="2:7" ht="13.5" thickBot="1">
      <c r="B53" s="197" t="s">
        <v>9</v>
      </c>
      <c r="C53" s="198" t="s">
        <v>41</v>
      </c>
      <c r="D53" s="308">
        <v>177.33</v>
      </c>
      <c r="E53" s="267">
        <v>203.51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180741.91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24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180741.91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180741.91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180741.91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Arkusz124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5703125" customWidth="1"/>
    <col min="9" max="9" width="13.28515625" customWidth="1"/>
    <col min="10" max="10" width="13.5703125" customWidth="1"/>
    <col min="11" max="11" width="14.42578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259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152602.6</v>
      </c>
      <c r="E11" s="377">
        <v>167784.34</v>
      </c>
    </row>
    <row r="12" spans="2:12">
      <c r="B12" s="182" t="s">
        <v>4</v>
      </c>
      <c r="C12" s="183" t="s">
        <v>5</v>
      </c>
      <c r="D12" s="378">
        <v>152602.6</v>
      </c>
      <c r="E12" s="379">
        <v>167784.34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152602.6</v>
      </c>
      <c r="E21" s="389">
        <v>167784.34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  <c r="I23" s="156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152870.53</v>
      </c>
      <c r="E26" s="391">
        <f>D21</f>
        <v>152602.6</v>
      </c>
      <c r="G26" s="75"/>
    </row>
    <row r="27" spans="2:11">
      <c r="B27" s="9" t="s">
        <v>17</v>
      </c>
      <c r="C27" s="10" t="s">
        <v>108</v>
      </c>
      <c r="D27" s="392">
        <v>157.59000000000015</v>
      </c>
      <c r="E27" s="365">
        <v>7326.51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14752.52</v>
      </c>
      <c r="E28" s="366">
        <v>10274.08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9605.6200000000008</v>
      </c>
      <c r="E29" s="367">
        <v>10274.08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5146.8999999999996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14594.93</v>
      </c>
      <c r="E32" s="366">
        <v>2947.57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13191.08</v>
      </c>
      <c r="E33" s="367">
        <v>1531.72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875.58</v>
      </c>
      <c r="E35" s="367">
        <v>821.80000000000007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528.27</v>
      </c>
      <c r="E37" s="367">
        <v>594.05000000000007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-23854.3</v>
      </c>
      <c r="E40" s="396">
        <v>7855.23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129173.81999999999</v>
      </c>
      <c r="E41" s="389">
        <f>E26+E27+E40</f>
        <v>167784.34000000003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  <c r="H43" s="237"/>
    </row>
    <row r="44" spans="2:10" ht="18" customHeight="1" thickBot="1">
      <c r="B44" s="459" t="s">
        <v>118</v>
      </c>
      <c r="C44" s="463"/>
      <c r="D44" s="463"/>
      <c r="E44" s="463"/>
      <c r="G44" s="73"/>
      <c r="H44" s="237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916.43499999999995</v>
      </c>
      <c r="E47" s="425">
        <v>1033.963</v>
      </c>
      <c r="G47" s="73"/>
      <c r="H47" s="161"/>
    </row>
    <row r="48" spans="2:10">
      <c r="B48" s="195" t="s">
        <v>6</v>
      </c>
      <c r="C48" s="196" t="s">
        <v>41</v>
      </c>
      <c r="D48" s="310">
        <v>913.34100000000001</v>
      </c>
      <c r="E48" s="289">
        <v>1081.991</v>
      </c>
      <c r="G48" s="201"/>
    </row>
    <row r="49" spans="2:7">
      <c r="B49" s="122" t="s">
        <v>23</v>
      </c>
      <c r="C49" s="126" t="s">
        <v>110</v>
      </c>
      <c r="D49" s="311"/>
      <c r="E49" s="280"/>
    </row>
    <row r="50" spans="2:7">
      <c r="B50" s="193" t="s">
        <v>4</v>
      </c>
      <c r="C50" s="194" t="s">
        <v>40</v>
      </c>
      <c r="D50" s="310">
        <v>166.81</v>
      </c>
      <c r="E50" s="290">
        <v>147.59</v>
      </c>
      <c r="G50" s="181"/>
    </row>
    <row r="51" spans="2:7">
      <c r="B51" s="193" t="s">
        <v>6</v>
      </c>
      <c r="C51" s="194" t="s">
        <v>111</v>
      </c>
      <c r="D51" s="310">
        <v>137.26</v>
      </c>
      <c r="E51" s="290">
        <v>147.59</v>
      </c>
      <c r="G51" s="181"/>
    </row>
    <row r="52" spans="2:7">
      <c r="B52" s="193" t="s">
        <v>8</v>
      </c>
      <c r="C52" s="194" t="s">
        <v>112</v>
      </c>
      <c r="D52" s="310">
        <v>169.58</v>
      </c>
      <c r="E52" s="290">
        <v>155.07</v>
      </c>
    </row>
    <row r="53" spans="2:7" ht="13.5" customHeight="1" thickBot="1">
      <c r="B53" s="197" t="s">
        <v>9</v>
      </c>
      <c r="C53" s="198" t="s">
        <v>41</v>
      </c>
      <c r="D53" s="308">
        <v>141.43</v>
      </c>
      <c r="E53" s="267">
        <v>155.07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167784.34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4.2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167784.34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167784.34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167784.34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5000000000000004" bottom="0.4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Arkusz12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233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37634.47</v>
      </c>
      <c r="E11" s="377">
        <v>31208.04</v>
      </c>
    </row>
    <row r="12" spans="2:12">
      <c r="B12" s="182" t="s">
        <v>4</v>
      </c>
      <c r="C12" s="183" t="s">
        <v>5</v>
      </c>
      <c r="D12" s="378">
        <v>37634.47</v>
      </c>
      <c r="E12" s="379">
        <v>31208.04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37634.47</v>
      </c>
      <c r="E21" s="389">
        <v>31208.04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63739.65</v>
      </c>
      <c r="E26" s="391">
        <f>D21</f>
        <v>37634.47</v>
      </c>
      <c r="G26" s="75"/>
    </row>
    <row r="27" spans="2:11">
      <c r="B27" s="9" t="s">
        <v>17</v>
      </c>
      <c r="C27" s="10" t="s">
        <v>108</v>
      </c>
      <c r="D27" s="392">
        <v>-14612.23</v>
      </c>
      <c r="E27" s="365">
        <v>-14351.87</v>
      </c>
      <c r="F27" s="73"/>
      <c r="G27" s="244"/>
      <c r="H27" s="243"/>
      <c r="I27" s="75"/>
      <c r="J27" s="75"/>
    </row>
    <row r="28" spans="2:11">
      <c r="B28" s="9" t="s">
        <v>18</v>
      </c>
      <c r="C28" s="10" t="s">
        <v>19</v>
      </c>
      <c r="D28" s="392">
        <v>630.94000000000005</v>
      </c>
      <c r="E28" s="367">
        <v>687.99</v>
      </c>
      <c r="F28" s="73"/>
      <c r="G28" s="243"/>
      <c r="H28" s="243"/>
      <c r="I28" s="75"/>
      <c r="J28" s="75"/>
    </row>
    <row r="29" spans="2:11">
      <c r="B29" s="190" t="s">
        <v>4</v>
      </c>
      <c r="C29" s="183" t="s">
        <v>20</v>
      </c>
      <c r="D29" s="393">
        <v>630.94000000000005</v>
      </c>
      <c r="E29" s="367">
        <v>687.99</v>
      </c>
      <c r="F29" s="73"/>
      <c r="G29" s="243"/>
      <c r="H29" s="243"/>
      <c r="I29" s="75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5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5"/>
      <c r="J31" s="75"/>
    </row>
    <row r="32" spans="2:11">
      <c r="B32" s="94" t="s">
        <v>23</v>
      </c>
      <c r="C32" s="11" t="s">
        <v>24</v>
      </c>
      <c r="D32" s="392">
        <v>15243.17</v>
      </c>
      <c r="E32" s="366">
        <v>15039.86</v>
      </c>
      <c r="F32" s="73"/>
      <c r="G32" s="244"/>
      <c r="H32" s="243"/>
      <c r="I32" s="75"/>
      <c r="J32" s="75"/>
    </row>
    <row r="33" spans="2:10">
      <c r="B33" s="190" t="s">
        <v>4</v>
      </c>
      <c r="C33" s="183" t="s">
        <v>25</v>
      </c>
      <c r="D33" s="393">
        <v>12660.560000000001</v>
      </c>
      <c r="E33" s="367">
        <v>0</v>
      </c>
      <c r="F33" s="73"/>
      <c r="G33" s="243"/>
      <c r="H33" s="243"/>
      <c r="I33" s="75"/>
      <c r="J33" s="75"/>
    </row>
    <row r="34" spans="2:10">
      <c r="B34" s="190" t="s">
        <v>6</v>
      </c>
      <c r="C34" s="183" t="s">
        <v>26</v>
      </c>
      <c r="D34" s="393">
        <v>2516.21</v>
      </c>
      <c r="E34" s="367">
        <v>13906.78</v>
      </c>
      <c r="F34" s="73"/>
      <c r="G34" s="243"/>
      <c r="H34" s="243"/>
      <c r="I34" s="75"/>
      <c r="J34" s="75"/>
    </row>
    <row r="35" spans="2:10">
      <c r="B35" s="190" t="s">
        <v>8</v>
      </c>
      <c r="C35" s="183" t="s">
        <v>27</v>
      </c>
      <c r="D35" s="393">
        <v>66.400000000000006</v>
      </c>
      <c r="E35" s="367">
        <v>1133.08</v>
      </c>
      <c r="F35" s="73"/>
      <c r="G35" s="243"/>
      <c r="H35" s="243"/>
      <c r="I35" s="75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5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5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5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243"/>
      <c r="H39" s="243"/>
      <c r="I39" s="75"/>
      <c r="J39" s="75"/>
    </row>
    <row r="40" spans="2:10" ht="13.5" thickBot="1">
      <c r="B40" s="99" t="s">
        <v>35</v>
      </c>
      <c r="C40" s="100" t="s">
        <v>36</v>
      </c>
      <c r="D40" s="395">
        <v>-12849.08</v>
      </c>
      <c r="E40" s="396">
        <v>7925.4400000000005</v>
      </c>
      <c r="G40" s="75"/>
    </row>
    <row r="41" spans="2:10" ht="13.5" thickBot="1">
      <c r="B41" s="101" t="s">
        <v>37</v>
      </c>
      <c r="C41" s="102" t="s">
        <v>38</v>
      </c>
      <c r="D41" s="397">
        <v>36278.339999999997</v>
      </c>
      <c r="E41" s="389">
        <f>E26+E27+E40</f>
        <v>31208.04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947.9425</v>
      </c>
      <c r="E47" s="151">
        <v>683.14520000000005</v>
      </c>
      <c r="G47" s="73"/>
    </row>
    <row r="48" spans="2:10">
      <c r="B48" s="195" t="s">
        <v>6</v>
      </c>
      <c r="C48" s="196" t="s">
        <v>41</v>
      </c>
      <c r="D48" s="310">
        <v>694.18939999999998</v>
      </c>
      <c r="E48" s="151">
        <v>457.46170000000001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67.239999999999995</v>
      </c>
      <c r="E50" s="151">
        <v>55.09</v>
      </c>
      <c r="G50" s="181"/>
    </row>
    <row r="51" spans="2:7">
      <c r="B51" s="193" t="s">
        <v>6</v>
      </c>
      <c r="C51" s="194" t="s">
        <v>111</v>
      </c>
      <c r="D51" s="310">
        <v>50.86</v>
      </c>
      <c r="E51" s="151">
        <v>55.09</v>
      </c>
      <c r="G51" s="181"/>
    </row>
    <row r="52" spans="2:7">
      <c r="B52" s="193" t="s">
        <v>8</v>
      </c>
      <c r="C52" s="194" t="s">
        <v>112</v>
      </c>
      <c r="D52" s="310">
        <v>69.739999999999995</v>
      </c>
      <c r="E52" s="151">
        <v>68.55</v>
      </c>
    </row>
    <row r="53" spans="2:7" ht="14.25" customHeight="1" thickBot="1">
      <c r="B53" s="197" t="s">
        <v>9</v>
      </c>
      <c r="C53" s="198" t="s">
        <v>41</v>
      </c>
      <c r="D53" s="308">
        <v>52.26</v>
      </c>
      <c r="E53" s="267">
        <v>68.22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31208.04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31208.04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31208.04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31208.04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Arkusz127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186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476021.42</v>
      </c>
      <c r="E11" s="377">
        <v>560870.5</v>
      </c>
    </row>
    <row r="12" spans="2:12">
      <c r="B12" s="182" t="s">
        <v>4</v>
      </c>
      <c r="C12" s="183" t="s">
        <v>5</v>
      </c>
      <c r="D12" s="378">
        <v>476021.42</v>
      </c>
      <c r="E12" s="379">
        <v>560870.5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476021.42</v>
      </c>
      <c r="E21" s="389">
        <v>560870.5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608842.19999999995</v>
      </c>
      <c r="E26" s="234">
        <f>D21</f>
        <v>476021.42</v>
      </c>
      <c r="G26" s="75"/>
    </row>
    <row r="27" spans="2:11">
      <c r="B27" s="9" t="s">
        <v>17</v>
      </c>
      <c r="C27" s="10" t="s">
        <v>108</v>
      </c>
      <c r="D27" s="392">
        <v>-4384.3100000000004</v>
      </c>
      <c r="E27" s="365">
        <v>-6952.85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4384.3100000000004</v>
      </c>
      <c r="E32" s="366">
        <v>6952.85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2860.29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66.33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4092.55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4317.9800000000005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-132537.34</v>
      </c>
      <c r="E40" s="396">
        <v>91801.930000000008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471920.54999999993</v>
      </c>
      <c r="E41" s="150">
        <f>E26+E27+E40</f>
        <v>560870.5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7591.5486000000001</v>
      </c>
      <c r="E47" s="151">
        <v>7407.7407000000003</v>
      </c>
      <c r="G47" s="73"/>
    </row>
    <row r="48" spans="2:10">
      <c r="B48" s="195" t="s">
        <v>6</v>
      </c>
      <c r="C48" s="196" t="s">
        <v>41</v>
      </c>
      <c r="D48" s="310">
        <v>7530.2466000000004</v>
      </c>
      <c r="E48" s="151">
        <v>7307.7588999999998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80.2</v>
      </c>
      <c r="E50" s="151">
        <v>64.260000000000005</v>
      </c>
      <c r="G50" s="181"/>
    </row>
    <row r="51" spans="2:7">
      <c r="B51" s="193" t="s">
        <v>6</v>
      </c>
      <c r="C51" s="194" t="s">
        <v>111</v>
      </c>
      <c r="D51" s="310">
        <v>61.1</v>
      </c>
      <c r="E51" s="151">
        <v>64.260000000000005</v>
      </c>
      <c r="G51" s="181"/>
    </row>
    <row r="52" spans="2:7">
      <c r="B52" s="193" t="s">
        <v>8</v>
      </c>
      <c r="C52" s="194" t="s">
        <v>112</v>
      </c>
      <c r="D52" s="310">
        <v>83.98</v>
      </c>
      <c r="E52" s="151">
        <v>77.22</v>
      </c>
    </row>
    <row r="53" spans="2:7" ht="12.75" customHeight="1" thickBot="1">
      <c r="B53" s="197" t="s">
        <v>9</v>
      </c>
      <c r="C53" s="198" t="s">
        <v>41</v>
      </c>
      <c r="D53" s="308">
        <v>62.67</v>
      </c>
      <c r="E53" s="267">
        <v>76.75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560870.5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560870.5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560870.5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560870.5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Arkusz128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  <c r="H5" s="162"/>
      <c r="I5" s="162"/>
      <c r="J5" s="162"/>
    </row>
    <row r="6" spans="2:12" ht="14.25">
      <c r="B6" s="458" t="s">
        <v>187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326825.75</v>
      </c>
      <c r="E11" s="377">
        <v>392509.18</v>
      </c>
    </row>
    <row r="12" spans="2:12">
      <c r="B12" s="182" t="s">
        <v>4</v>
      </c>
      <c r="C12" s="183" t="s">
        <v>5</v>
      </c>
      <c r="D12" s="378">
        <v>326825.75</v>
      </c>
      <c r="E12" s="379">
        <v>392509.18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326825.75</v>
      </c>
      <c r="E21" s="389">
        <v>392509.18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406352.24</v>
      </c>
      <c r="E26" s="234">
        <f>D21</f>
        <v>326825.75</v>
      </c>
      <c r="G26" s="75"/>
    </row>
    <row r="27" spans="2:11">
      <c r="B27" s="9" t="s">
        <v>17</v>
      </c>
      <c r="C27" s="10" t="s">
        <v>108</v>
      </c>
      <c r="D27" s="392">
        <v>-2846.26</v>
      </c>
      <c r="E27" s="365">
        <v>-4940.3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0.02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0.02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2846.26</v>
      </c>
      <c r="E32" s="366">
        <v>4940.3200000000006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2044.5800000000002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/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2846.26</v>
      </c>
      <c r="E37" s="367">
        <v>2895.7400000000002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-88677.43</v>
      </c>
      <c r="E40" s="396">
        <v>70623.73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314828.55</v>
      </c>
      <c r="E41" s="150">
        <f>E26+E27+E40</f>
        <v>392509.18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7698.9814999999999</v>
      </c>
      <c r="E47" s="151">
        <v>7513.2356</v>
      </c>
      <c r="G47" s="73"/>
    </row>
    <row r="48" spans="2:10">
      <c r="B48" s="195" t="s">
        <v>6</v>
      </c>
      <c r="C48" s="196" t="s">
        <v>41</v>
      </c>
      <c r="D48" s="310">
        <v>7637.7620999999999</v>
      </c>
      <c r="E48" s="151">
        <v>7411.4272000000001</v>
      </c>
      <c r="G48" s="16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52.78</v>
      </c>
      <c r="E50" s="151">
        <v>43.5</v>
      </c>
      <c r="G50" s="181"/>
    </row>
    <row r="51" spans="2:7">
      <c r="B51" s="193" t="s">
        <v>6</v>
      </c>
      <c r="C51" s="194" t="s">
        <v>111</v>
      </c>
      <c r="D51" s="310">
        <v>39.4</v>
      </c>
      <c r="E51" s="151">
        <v>43.5</v>
      </c>
      <c r="G51" s="181"/>
    </row>
    <row r="52" spans="2:7">
      <c r="B52" s="193" t="s">
        <v>8</v>
      </c>
      <c r="C52" s="194" t="s">
        <v>112</v>
      </c>
      <c r="D52" s="310">
        <v>54.76</v>
      </c>
      <c r="E52" s="151">
        <v>52.96</v>
      </c>
    </row>
    <row r="53" spans="2:7" ht="14.25" customHeight="1" thickBot="1">
      <c r="B53" s="197" t="s">
        <v>9</v>
      </c>
      <c r="C53" s="198" t="s">
        <v>41</v>
      </c>
      <c r="D53" s="308">
        <v>41.22</v>
      </c>
      <c r="E53" s="267">
        <v>52.96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392509.18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392509.18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392509.18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392509.18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L81"/>
  <sheetViews>
    <sheetView zoomScale="78" zoomScaleNormal="78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7109375" customWidth="1"/>
    <col min="9" max="9" width="13.28515625" customWidth="1"/>
    <col min="10" max="10" width="13.5703125" customWidth="1"/>
    <col min="11" max="11" width="7.8554687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 customHeight="1">
      <c r="B6" s="458" t="s">
        <v>98</v>
      </c>
      <c r="C6" s="458"/>
      <c r="D6" s="458"/>
      <c r="E6" s="458"/>
    </row>
    <row r="7" spans="2:12" ht="14.25">
      <c r="B7" s="251"/>
      <c r="C7" s="251"/>
      <c r="D7" s="296"/>
      <c r="E7" s="296"/>
    </row>
    <row r="8" spans="2:12" ht="13.5" customHeight="1">
      <c r="B8" s="460" t="s">
        <v>18</v>
      </c>
      <c r="C8" s="466"/>
      <c r="D8" s="466"/>
      <c r="E8" s="466"/>
    </row>
    <row r="9" spans="2:12" ht="16.5" customHeight="1" thickBot="1">
      <c r="B9" s="459" t="s">
        <v>100</v>
      </c>
      <c r="C9" s="459"/>
      <c r="D9" s="459"/>
      <c r="E9" s="459"/>
    </row>
    <row r="10" spans="2:12" ht="13.5" thickBot="1">
      <c r="B10" s="252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625952.23</v>
      </c>
      <c r="E11" s="377">
        <f>SUM(E12:E14)</f>
        <v>759630.46</v>
      </c>
    </row>
    <row r="12" spans="2:12">
      <c r="B12" s="182" t="s">
        <v>4</v>
      </c>
      <c r="C12" s="240" t="s">
        <v>5</v>
      </c>
      <c r="D12" s="378">
        <v>574378.96</v>
      </c>
      <c r="E12" s="379">
        <f>725866.97+33142.9</f>
        <v>759009.87</v>
      </c>
      <c r="G12" s="73"/>
    </row>
    <row r="13" spans="2:12">
      <c r="B13" s="182" t="s">
        <v>6</v>
      </c>
      <c r="C13" s="240" t="s">
        <v>7</v>
      </c>
      <c r="D13" s="380">
        <v>51291.03</v>
      </c>
      <c r="E13" s="381">
        <v>0</v>
      </c>
      <c r="G13" s="73"/>
    </row>
    <row r="14" spans="2:12">
      <c r="B14" s="182" t="s">
        <v>8</v>
      </c>
      <c r="C14" s="240" t="s">
        <v>10</v>
      </c>
      <c r="D14" s="380">
        <v>282.24</v>
      </c>
      <c r="E14" s="381">
        <f>E15</f>
        <v>620.59</v>
      </c>
      <c r="G14" s="73"/>
    </row>
    <row r="15" spans="2:12">
      <c r="B15" s="182" t="s">
        <v>103</v>
      </c>
      <c r="C15" s="240" t="s">
        <v>11</v>
      </c>
      <c r="D15" s="380">
        <v>282.24</v>
      </c>
      <c r="E15" s="381">
        <v>620.59</v>
      </c>
      <c r="G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G16" s="73"/>
    </row>
    <row r="17" spans="2:11">
      <c r="B17" s="9" t="s">
        <v>13</v>
      </c>
      <c r="C17" s="207" t="s">
        <v>65</v>
      </c>
      <c r="D17" s="384">
        <v>1240.1400000000001</v>
      </c>
      <c r="E17" s="385">
        <f>E18</f>
        <v>1410.93</v>
      </c>
      <c r="G17" s="73"/>
    </row>
    <row r="18" spans="2:11">
      <c r="B18" s="182" t="s">
        <v>4</v>
      </c>
      <c r="C18" s="240" t="s">
        <v>11</v>
      </c>
      <c r="D18" s="382">
        <v>1240.1400000000001</v>
      </c>
      <c r="E18" s="383">
        <v>1410.93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customHeight="1" thickBot="1">
      <c r="B21" s="468" t="s">
        <v>107</v>
      </c>
      <c r="C21" s="469"/>
      <c r="D21" s="388">
        <v>624712.09</v>
      </c>
      <c r="E21" s="389">
        <f>E11-E17</f>
        <v>758219.52999999991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8"/>
      <c r="G22" s="73"/>
    </row>
    <row r="23" spans="2:11" ht="13.5" customHeight="1">
      <c r="B23" s="460" t="s">
        <v>101</v>
      </c>
      <c r="C23" s="470"/>
      <c r="D23" s="470"/>
      <c r="E23" s="470"/>
      <c r="G23" s="73"/>
    </row>
    <row r="24" spans="2:11" ht="18" customHeight="1" thickBot="1">
      <c r="B24" s="459" t="s">
        <v>102</v>
      </c>
      <c r="C24" s="471"/>
      <c r="D24" s="471"/>
      <c r="E24" s="471"/>
      <c r="K24" s="18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795536.23</v>
      </c>
      <c r="E26" s="391">
        <f>D21</f>
        <v>624712.09</v>
      </c>
      <c r="G26" s="75"/>
    </row>
    <row r="27" spans="2:11">
      <c r="B27" s="9" t="s">
        <v>17</v>
      </c>
      <c r="C27" s="10" t="s">
        <v>108</v>
      </c>
      <c r="D27" s="392">
        <v>-11079.440000000002</v>
      </c>
      <c r="E27" s="365">
        <v>53067.95</v>
      </c>
      <c r="F27" s="73"/>
      <c r="G27" s="155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59064.58</v>
      </c>
      <c r="E28" s="366">
        <v>71003.64</v>
      </c>
      <c r="F28" s="73"/>
      <c r="G28" s="155"/>
      <c r="H28" s="243"/>
      <c r="I28" s="243"/>
      <c r="J28" s="216"/>
    </row>
    <row r="29" spans="2:11">
      <c r="B29" s="190" t="s">
        <v>4</v>
      </c>
      <c r="C29" s="183" t="s">
        <v>20</v>
      </c>
      <c r="D29" s="393">
        <v>59064.58</v>
      </c>
      <c r="E29" s="367">
        <v>71003.64</v>
      </c>
      <c r="F29" s="73"/>
      <c r="G29" s="155"/>
      <c r="H29" s="243"/>
      <c r="I29" s="243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70144.02</v>
      </c>
      <c r="E32" s="366">
        <v>17935.690000000002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64931.17</v>
      </c>
      <c r="E33" s="367">
        <v>12947.17</v>
      </c>
      <c r="F33" s="73"/>
      <c r="G33" s="155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5212.8500000000004</v>
      </c>
      <c r="E35" s="367">
        <v>4698.1900000000005</v>
      </c>
      <c r="F35" s="73"/>
      <c r="G35" s="155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0</v>
      </c>
      <c r="E39" s="368">
        <v>290.33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-189175.56</v>
      </c>
      <c r="E40" s="396">
        <v>80439.490000000005</v>
      </c>
      <c r="G40" s="75"/>
    </row>
    <row r="41" spans="2:10" ht="13.5" thickBot="1">
      <c r="B41" s="101" t="s">
        <v>37</v>
      </c>
      <c r="C41" s="102" t="s">
        <v>38</v>
      </c>
      <c r="D41" s="397">
        <v>595281.23</v>
      </c>
      <c r="E41" s="389">
        <f>E26+E27+E40</f>
        <v>758219.52999999991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 customHeight="1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48978.652199999997</v>
      </c>
      <c r="E47" s="283">
        <v>51069.531000000003</v>
      </c>
      <c r="G47" s="201"/>
    </row>
    <row r="48" spans="2:10">
      <c r="B48" s="195" t="s">
        <v>6</v>
      </c>
      <c r="C48" s="196" t="s">
        <v>41</v>
      </c>
      <c r="D48" s="310">
        <v>48396.248399999997</v>
      </c>
      <c r="E48" s="327">
        <v>55102.5072</v>
      </c>
      <c r="G48" s="20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16.2425</v>
      </c>
      <c r="E50" s="283">
        <v>12.2326</v>
      </c>
      <c r="G50" s="217"/>
    </row>
    <row r="51" spans="2:7">
      <c r="B51" s="193" t="s">
        <v>6</v>
      </c>
      <c r="C51" s="194" t="s">
        <v>111</v>
      </c>
      <c r="D51" s="310">
        <v>12.162100000000001</v>
      </c>
      <c r="E51" s="283">
        <v>12.2286</v>
      </c>
      <c r="G51" s="181"/>
    </row>
    <row r="52" spans="2:7" ht="12.75" customHeight="1">
      <c r="B52" s="193" t="s">
        <v>8</v>
      </c>
      <c r="C52" s="194" t="s">
        <v>112</v>
      </c>
      <c r="D52" s="310">
        <v>16.2425</v>
      </c>
      <c r="E52" s="283">
        <v>13.97</v>
      </c>
    </row>
    <row r="53" spans="2:7" ht="13.5" thickBot="1">
      <c r="B53" s="197" t="s">
        <v>9</v>
      </c>
      <c r="C53" s="198" t="s">
        <v>41</v>
      </c>
      <c r="D53" s="308">
        <v>12.3002</v>
      </c>
      <c r="E53" s="267">
        <v>13.760200000000001</v>
      </c>
    </row>
    <row r="54" spans="2:7">
      <c r="B54" s="199"/>
      <c r="C54" s="200"/>
      <c r="D54" s="113"/>
      <c r="E54" s="113"/>
    </row>
    <row r="55" spans="2:7" ht="13.5" customHeight="1">
      <c r="B55" s="461" t="s">
        <v>62</v>
      </c>
      <c r="C55" s="462"/>
      <c r="D55" s="462"/>
      <c r="E55" s="462"/>
    </row>
    <row r="56" spans="2:7" ht="15.75" customHeight="1" thickBot="1">
      <c r="B56" s="459" t="s">
        <v>113</v>
      </c>
      <c r="C56" s="463"/>
      <c r="D56" s="463"/>
      <c r="E56" s="463"/>
    </row>
    <row r="57" spans="2:7" ht="23.25" customHeight="1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759009.87</v>
      </c>
      <c r="E58" s="31">
        <f>D58/E21</f>
        <v>1.0010423630211689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E12-33142.9</f>
        <v>725866.97</v>
      </c>
      <c r="E64" s="82">
        <f>D64/E21</f>
        <v>0.95733088014760059</v>
      </c>
      <c r="G64" s="73"/>
    </row>
    <row r="65" spans="2:7">
      <c r="B65" s="285" t="s">
        <v>33</v>
      </c>
      <c r="C65" s="196" t="s">
        <v>115</v>
      </c>
      <c r="D65" s="81">
        <v>0</v>
      </c>
      <c r="E65" s="82">
        <v>0</v>
      </c>
    </row>
    <row r="66" spans="2:7">
      <c r="B66" s="285" t="s">
        <v>50</v>
      </c>
      <c r="C66" s="196" t="s">
        <v>51</v>
      </c>
      <c r="D66" s="81">
        <v>0</v>
      </c>
      <c r="E66" s="82">
        <v>0</v>
      </c>
      <c r="G66" s="73"/>
    </row>
    <row r="67" spans="2:7">
      <c r="B67" s="286" t="s">
        <v>52</v>
      </c>
      <c r="C67" s="194" t="s">
        <v>53</v>
      </c>
      <c r="D67" s="79">
        <v>0</v>
      </c>
      <c r="E67" s="80">
        <v>0</v>
      </c>
      <c r="G67" s="73"/>
    </row>
    <row r="68" spans="2:7">
      <c r="B68" s="286" t="s">
        <v>54</v>
      </c>
      <c r="C68" s="194" t="s">
        <v>55</v>
      </c>
      <c r="D68" s="79">
        <v>0</v>
      </c>
      <c r="E68" s="80">
        <v>0</v>
      </c>
    </row>
    <row r="69" spans="2:7">
      <c r="B69" s="286" t="s">
        <v>56</v>
      </c>
      <c r="C69" s="194" t="s">
        <v>57</v>
      </c>
      <c r="D69" s="309">
        <v>33142.9</v>
      </c>
      <c r="E69" s="80">
        <f>D69/E21</f>
        <v>4.3711482873568297E-2</v>
      </c>
    </row>
    <row r="70" spans="2:7">
      <c r="B70" s="287" t="s">
        <v>58</v>
      </c>
      <c r="C70" s="23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620.59</v>
      </c>
      <c r="E72" s="121">
        <f>D72/E21</f>
        <v>8.1848326961454039E-4</v>
      </c>
    </row>
    <row r="73" spans="2:7">
      <c r="B73" s="23" t="s">
        <v>62</v>
      </c>
      <c r="C73" s="24" t="s">
        <v>65</v>
      </c>
      <c r="D73" s="25">
        <f>E17</f>
        <v>1410.93</v>
      </c>
      <c r="E73" s="26">
        <f>D73/E21</f>
        <v>1.860846290783357E-3</v>
      </c>
    </row>
    <row r="74" spans="2:7">
      <c r="B74" s="122" t="s">
        <v>64</v>
      </c>
      <c r="C74" s="123" t="s">
        <v>66</v>
      </c>
      <c r="D74" s="124">
        <f>D58+D71+D72-D73</f>
        <v>758219.52999999991</v>
      </c>
      <c r="E74" s="67">
        <f>E58+E71+E72-E73</f>
        <v>1</v>
      </c>
    </row>
    <row r="75" spans="2:7">
      <c r="B75" s="286" t="s">
        <v>4</v>
      </c>
      <c r="C75" s="194" t="s">
        <v>67</v>
      </c>
      <c r="D75" s="79">
        <f>D74</f>
        <v>758219.52999999991</v>
      </c>
      <c r="E75" s="80">
        <f>E74</f>
        <v>1</v>
      </c>
    </row>
    <row r="76" spans="2:7">
      <c r="B76" s="286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Arkusz129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188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3375265.46</v>
      </c>
      <c r="E11" s="377">
        <v>3324822.44</v>
      </c>
    </row>
    <row r="12" spans="2:12">
      <c r="B12" s="182" t="s">
        <v>4</v>
      </c>
      <c r="C12" s="183" t="s">
        <v>5</v>
      </c>
      <c r="D12" s="378">
        <v>3375265.46</v>
      </c>
      <c r="E12" s="379">
        <v>3324822.44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3375265.46</v>
      </c>
      <c r="E21" s="389">
        <v>3324822.44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3553979.24</v>
      </c>
      <c r="E26" s="234">
        <f>D21</f>
        <v>3375265.46</v>
      </c>
      <c r="G26" s="75"/>
    </row>
    <row r="27" spans="2:11">
      <c r="B27" s="9" t="s">
        <v>17</v>
      </c>
      <c r="C27" s="10" t="s">
        <v>108</v>
      </c>
      <c r="D27" s="392">
        <v>-47080.58</v>
      </c>
      <c r="E27" s="365">
        <v>-128966.28000000001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0.02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0.02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47080.58</v>
      </c>
      <c r="E32" s="366">
        <v>128966.30000000002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83831.570000000007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20464.900000000001</v>
      </c>
      <c r="E35" s="367">
        <v>18913.740000000002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26615.68</v>
      </c>
      <c r="E37" s="367">
        <v>26220.99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-272928.3</v>
      </c>
      <c r="E40" s="396">
        <v>78523.260000000009</v>
      </c>
      <c r="G40" s="75"/>
    </row>
    <row r="41" spans="2:10" ht="13.5" thickBot="1">
      <c r="B41" s="101" t="s">
        <v>37</v>
      </c>
      <c r="C41" s="102" t="s">
        <v>38</v>
      </c>
      <c r="D41" s="306">
        <v>3233970.3600000003</v>
      </c>
      <c r="E41" s="150">
        <f>E26+E27+E40</f>
        <v>3324822.4400000004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41015.340300000003</v>
      </c>
      <c r="E47" s="151">
        <v>38907.959199999998</v>
      </c>
      <c r="G47" s="73"/>
    </row>
    <row r="48" spans="2:10">
      <c r="B48" s="195" t="s">
        <v>6</v>
      </c>
      <c r="C48" s="196" t="s">
        <v>41</v>
      </c>
      <c r="D48" s="310">
        <v>40439.794399999999</v>
      </c>
      <c r="E48" s="151">
        <v>37424.8361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86.65</v>
      </c>
      <c r="E50" s="151">
        <v>86.75</v>
      </c>
      <c r="G50" s="181"/>
    </row>
    <row r="51" spans="2:7">
      <c r="B51" s="193" t="s">
        <v>6</v>
      </c>
      <c r="C51" s="194" t="s">
        <v>111</v>
      </c>
      <c r="D51" s="310">
        <v>75.33</v>
      </c>
      <c r="E51" s="151">
        <v>81.680000000000007</v>
      </c>
      <c r="G51" s="181"/>
    </row>
    <row r="52" spans="2:7">
      <c r="B52" s="193" t="s">
        <v>8</v>
      </c>
      <c r="C52" s="194" t="s">
        <v>112</v>
      </c>
      <c r="D52" s="310">
        <v>87.960000000000008</v>
      </c>
      <c r="E52" s="151">
        <v>89.06</v>
      </c>
    </row>
    <row r="53" spans="2:7" ht="14.25" customHeight="1" thickBot="1">
      <c r="B53" s="197" t="s">
        <v>9</v>
      </c>
      <c r="C53" s="198" t="s">
        <v>41</v>
      </c>
      <c r="D53" s="308">
        <v>79.97</v>
      </c>
      <c r="E53" s="267">
        <v>88.84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3324822.44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3324822.44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3324822.44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3324822.44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Arkusz131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189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175439.5</v>
      </c>
      <c r="E11" s="377">
        <v>194595.08</v>
      </c>
    </row>
    <row r="12" spans="2:12">
      <c r="B12" s="182" t="s">
        <v>4</v>
      </c>
      <c r="C12" s="183" t="s">
        <v>5</v>
      </c>
      <c r="D12" s="378">
        <v>175439.5</v>
      </c>
      <c r="E12" s="379">
        <v>194595.08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175439.5</v>
      </c>
      <c r="E21" s="389">
        <v>194595.08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189715.56</v>
      </c>
      <c r="E26" s="234">
        <f>D21</f>
        <v>175439.5</v>
      </c>
      <c r="G26" s="75"/>
    </row>
    <row r="27" spans="2:11">
      <c r="B27" s="9" t="s">
        <v>17</v>
      </c>
      <c r="C27" s="10" t="s">
        <v>108</v>
      </c>
      <c r="D27" s="392">
        <v>0</v>
      </c>
      <c r="E27" s="365">
        <v>0</v>
      </c>
      <c r="F27" s="73"/>
      <c r="G27" s="244"/>
      <c r="H27" s="243"/>
      <c r="I27" s="75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243"/>
      <c r="H28" s="243"/>
      <c r="I28" s="75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243"/>
      <c r="H29" s="243"/>
      <c r="I29" s="75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5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5"/>
      <c r="J31" s="75"/>
    </row>
    <row r="32" spans="2:11">
      <c r="B32" s="94" t="s">
        <v>23</v>
      </c>
      <c r="C32" s="11" t="s">
        <v>24</v>
      </c>
      <c r="D32" s="392">
        <v>0</v>
      </c>
      <c r="E32" s="366">
        <v>0</v>
      </c>
      <c r="F32" s="73"/>
      <c r="G32" s="244"/>
      <c r="H32" s="243"/>
      <c r="I32" s="75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243"/>
      <c r="H33" s="243"/>
      <c r="I33" s="75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243"/>
      <c r="H34" s="243"/>
      <c r="I34" s="75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243"/>
      <c r="H35" s="243"/>
      <c r="I35" s="75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5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5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5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243"/>
      <c r="H39" s="243"/>
      <c r="I39" s="75"/>
      <c r="J39" s="75"/>
    </row>
    <row r="40" spans="2:10" ht="13.5" thickBot="1">
      <c r="B40" s="99" t="s">
        <v>35</v>
      </c>
      <c r="C40" s="100" t="s">
        <v>36</v>
      </c>
      <c r="D40" s="395">
        <v>-23784.15</v>
      </c>
      <c r="E40" s="396">
        <v>19155.580000000002</v>
      </c>
      <c r="G40" s="244"/>
      <c r="H40" s="237"/>
    </row>
    <row r="41" spans="2:10" ht="13.5" thickBot="1">
      <c r="B41" s="101" t="s">
        <v>37</v>
      </c>
      <c r="C41" s="102" t="s">
        <v>38</v>
      </c>
      <c r="D41" s="306">
        <v>165931.41</v>
      </c>
      <c r="E41" s="150">
        <f>E26+E27+E40</f>
        <v>194595.08000000002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2788.2946000000002</v>
      </c>
      <c r="E47" s="283">
        <v>2788.2946000000002</v>
      </c>
      <c r="G47" s="73"/>
    </row>
    <row r="48" spans="2:10">
      <c r="B48" s="195" t="s">
        <v>6</v>
      </c>
      <c r="C48" s="196" t="s">
        <v>41</v>
      </c>
      <c r="D48" s="310">
        <v>2788.2946000000002</v>
      </c>
      <c r="E48" s="151">
        <v>2788.2946000000002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68.040000000000006</v>
      </c>
      <c r="E50" s="76">
        <v>62.92</v>
      </c>
      <c r="G50" s="181"/>
    </row>
    <row r="51" spans="2:7">
      <c r="B51" s="193" t="s">
        <v>6</v>
      </c>
      <c r="C51" s="194" t="s">
        <v>111</v>
      </c>
      <c r="D51" s="310">
        <v>58.57</v>
      </c>
      <c r="E51" s="76">
        <v>62.92</v>
      </c>
      <c r="G51" s="181"/>
    </row>
    <row r="52" spans="2:7">
      <c r="B52" s="193" t="s">
        <v>8</v>
      </c>
      <c r="C52" s="194" t="s">
        <v>112</v>
      </c>
      <c r="D52" s="310">
        <v>68.239999999999995</v>
      </c>
      <c r="E52" s="76">
        <v>69.790000000000006</v>
      </c>
    </row>
    <row r="53" spans="2:7" ht="14.25" customHeight="1" thickBot="1">
      <c r="B53" s="197" t="s">
        <v>9</v>
      </c>
      <c r="C53" s="198" t="s">
        <v>41</v>
      </c>
      <c r="D53" s="308">
        <v>59.51</v>
      </c>
      <c r="E53" s="267">
        <v>69.790000000000006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194595.08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194595.08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194595.08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194595.08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Arkusz132"/>
  <dimension ref="A1:L81"/>
  <sheetViews>
    <sheetView zoomScale="80" zoomScaleNormal="80" workbookViewId="0">
      <selection activeCell="N50" sqref="N5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190</v>
      </c>
      <c r="C6" s="458"/>
      <c r="D6" s="458"/>
      <c r="E6" s="458"/>
    </row>
    <row r="7" spans="2:12" ht="14.25">
      <c r="B7" s="157"/>
      <c r="C7" s="15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5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82" t="s">
        <v>4</v>
      </c>
      <c r="C12" s="183" t="s">
        <v>5</v>
      </c>
      <c r="D12" s="378">
        <v>0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15163.23</v>
      </c>
      <c r="E26" s="391">
        <f>D21</f>
        <v>0</v>
      </c>
      <c r="G26" s="75"/>
    </row>
    <row r="27" spans="2:11">
      <c r="B27" s="9" t="s">
        <v>17</v>
      </c>
      <c r="C27" s="10" t="s">
        <v>108</v>
      </c>
      <c r="D27" s="392">
        <v>-14197.210000000001</v>
      </c>
      <c r="E27" s="365">
        <v>0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301.88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284.70999999999998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17.170000000000002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14499.09</v>
      </c>
      <c r="E32" s="366">
        <v>0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14411.41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-30.44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118.12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-966.02</v>
      </c>
      <c r="E40" s="396">
        <v>0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0</v>
      </c>
      <c r="E41" s="389">
        <f>E26+E27+E40</f>
        <v>0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89.506100000000004</v>
      </c>
      <c r="E47" s="283">
        <v>0</v>
      </c>
      <c r="G47" s="73"/>
    </row>
    <row r="48" spans="2:10">
      <c r="B48" s="195" t="s">
        <v>6</v>
      </c>
      <c r="C48" s="196" t="s">
        <v>41</v>
      </c>
      <c r="D48" s="310">
        <v>0</v>
      </c>
      <c r="E48" s="342">
        <v>0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169.41</v>
      </c>
      <c r="E50" s="76">
        <v>0</v>
      </c>
      <c r="G50" s="181"/>
    </row>
    <row r="51" spans="2:7">
      <c r="B51" s="193" t="s">
        <v>6</v>
      </c>
      <c r="C51" s="194" t="s">
        <v>111</v>
      </c>
      <c r="D51" s="310">
        <v>143.94</v>
      </c>
      <c r="E51" s="76">
        <v>157.74</v>
      </c>
      <c r="G51" s="181"/>
    </row>
    <row r="52" spans="2:7">
      <c r="B52" s="193" t="s">
        <v>8</v>
      </c>
      <c r="C52" s="194" t="s">
        <v>112</v>
      </c>
      <c r="D52" s="310">
        <v>169.73</v>
      </c>
      <c r="E52" s="76">
        <v>167.82</v>
      </c>
    </row>
    <row r="53" spans="2:7" ht="13.5" thickBot="1">
      <c r="B53" s="197" t="s">
        <v>9</v>
      </c>
      <c r="C53" s="198" t="s">
        <v>41</v>
      </c>
      <c r="D53" s="308">
        <v>0</v>
      </c>
      <c r="E53" s="341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Arkusz134"/>
  <dimension ref="A1:L81"/>
  <sheetViews>
    <sheetView zoomScale="80" zoomScaleNormal="80" workbookViewId="0">
      <selection activeCell="G1" sqref="G1:N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191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23289.84</v>
      </c>
      <c r="E11" s="377">
        <v>28056.240000000002</v>
      </c>
    </row>
    <row r="12" spans="2:12">
      <c r="B12" s="182" t="s">
        <v>4</v>
      </c>
      <c r="C12" s="183" t="s">
        <v>5</v>
      </c>
      <c r="D12" s="378">
        <v>23289.84</v>
      </c>
      <c r="E12" s="379">
        <v>28056.240000000002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23289.84</v>
      </c>
      <c r="E21" s="389">
        <v>28056.240000000002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35239.339999999997</v>
      </c>
      <c r="E26" s="234">
        <f>D21</f>
        <v>23289.84</v>
      </c>
      <c r="G26" s="75"/>
    </row>
    <row r="27" spans="2:11">
      <c r="B27" s="9" t="s">
        <v>17</v>
      </c>
      <c r="C27" s="10" t="s">
        <v>108</v>
      </c>
      <c r="D27" s="392">
        <v>-6122.55</v>
      </c>
      <c r="E27" s="365">
        <v>-261.20000000000005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34.119999999999997</v>
      </c>
      <c r="E28" s="366">
        <v>0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34.119999999999997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6156.67</v>
      </c>
      <c r="E32" s="366">
        <v>261.20000000000005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18.3</v>
      </c>
      <c r="E35" s="367">
        <v>17.25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349.53000000000003</v>
      </c>
      <c r="E37" s="367">
        <v>243.95000000000002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5788.84</v>
      </c>
      <c r="E39" s="368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-7571.57</v>
      </c>
      <c r="E40" s="396">
        <v>5027.5999999999995</v>
      </c>
      <c r="G40" s="244"/>
      <c r="H40" s="237"/>
    </row>
    <row r="41" spans="2:10" ht="13.5" thickBot="1">
      <c r="B41" s="101" t="s">
        <v>37</v>
      </c>
      <c r="C41" s="102" t="s">
        <v>38</v>
      </c>
      <c r="D41" s="306">
        <v>21545.219999999998</v>
      </c>
      <c r="E41" s="150">
        <f>E26+E27+E40</f>
        <v>28056.239999999998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126.98860000000001</v>
      </c>
      <c r="E47" s="283">
        <v>99.844999999999999</v>
      </c>
      <c r="G47" s="73"/>
      <c r="H47" s="161"/>
    </row>
    <row r="48" spans="2:10">
      <c r="B48" s="195" t="s">
        <v>6</v>
      </c>
      <c r="C48" s="196" t="s">
        <v>41</v>
      </c>
      <c r="D48" s="310">
        <v>102.1536</v>
      </c>
      <c r="E48" s="151">
        <v>98.841800000000006</v>
      </c>
      <c r="G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277.5</v>
      </c>
      <c r="E50" s="76">
        <v>233.26</v>
      </c>
      <c r="G50" s="181"/>
    </row>
    <row r="51" spans="2:7">
      <c r="B51" s="193" t="s">
        <v>6</v>
      </c>
      <c r="C51" s="194" t="s">
        <v>111</v>
      </c>
      <c r="D51" s="310">
        <v>208.24</v>
      </c>
      <c r="E51" s="76">
        <v>233.26</v>
      </c>
      <c r="G51" s="181"/>
    </row>
    <row r="52" spans="2:7">
      <c r="B52" s="193" t="s">
        <v>8</v>
      </c>
      <c r="C52" s="194" t="s">
        <v>112</v>
      </c>
      <c r="D52" s="310">
        <v>288.86</v>
      </c>
      <c r="E52" s="76">
        <v>283.85000000000002</v>
      </c>
    </row>
    <row r="53" spans="2:7" ht="14.25" customHeight="1" thickBot="1">
      <c r="B53" s="197" t="s">
        <v>9</v>
      </c>
      <c r="C53" s="198" t="s">
        <v>41</v>
      </c>
      <c r="D53" s="308">
        <v>210.91</v>
      </c>
      <c r="E53" s="267">
        <v>283.85000000000002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28056.240000000002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28056.240000000002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28056.240000000002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28056.240000000002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Arkusz13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192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123817.38</v>
      </c>
      <c r="E11" s="377">
        <v>129821.29</v>
      </c>
    </row>
    <row r="12" spans="2:12">
      <c r="B12" s="182" t="s">
        <v>4</v>
      </c>
      <c r="C12" s="183" t="s">
        <v>5</v>
      </c>
      <c r="D12" s="378">
        <v>123817.38</v>
      </c>
      <c r="E12" s="379">
        <v>129821.29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123817.38</v>
      </c>
      <c r="E21" s="389">
        <v>129821.29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123119.77</v>
      </c>
      <c r="E26" s="391">
        <f>D21</f>
        <v>123817.38</v>
      </c>
      <c r="G26" s="75"/>
    </row>
    <row r="27" spans="2:11">
      <c r="B27" s="9" t="s">
        <v>17</v>
      </c>
      <c r="C27" s="10" t="s">
        <v>108</v>
      </c>
      <c r="D27" s="392">
        <v>-1274.0100000000002</v>
      </c>
      <c r="E27" s="365">
        <v>-1370.96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35.26</v>
      </c>
      <c r="E28" s="366">
        <v>0.01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35.26</v>
      </c>
      <c r="E31" s="367">
        <v>0.01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1309.2700000000002</v>
      </c>
      <c r="E32" s="366">
        <v>1370.97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119.91</v>
      </c>
      <c r="E35" s="367">
        <v>125.46000000000001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1189.3600000000001</v>
      </c>
      <c r="E37" s="367">
        <v>1245.51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-934.49</v>
      </c>
      <c r="E40" s="396">
        <v>7374.87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120911.27</v>
      </c>
      <c r="E41" s="389">
        <f>E26+E27+E40</f>
        <v>129821.29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  <c r="H43" s="237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789.38109999999995</v>
      </c>
      <c r="E47" s="283">
        <v>772.98900000000003</v>
      </c>
      <c r="G47" s="73"/>
      <c r="H47" s="161"/>
    </row>
    <row r="48" spans="2:10">
      <c r="B48" s="195" t="s">
        <v>6</v>
      </c>
      <c r="C48" s="196" t="s">
        <v>41</v>
      </c>
      <c r="D48" s="310">
        <v>781.18150000000003</v>
      </c>
      <c r="E48" s="151">
        <v>764.68920000000003</v>
      </c>
      <c r="G48" s="202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155.97</v>
      </c>
      <c r="E50" s="76">
        <v>160.18</v>
      </c>
      <c r="G50" s="181"/>
    </row>
    <row r="51" spans="2:7">
      <c r="B51" s="193" t="s">
        <v>6</v>
      </c>
      <c r="C51" s="194" t="s">
        <v>111</v>
      </c>
      <c r="D51" s="310">
        <v>154.51</v>
      </c>
      <c r="E51" s="76">
        <v>160.18</v>
      </c>
      <c r="G51" s="181"/>
    </row>
    <row r="52" spans="2:7">
      <c r="B52" s="193" t="s">
        <v>8</v>
      </c>
      <c r="C52" s="194" t="s">
        <v>112</v>
      </c>
      <c r="D52" s="310">
        <v>156.30000000000001</v>
      </c>
      <c r="E52" s="76">
        <v>169.77</v>
      </c>
    </row>
    <row r="53" spans="2:7" ht="13.5" customHeight="1" thickBot="1">
      <c r="B53" s="197" t="s">
        <v>9</v>
      </c>
      <c r="C53" s="198" t="s">
        <v>41</v>
      </c>
      <c r="D53" s="308">
        <v>154.78</v>
      </c>
      <c r="E53" s="267">
        <v>169.77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129821.29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129821.29</v>
      </c>
      <c r="E64" s="82">
        <f>E58</f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D58-D73</f>
        <v>129821.29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129821.29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Arkusz138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215"/>
      <c r="I2" s="215"/>
      <c r="J2" s="216"/>
      <c r="L2" s="73"/>
    </row>
    <row r="3" spans="2:12" ht="15.75">
      <c r="B3" s="456" t="s">
        <v>244</v>
      </c>
      <c r="C3" s="456"/>
      <c r="D3" s="456"/>
      <c r="E3" s="456"/>
      <c r="H3" s="215"/>
      <c r="I3" s="215"/>
      <c r="J3" s="216"/>
    </row>
    <row r="4" spans="2:12" ht="15">
      <c r="B4" s="143"/>
      <c r="C4" s="143"/>
      <c r="D4" s="149"/>
      <c r="E4" s="149"/>
      <c r="H4" s="215"/>
      <c r="I4" s="215"/>
      <c r="J4" s="216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193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323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18765.77</v>
      </c>
      <c r="E11" s="377">
        <v>19506.759999999998</v>
      </c>
    </row>
    <row r="12" spans="2:12">
      <c r="B12" s="182" t="s">
        <v>4</v>
      </c>
      <c r="C12" s="183" t="s">
        <v>5</v>
      </c>
      <c r="D12" s="378">
        <v>18765.77</v>
      </c>
      <c r="E12" s="379">
        <v>19506.759999999998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18765.77</v>
      </c>
      <c r="E21" s="389">
        <v>19506.759999999998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32639.119999999999</v>
      </c>
      <c r="E26" s="234">
        <f>D21</f>
        <v>18765.77</v>
      </c>
      <c r="G26" s="75"/>
    </row>
    <row r="27" spans="2:11">
      <c r="B27" s="9" t="s">
        <v>17</v>
      </c>
      <c r="C27" s="10" t="s">
        <v>108</v>
      </c>
      <c r="D27" s="392">
        <v>-209.42000000000002</v>
      </c>
      <c r="E27" s="365">
        <v>-203.98999999999998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/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209.42000000000002</v>
      </c>
      <c r="E32" s="366">
        <v>203.98999999999998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16.830000000000002</v>
      </c>
      <c r="E35" s="367">
        <v>21.2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192.59</v>
      </c>
      <c r="E37" s="367">
        <v>182.78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-7985.49</v>
      </c>
      <c r="E40" s="396">
        <v>944.98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24444.21</v>
      </c>
      <c r="E41" s="150">
        <f>E26+E27+E40</f>
        <v>19506.759999999998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  <c r="H43" s="237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209.8844</v>
      </c>
      <c r="E47" s="283">
        <v>151.22710000000001</v>
      </c>
      <c r="G47" s="73"/>
    </row>
    <row r="48" spans="2:10">
      <c r="B48" s="195" t="s">
        <v>6</v>
      </c>
      <c r="C48" s="196" t="s">
        <v>41</v>
      </c>
      <c r="D48" s="310">
        <v>208.37280000000001</v>
      </c>
      <c r="E48" s="151">
        <v>149.63759999999999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155.51</v>
      </c>
      <c r="E50" s="76">
        <v>124.09</v>
      </c>
      <c r="G50" s="181"/>
    </row>
    <row r="51" spans="2:7">
      <c r="B51" s="193" t="s">
        <v>6</v>
      </c>
      <c r="C51" s="194" t="s">
        <v>111</v>
      </c>
      <c r="D51" s="310">
        <v>117.31</v>
      </c>
      <c r="E51" s="76">
        <v>124.09</v>
      </c>
      <c r="G51" s="181"/>
    </row>
    <row r="52" spans="2:7">
      <c r="B52" s="193" t="s">
        <v>8</v>
      </c>
      <c r="C52" s="194" t="s">
        <v>112</v>
      </c>
      <c r="D52" s="310">
        <v>155.52000000000001</v>
      </c>
      <c r="E52" s="76">
        <v>130.55000000000001</v>
      </c>
    </row>
    <row r="53" spans="2:7" ht="13.5" customHeight="1" thickBot="1">
      <c r="B53" s="197" t="s">
        <v>9</v>
      </c>
      <c r="C53" s="198" t="s">
        <v>41</v>
      </c>
      <c r="D53" s="308">
        <v>117.31</v>
      </c>
      <c r="E53" s="267">
        <v>130.36000000000001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19506.759999999998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19506.759999999998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19506.759999999998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19506.759999999998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Arkusz143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194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20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33192.18</v>
      </c>
      <c r="E11" s="377">
        <v>32809.9</v>
      </c>
    </row>
    <row r="12" spans="2:12">
      <c r="B12" s="182" t="s">
        <v>4</v>
      </c>
      <c r="C12" s="183" t="s">
        <v>5</v>
      </c>
      <c r="D12" s="378">
        <v>33192.18</v>
      </c>
      <c r="E12" s="379">
        <v>32809.9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33192.18</v>
      </c>
      <c r="E21" s="389">
        <v>32809.9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41548.17</v>
      </c>
      <c r="E26" s="234">
        <f>D21</f>
        <v>33192.18</v>
      </c>
      <c r="G26" s="75"/>
    </row>
    <row r="27" spans="2:11">
      <c r="B27" s="9" t="s">
        <v>17</v>
      </c>
      <c r="C27" s="10" t="s">
        <v>108</v>
      </c>
      <c r="D27" s="392">
        <v>0</v>
      </c>
      <c r="E27" s="365">
        <v>-1422.0800000000002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0</v>
      </c>
      <c r="E32" s="366">
        <v>1422.0900000000001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1258.1000000000001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40.5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123.49000000000001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-7585.55</v>
      </c>
      <c r="E40" s="396">
        <v>1039.8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33962.619999999995</v>
      </c>
      <c r="E41" s="150">
        <f>E26+E27+E40</f>
        <v>32809.9</v>
      </c>
      <c r="F41" s="78"/>
      <c r="G41" s="75"/>
      <c r="H41" s="258"/>
    </row>
    <row r="42" spans="2:10">
      <c r="B42" s="95"/>
      <c r="C42" s="95"/>
      <c r="D42" s="96"/>
      <c r="E42" s="96"/>
      <c r="F42" s="78"/>
      <c r="G42" s="68"/>
      <c r="H42" s="258"/>
    </row>
    <row r="43" spans="2:10" ht="13.5">
      <c r="B43" s="461" t="s">
        <v>60</v>
      </c>
      <c r="C43" s="462"/>
      <c r="D43" s="462"/>
      <c r="E43" s="462"/>
      <c r="G43" s="73"/>
      <c r="H43" s="258"/>
    </row>
    <row r="44" spans="2:10" ht="18" customHeight="1" thickBot="1">
      <c r="B44" s="459" t="s">
        <v>118</v>
      </c>
      <c r="C44" s="463"/>
      <c r="D44" s="463"/>
      <c r="E44" s="463"/>
      <c r="G44" s="73"/>
      <c r="H44" s="258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  <c r="H45" s="258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548.89</v>
      </c>
      <c r="E47" s="283">
        <v>539.59</v>
      </c>
      <c r="G47" s="73"/>
    </row>
    <row r="48" spans="2:10">
      <c r="B48" s="195" t="s">
        <v>6</v>
      </c>
      <c r="C48" s="196" t="s">
        <v>41</v>
      </c>
      <c r="D48" s="310">
        <v>548.89</v>
      </c>
      <c r="E48" s="151">
        <v>518.16999999999996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75.694900000000004</v>
      </c>
      <c r="E50" s="76">
        <v>61.5137</v>
      </c>
      <c r="G50" s="181"/>
    </row>
    <row r="51" spans="2:7">
      <c r="B51" s="193" t="s">
        <v>6</v>
      </c>
      <c r="C51" s="194" t="s">
        <v>111</v>
      </c>
      <c r="D51" s="310">
        <v>58.547400000000003</v>
      </c>
      <c r="E51" s="76">
        <v>60.590899999999998</v>
      </c>
      <c r="G51" s="181"/>
    </row>
    <row r="52" spans="2:7">
      <c r="B52" s="193" t="s">
        <v>8</v>
      </c>
      <c r="C52" s="194" t="s">
        <v>112</v>
      </c>
      <c r="D52" s="310">
        <v>77.993200000000002</v>
      </c>
      <c r="E52" s="76">
        <v>69.783199999999994</v>
      </c>
    </row>
    <row r="53" spans="2:7" ht="12.75" customHeight="1" thickBot="1">
      <c r="B53" s="197" t="s">
        <v>9</v>
      </c>
      <c r="C53" s="198" t="s">
        <v>41</v>
      </c>
      <c r="D53" s="308">
        <v>61.875100000000003</v>
      </c>
      <c r="E53" s="267">
        <v>63.318800000000003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32809.9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32809.9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32809.9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32809.9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Arkusz144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195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39579.71</v>
      </c>
      <c r="E11" s="377">
        <v>42803.97</v>
      </c>
    </row>
    <row r="12" spans="2:12">
      <c r="B12" s="182" t="s">
        <v>4</v>
      </c>
      <c r="C12" s="183" t="s">
        <v>5</v>
      </c>
      <c r="D12" s="378">
        <v>39579.71</v>
      </c>
      <c r="E12" s="379">
        <v>42803.97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39579.71</v>
      </c>
      <c r="E21" s="389">
        <v>42803.97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43840.05</v>
      </c>
      <c r="E26" s="234">
        <f>D21</f>
        <v>39579.71</v>
      </c>
      <c r="G26" s="75"/>
    </row>
    <row r="27" spans="2:11">
      <c r="B27" s="9" t="s">
        <v>17</v>
      </c>
      <c r="C27" s="10" t="s">
        <v>108</v>
      </c>
      <c r="D27" s="392">
        <v>-525.39</v>
      </c>
      <c r="E27" s="365">
        <v>0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/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525.39</v>
      </c>
      <c r="E32" s="366">
        <v>0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525.39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-5602.6</v>
      </c>
      <c r="E40" s="396">
        <v>3224.26</v>
      </c>
      <c r="G40" s="75"/>
    </row>
    <row r="41" spans="2:10" ht="13.5" thickBot="1">
      <c r="B41" s="101" t="s">
        <v>37</v>
      </c>
      <c r="C41" s="102" t="s">
        <v>38</v>
      </c>
      <c r="D41" s="306">
        <v>37712.060000000005</v>
      </c>
      <c r="E41" s="150">
        <f>E26+E27+E40</f>
        <v>42803.97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393.61</v>
      </c>
      <c r="E47" s="283">
        <v>383.75</v>
      </c>
      <c r="G47" s="73"/>
    </row>
    <row r="48" spans="2:10">
      <c r="B48" s="195" t="s">
        <v>6</v>
      </c>
      <c r="C48" s="196" t="s">
        <v>41</v>
      </c>
      <c r="D48" s="310">
        <v>388.89</v>
      </c>
      <c r="E48" s="151">
        <v>383.75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111.3794</v>
      </c>
      <c r="E50" s="76">
        <v>103.13930000000001</v>
      </c>
      <c r="G50" s="181"/>
    </row>
    <row r="51" spans="2:7">
      <c r="B51" s="193" t="s">
        <v>6</v>
      </c>
      <c r="C51" s="194" t="s">
        <v>111</v>
      </c>
      <c r="D51" s="310">
        <v>96.973600000000005</v>
      </c>
      <c r="E51" s="76">
        <v>103.1357</v>
      </c>
      <c r="G51" s="181"/>
    </row>
    <row r="52" spans="2:7">
      <c r="B52" s="193" t="s">
        <v>8</v>
      </c>
      <c r="C52" s="194" t="s">
        <v>112</v>
      </c>
      <c r="D52" s="310">
        <v>111.9393</v>
      </c>
      <c r="E52" s="76">
        <v>111.54130000000001</v>
      </c>
    </row>
    <row r="53" spans="2:7" ht="13.5" customHeight="1" thickBot="1">
      <c r="B53" s="197" t="s">
        <v>9</v>
      </c>
      <c r="C53" s="198" t="s">
        <v>41</v>
      </c>
      <c r="D53" s="308">
        <v>96.973600000000005</v>
      </c>
      <c r="E53" s="267">
        <v>111.54130000000001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42803.97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42803.97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42803.97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42803.97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Arkusz145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0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196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717664.29</v>
      </c>
      <c r="E11" s="377">
        <v>735858.37</v>
      </c>
    </row>
    <row r="12" spans="2:12">
      <c r="B12" s="182" t="s">
        <v>4</v>
      </c>
      <c r="C12" s="183" t="s">
        <v>5</v>
      </c>
      <c r="D12" s="378">
        <v>717664.29</v>
      </c>
      <c r="E12" s="379">
        <v>735858.37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717664.29</v>
      </c>
      <c r="E21" s="389">
        <v>735858.37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848929.38</v>
      </c>
      <c r="E26" s="234">
        <f>D21</f>
        <v>717664.29</v>
      </c>
      <c r="G26" s="75"/>
      <c r="H26" s="237"/>
    </row>
    <row r="27" spans="2:11">
      <c r="B27" s="9" t="s">
        <v>17</v>
      </c>
      <c r="C27" s="10" t="s">
        <v>108</v>
      </c>
      <c r="D27" s="392">
        <v>-28085.940000000002</v>
      </c>
      <c r="E27" s="365">
        <v>-42209.07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0.15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0.15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28085.940000000002</v>
      </c>
      <c r="E32" s="366">
        <v>42209.22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21728.15</v>
      </c>
      <c r="E33" s="367">
        <v>34424.75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1724.68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246.35</v>
      </c>
      <c r="E35" s="367">
        <v>214.56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6111.4400000000005</v>
      </c>
      <c r="E37" s="367">
        <v>5845.2300000000005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-142552.82999999999</v>
      </c>
      <c r="E40" s="396">
        <v>60403.15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678290.61</v>
      </c>
      <c r="E41" s="150">
        <f>E26+E27+E40</f>
        <v>735858.37000000011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5625.07</v>
      </c>
      <c r="E47" s="283">
        <v>5369.01</v>
      </c>
      <c r="G47" s="73"/>
    </row>
    <row r="48" spans="2:10">
      <c r="B48" s="195" t="s">
        <v>6</v>
      </c>
      <c r="C48" s="196" t="s">
        <v>41</v>
      </c>
      <c r="D48" s="310">
        <v>5414.88</v>
      </c>
      <c r="E48" s="151">
        <v>5072.51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150.91890000000001</v>
      </c>
      <c r="E50" s="76">
        <v>133.6679</v>
      </c>
      <c r="G50" s="181"/>
    </row>
    <row r="51" spans="2:7">
      <c r="B51" s="193" t="s">
        <v>6</v>
      </c>
      <c r="C51" s="194" t="s">
        <v>111</v>
      </c>
      <c r="D51" s="310">
        <v>124.87990000000001</v>
      </c>
      <c r="E51" s="76">
        <v>133.6679</v>
      </c>
      <c r="G51" s="181"/>
    </row>
    <row r="52" spans="2:7">
      <c r="B52" s="193" t="s">
        <v>8</v>
      </c>
      <c r="C52" s="194" t="s">
        <v>112</v>
      </c>
      <c r="D52" s="310">
        <v>153.1611</v>
      </c>
      <c r="E52" s="76">
        <v>150.8946</v>
      </c>
    </row>
    <row r="53" spans="2:7" ht="12.75" customHeight="1" thickBot="1">
      <c r="B53" s="197" t="s">
        <v>9</v>
      </c>
      <c r="C53" s="198" t="s">
        <v>41</v>
      </c>
      <c r="D53" s="308">
        <v>125.2642</v>
      </c>
      <c r="E53" s="267">
        <v>145.06790000000001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735858.37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735858.37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735858.37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735858.37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Arkusz146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140625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197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233277.35</v>
      </c>
      <c r="E11" s="377">
        <v>256798.48</v>
      </c>
    </row>
    <row r="12" spans="2:12">
      <c r="B12" s="182" t="s">
        <v>4</v>
      </c>
      <c r="C12" s="183" t="s">
        <v>5</v>
      </c>
      <c r="D12" s="378">
        <v>233277.35</v>
      </c>
      <c r="E12" s="379">
        <v>256798.48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233277.35</v>
      </c>
      <c r="E21" s="389">
        <v>256798.48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324764.82</v>
      </c>
      <c r="E26" s="234">
        <f>D21</f>
        <v>233277.35</v>
      </c>
      <c r="G26" s="75"/>
    </row>
    <row r="27" spans="2:11">
      <c r="B27" s="9" t="s">
        <v>17</v>
      </c>
      <c r="C27" s="10" t="s">
        <v>108</v>
      </c>
      <c r="D27" s="392">
        <v>-9044.31</v>
      </c>
      <c r="E27" s="365">
        <v>-3144.79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32.090000000000003</v>
      </c>
      <c r="E28" s="366">
        <v>6.38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32.090000000000003</v>
      </c>
      <c r="E31" s="367">
        <v>6.38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9076.4</v>
      </c>
      <c r="E32" s="366">
        <v>3151.17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6365.33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1324.18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35.6</v>
      </c>
      <c r="E35" s="367">
        <v>24.38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2675.4700000000003</v>
      </c>
      <c r="E37" s="367">
        <v>1802.6100000000001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-46811.95</v>
      </c>
      <c r="E40" s="396">
        <v>26665.920000000002</v>
      </c>
      <c r="G40" s="75"/>
    </row>
    <row r="41" spans="2:10" ht="13.5" thickBot="1">
      <c r="B41" s="101" t="s">
        <v>37</v>
      </c>
      <c r="C41" s="102" t="s">
        <v>38</v>
      </c>
      <c r="D41" s="306">
        <v>268908.56</v>
      </c>
      <c r="E41" s="150">
        <f>E26+E27+E40</f>
        <v>256798.48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606.96</v>
      </c>
      <c r="E47" s="283">
        <v>493.27</v>
      </c>
      <c r="G47" s="73"/>
      <c r="H47" s="161"/>
    </row>
    <row r="48" spans="2:10">
      <c r="B48" s="195" t="s">
        <v>6</v>
      </c>
      <c r="C48" s="196" t="s">
        <v>41</v>
      </c>
      <c r="D48" s="310">
        <v>588.13</v>
      </c>
      <c r="E48" s="151">
        <v>486.85</v>
      </c>
      <c r="G48" s="202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535.06790000000001</v>
      </c>
      <c r="E50" s="76">
        <v>472.92020000000002</v>
      </c>
      <c r="G50" s="181"/>
    </row>
    <row r="51" spans="2:7">
      <c r="B51" s="193" t="s">
        <v>6</v>
      </c>
      <c r="C51" s="194" t="s">
        <v>111</v>
      </c>
      <c r="D51" s="310">
        <v>455.9443</v>
      </c>
      <c r="E51" s="76">
        <v>471.98840000000001</v>
      </c>
      <c r="G51" s="181"/>
    </row>
    <row r="52" spans="2:7">
      <c r="B52" s="193" t="s">
        <v>8</v>
      </c>
      <c r="C52" s="194" t="s">
        <v>112</v>
      </c>
      <c r="D52" s="310">
        <v>540.83270000000005</v>
      </c>
      <c r="E52" s="76">
        <v>527.46939999999995</v>
      </c>
    </row>
    <row r="53" spans="2:7" ht="12.75" customHeight="1" thickBot="1">
      <c r="B53" s="197" t="s">
        <v>9</v>
      </c>
      <c r="C53" s="198" t="s">
        <v>41</v>
      </c>
      <c r="D53" s="308">
        <v>457.22640000000001</v>
      </c>
      <c r="E53" s="267">
        <v>527.46939999999995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256798.48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256798.48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256798.48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256798.48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4" width="17.85546875" style="85" customWidth="1"/>
    <col min="5" max="5" width="17.140625" style="85" customWidth="1"/>
    <col min="6" max="6" width="7.42578125" customWidth="1"/>
    <col min="7" max="7" width="17.28515625" customWidth="1"/>
    <col min="8" max="8" width="20.140625" customWidth="1"/>
    <col min="9" max="9" width="12.85546875" customWidth="1"/>
    <col min="10" max="10" width="13.5703125" customWidth="1"/>
    <col min="11" max="11" width="15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99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1285549.8600000001</v>
      </c>
      <c r="E11" s="377">
        <f>SUM(E12:E14)</f>
        <v>1341266.5999999999</v>
      </c>
      <c r="H11" s="73"/>
    </row>
    <row r="12" spans="2:12">
      <c r="B12" s="182" t="s">
        <v>4</v>
      </c>
      <c r="C12" s="240" t="s">
        <v>5</v>
      </c>
      <c r="D12" s="378">
        <v>1090081.99</v>
      </c>
      <c r="E12" s="379">
        <f>1274429.2+67673.85-1105.87</f>
        <v>1340997.18</v>
      </c>
      <c r="H12" s="73"/>
    </row>
    <row r="13" spans="2:12">
      <c r="B13" s="182" t="s">
        <v>6</v>
      </c>
      <c r="C13" s="240" t="s">
        <v>7</v>
      </c>
      <c r="D13" s="380">
        <v>194613.56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854.31</v>
      </c>
      <c r="E14" s="381">
        <f>E15</f>
        <v>269.42</v>
      </c>
      <c r="H14" s="73"/>
    </row>
    <row r="15" spans="2:12">
      <c r="B15" s="182" t="s">
        <v>103</v>
      </c>
      <c r="C15" s="240" t="s">
        <v>11</v>
      </c>
      <c r="D15" s="380">
        <v>854.31</v>
      </c>
      <c r="E15" s="381">
        <v>269.42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1143.72</v>
      </c>
      <c r="E17" s="385">
        <f>E18</f>
        <v>4386.3100000000004</v>
      </c>
    </row>
    <row r="18" spans="2:11">
      <c r="B18" s="182" t="s">
        <v>4</v>
      </c>
      <c r="C18" s="240" t="s">
        <v>11</v>
      </c>
      <c r="D18" s="382">
        <v>1143.72</v>
      </c>
      <c r="E18" s="383">
        <v>4386.3100000000004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1284406.1400000001</v>
      </c>
      <c r="E21" s="389">
        <f>E11-E17</f>
        <v>1336880.2899999998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8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K25" s="181"/>
    </row>
    <row r="26" spans="2:11">
      <c r="B26" s="97" t="s">
        <v>15</v>
      </c>
      <c r="C26" s="98" t="s">
        <v>16</v>
      </c>
      <c r="D26" s="390">
        <v>1293945.3900000001</v>
      </c>
      <c r="E26" s="391">
        <f>D21</f>
        <v>1284406.1400000001</v>
      </c>
      <c r="G26" s="75"/>
    </row>
    <row r="27" spans="2:11">
      <c r="B27" s="9" t="s">
        <v>17</v>
      </c>
      <c r="C27" s="10" t="s">
        <v>108</v>
      </c>
      <c r="D27" s="392">
        <v>-2375.429999999993</v>
      </c>
      <c r="E27" s="365">
        <v>24276.199999999997</v>
      </c>
      <c r="F27" s="73"/>
      <c r="G27" s="155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101330.69</v>
      </c>
      <c r="E28" s="366">
        <v>83769.2</v>
      </c>
      <c r="F28" s="73"/>
      <c r="G28" s="155"/>
      <c r="H28" s="243"/>
      <c r="I28" s="243"/>
      <c r="J28" s="216"/>
    </row>
    <row r="29" spans="2:11">
      <c r="B29" s="190" t="s">
        <v>4</v>
      </c>
      <c r="C29" s="183" t="s">
        <v>20</v>
      </c>
      <c r="D29" s="393">
        <v>101261.35</v>
      </c>
      <c r="E29" s="367">
        <v>83725.48</v>
      </c>
      <c r="F29" s="73"/>
      <c r="G29" s="155"/>
      <c r="H29" s="243"/>
      <c r="I29" s="243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1">
      <c r="B31" s="190" t="s">
        <v>8</v>
      </c>
      <c r="C31" s="183" t="s">
        <v>22</v>
      </c>
      <c r="D31" s="393">
        <v>69.34</v>
      </c>
      <c r="E31" s="367">
        <v>43.720000000000027</v>
      </c>
      <c r="F31" s="73"/>
      <c r="G31" s="155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103706.12</v>
      </c>
      <c r="E32" s="366">
        <v>59493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95065.919999999998</v>
      </c>
      <c r="E33" s="367">
        <v>51950.080000000002</v>
      </c>
      <c r="F33" s="73"/>
      <c r="G33" s="155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8640.2000000000007</v>
      </c>
      <c r="E35" s="367">
        <v>7542.85</v>
      </c>
      <c r="F35" s="73"/>
      <c r="G35" s="155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0</v>
      </c>
      <c r="E39" s="368">
        <v>7.0000000000000007E-2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-75902.570000000007</v>
      </c>
      <c r="E40" s="396">
        <v>28197.95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1215667.3900000001</v>
      </c>
      <c r="E41" s="389">
        <f>E26+E27+E40</f>
        <v>1336880.29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5.75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88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119125.20510000001</v>
      </c>
      <c r="E47" s="283">
        <v>122208.2475</v>
      </c>
      <c r="G47" s="73"/>
    </row>
    <row r="48" spans="2:10">
      <c r="B48" s="125" t="s">
        <v>6</v>
      </c>
      <c r="C48" s="22" t="s">
        <v>41</v>
      </c>
      <c r="D48" s="310">
        <v>118854.63559999999</v>
      </c>
      <c r="E48" s="327">
        <v>124482.21580000001</v>
      </c>
      <c r="G48" s="203"/>
      <c r="I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10.8621</v>
      </c>
      <c r="E50" s="283">
        <v>10.51</v>
      </c>
      <c r="G50" s="181"/>
    </row>
    <row r="51" spans="2:7">
      <c r="B51" s="104" t="s">
        <v>6</v>
      </c>
      <c r="C51" s="15" t="s">
        <v>111</v>
      </c>
      <c r="D51" s="310">
        <v>10.216700000000001</v>
      </c>
      <c r="E51" s="283">
        <v>10.5078</v>
      </c>
      <c r="G51" s="181"/>
    </row>
    <row r="52" spans="2:7" ht="12" customHeight="1">
      <c r="B52" s="104" t="s">
        <v>8</v>
      </c>
      <c r="C52" s="15" t="s">
        <v>112</v>
      </c>
      <c r="D52" s="310">
        <v>10.8621</v>
      </c>
      <c r="E52" s="283">
        <v>10.8851</v>
      </c>
    </row>
    <row r="53" spans="2:7" ht="13.5" thickBot="1">
      <c r="B53" s="105" t="s">
        <v>9</v>
      </c>
      <c r="C53" s="17" t="s">
        <v>41</v>
      </c>
      <c r="D53" s="308">
        <v>10.228200000000001</v>
      </c>
      <c r="E53" s="267">
        <v>10.739500000000001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1340997.18</v>
      </c>
      <c r="E58" s="31">
        <f>D58/E21</f>
        <v>1.0030794754255821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E12-67673.85</f>
        <v>1273323.3299999998</v>
      </c>
      <c r="E64" s="82">
        <f>D64/E21</f>
        <v>0.95245875006504888</v>
      </c>
      <c r="G64" s="73"/>
    </row>
    <row r="65" spans="2:7">
      <c r="B65" s="21" t="s">
        <v>33</v>
      </c>
      <c r="C65" s="22" t="s">
        <v>115</v>
      </c>
      <c r="D65" s="81">
        <v>0</v>
      </c>
      <c r="E65" s="82">
        <v>0</v>
      </c>
    </row>
    <row r="66" spans="2:7">
      <c r="B66" s="21" t="s">
        <v>50</v>
      </c>
      <c r="C66" s="22" t="s">
        <v>51</v>
      </c>
      <c r="D66" s="81">
        <v>0</v>
      </c>
      <c r="E66" s="82">
        <v>0</v>
      </c>
    </row>
    <row r="67" spans="2:7">
      <c r="B67" s="14" t="s">
        <v>52</v>
      </c>
      <c r="C67" s="15" t="s">
        <v>53</v>
      </c>
      <c r="D67" s="79">
        <v>0</v>
      </c>
      <c r="E67" s="80">
        <v>0</v>
      </c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09">
        <v>67673.850000000006</v>
      </c>
      <c r="E69" s="80">
        <f>D69/E21</f>
        <v>5.0620725360533227E-2</v>
      </c>
    </row>
    <row r="70" spans="2:7">
      <c r="B70" s="114" t="s">
        <v>58</v>
      </c>
      <c r="C70" s="115" t="s">
        <v>59</v>
      </c>
      <c r="D70" s="239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269.42</v>
      </c>
      <c r="E72" s="121">
        <f>D72/E21</f>
        <v>2.0152888932187043E-4</v>
      </c>
    </row>
    <row r="73" spans="2:7">
      <c r="B73" s="23" t="s">
        <v>62</v>
      </c>
      <c r="C73" s="24" t="s">
        <v>65</v>
      </c>
      <c r="D73" s="25">
        <f>E17</f>
        <v>4386.3100000000004</v>
      </c>
      <c r="E73" s="26">
        <f>D73/E21</f>
        <v>3.2810043149039177E-3</v>
      </c>
    </row>
    <row r="74" spans="2:7">
      <c r="B74" s="122" t="s">
        <v>64</v>
      </c>
      <c r="C74" s="123" t="s">
        <v>66</v>
      </c>
      <c r="D74" s="124">
        <f>D58+D71+D72-D73</f>
        <v>1336880.2899999998</v>
      </c>
      <c r="E74" s="67">
        <f>E58+E71+E72-E73</f>
        <v>0.99999999999999989</v>
      </c>
    </row>
    <row r="75" spans="2:7">
      <c r="B75" s="14" t="s">
        <v>4</v>
      </c>
      <c r="C75" s="15" t="s">
        <v>67</v>
      </c>
      <c r="D75" s="79">
        <f>D74</f>
        <v>1336880.2899999998</v>
      </c>
      <c r="E75" s="80">
        <f>E74</f>
        <v>0.99999999999999989</v>
      </c>
      <c r="G75" s="68"/>
    </row>
    <row r="76" spans="2:7">
      <c r="B76" s="14" t="s">
        <v>6</v>
      </c>
      <c r="C76" s="15" t="s">
        <v>116</v>
      </c>
      <c r="D76" s="79">
        <v>0</v>
      </c>
      <c r="E76" s="80">
        <v>0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Arkusz147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0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198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399699.61</v>
      </c>
      <c r="E11" s="377">
        <v>408799.65</v>
      </c>
    </row>
    <row r="12" spans="2:12">
      <c r="B12" s="182" t="s">
        <v>4</v>
      </c>
      <c r="C12" s="183" t="s">
        <v>5</v>
      </c>
      <c r="D12" s="378">
        <v>399699.61</v>
      </c>
      <c r="E12" s="379">
        <v>408799.65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399699.61</v>
      </c>
      <c r="E21" s="389">
        <v>408799.65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473932.89</v>
      </c>
      <c r="E26" s="234">
        <f>D21</f>
        <v>399699.61</v>
      </c>
      <c r="G26" s="75"/>
    </row>
    <row r="27" spans="2:11">
      <c r="B27" s="9" t="s">
        <v>17</v>
      </c>
      <c r="C27" s="10" t="s">
        <v>108</v>
      </c>
      <c r="D27" s="392">
        <v>-30514.81</v>
      </c>
      <c r="E27" s="365">
        <v>-6045.59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0.02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0.02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30514.81</v>
      </c>
      <c r="E32" s="366">
        <v>6045.6100000000006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26967.84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2849.2000000000003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170.95</v>
      </c>
      <c r="E35" s="367">
        <v>182.68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3376.02</v>
      </c>
      <c r="E37" s="367">
        <v>3013.73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-40519.1</v>
      </c>
      <c r="E40" s="396">
        <v>15145.63</v>
      </c>
      <c r="G40" s="75"/>
    </row>
    <row r="41" spans="2:10" ht="13.5" thickBot="1">
      <c r="B41" s="101" t="s">
        <v>37</v>
      </c>
      <c r="C41" s="102" t="s">
        <v>38</v>
      </c>
      <c r="D41" s="306">
        <v>402898.98000000004</v>
      </c>
      <c r="E41" s="150">
        <f>E26+E27+E40</f>
        <v>408799.64999999997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687.44</v>
      </c>
      <c r="E47" s="283">
        <v>634.76</v>
      </c>
      <c r="G47" s="73"/>
    </row>
    <row r="48" spans="2:10">
      <c r="B48" s="195" t="s">
        <v>6</v>
      </c>
      <c r="C48" s="196" t="s">
        <v>41</v>
      </c>
      <c r="D48" s="310">
        <v>639.86</v>
      </c>
      <c r="E48" s="151">
        <v>625.54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689.4171</v>
      </c>
      <c r="E50" s="76">
        <v>629.68619999999999</v>
      </c>
      <c r="G50" s="181"/>
    </row>
    <row r="51" spans="2:7">
      <c r="B51" s="193" t="s">
        <v>6</v>
      </c>
      <c r="C51" s="194" t="s">
        <v>111</v>
      </c>
      <c r="D51" s="310">
        <v>629.48419999999999</v>
      </c>
      <c r="E51" s="76">
        <v>629.68619999999999</v>
      </c>
      <c r="G51" s="181"/>
    </row>
    <row r="52" spans="2:7">
      <c r="B52" s="193" t="s">
        <v>8</v>
      </c>
      <c r="C52" s="194" t="s">
        <v>112</v>
      </c>
      <c r="D52" s="310">
        <v>690.81470000000002</v>
      </c>
      <c r="E52" s="76">
        <v>663.01170000000002</v>
      </c>
    </row>
    <row r="53" spans="2:7" ht="13.5" customHeight="1" thickBot="1">
      <c r="B53" s="197" t="s">
        <v>9</v>
      </c>
      <c r="C53" s="198" t="s">
        <v>41</v>
      </c>
      <c r="D53" s="308">
        <v>629.66740000000004</v>
      </c>
      <c r="E53" s="267">
        <v>653.51480000000004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408799.65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408799.65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408799.65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408799.65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Arkusz148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  <c r="H1" s="162"/>
      <c r="I1" s="162"/>
      <c r="J1" s="162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221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395320.12</v>
      </c>
      <c r="E11" s="377">
        <v>408377.51</v>
      </c>
    </row>
    <row r="12" spans="2:12">
      <c r="B12" s="182" t="s">
        <v>4</v>
      </c>
      <c r="C12" s="183" t="s">
        <v>5</v>
      </c>
      <c r="D12" s="378">
        <v>395320.12</v>
      </c>
      <c r="E12" s="379">
        <v>408377.51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395320.12</v>
      </c>
      <c r="E21" s="389">
        <v>408377.51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H25" s="237"/>
    </row>
    <row r="26" spans="2:11">
      <c r="B26" s="97" t="s">
        <v>15</v>
      </c>
      <c r="C26" s="98" t="s">
        <v>16</v>
      </c>
      <c r="D26" s="302">
        <v>455357.57</v>
      </c>
      <c r="E26" s="234">
        <f>D21</f>
        <v>395320.12</v>
      </c>
      <c r="G26" s="75"/>
      <c r="H26" s="237"/>
    </row>
    <row r="27" spans="2:11">
      <c r="B27" s="9" t="s">
        <v>17</v>
      </c>
      <c r="C27" s="10" t="s">
        <v>108</v>
      </c>
      <c r="D27" s="392">
        <v>-4861.1400000000003</v>
      </c>
      <c r="E27" s="365">
        <v>-5713.1500000000005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4861.1400000000003</v>
      </c>
      <c r="E32" s="366">
        <v>5713.1500000000005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1492</v>
      </c>
      <c r="E35" s="367">
        <v>2444.7600000000002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3369.14</v>
      </c>
      <c r="E37" s="367">
        <v>3268.38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-70299.08</v>
      </c>
      <c r="E40" s="396">
        <v>18770.54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380197.35</v>
      </c>
      <c r="E41" s="150">
        <f>E26+E27+E40</f>
        <v>408377.50999999995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1076.27</v>
      </c>
      <c r="E47" s="283">
        <v>1047.53</v>
      </c>
      <c r="G47" s="73"/>
    </row>
    <row r="48" spans="2:10">
      <c r="B48" s="195" t="s">
        <v>6</v>
      </c>
      <c r="C48" s="196" t="s">
        <v>41</v>
      </c>
      <c r="D48" s="310">
        <v>1063.82</v>
      </c>
      <c r="E48" s="151">
        <v>1032.95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423.08859999999999</v>
      </c>
      <c r="E50" s="76">
        <v>377.38310000000001</v>
      </c>
      <c r="G50" s="181"/>
    </row>
    <row r="51" spans="2:7">
      <c r="B51" s="193" t="s">
        <v>6</v>
      </c>
      <c r="C51" s="194" t="s">
        <v>111</v>
      </c>
      <c r="D51" s="310">
        <v>357.3888</v>
      </c>
      <c r="E51" s="76">
        <v>377.38310000000001</v>
      </c>
      <c r="G51" s="181"/>
    </row>
    <row r="52" spans="2:7">
      <c r="B52" s="193" t="s">
        <v>8</v>
      </c>
      <c r="C52" s="194" t="s">
        <v>112</v>
      </c>
      <c r="D52" s="310">
        <v>423.39230000000003</v>
      </c>
      <c r="E52" s="76">
        <v>401.11779999999999</v>
      </c>
    </row>
    <row r="53" spans="2:7" ht="14.25" customHeight="1" thickBot="1">
      <c r="B53" s="197" t="s">
        <v>9</v>
      </c>
      <c r="C53" s="198" t="s">
        <v>41</v>
      </c>
      <c r="D53" s="308">
        <v>357.3888</v>
      </c>
      <c r="E53" s="267">
        <v>395.35070000000002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408377.51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408377.51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408377.51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408377.51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Arkusz149">
    <pageSetUpPr fitToPage="1"/>
  </sheetPr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210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82" t="s">
        <v>4</v>
      </c>
      <c r="C12" s="183" t="s">
        <v>5</v>
      </c>
      <c r="D12" s="378">
        <v>0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0</v>
      </c>
      <c r="E26" s="391">
        <v>0</v>
      </c>
      <c r="G26" s="75"/>
    </row>
    <row r="27" spans="2:11">
      <c r="B27" s="9" t="s">
        <v>17</v>
      </c>
      <c r="C27" s="10" t="s">
        <v>108</v>
      </c>
      <c r="D27" s="392">
        <v>0.39</v>
      </c>
      <c r="E27" s="365">
        <v>0</v>
      </c>
      <c r="F27" s="73"/>
      <c r="G27" s="75"/>
      <c r="H27" s="73"/>
      <c r="I27" s="73"/>
      <c r="J27" s="75"/>
    </row>
    <row r="28" spans="2:11">
      <c r="B28" s="9" t="s">
        <v>18</v>
      </c>
      <c r="C28" s="10" t="s">
        <v>19</v>
      </c>
      <c r="D28" s="392">
        <v>44.27</v>
      </c>
      <c r="E28" s="366">
        <v>0</v>
      </c>
      <c r="F28" s="73"/>
      <c r="G28" s="155"/>
      <c r="H28" s="7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7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73"/>
      <c r="I30" s="73"/>
      <c r="J30" s="75"/>
    </row>
    <row r="31" spans="2:11">
      <c r="B31" s="190" t="s">
        <v>8</v>
      </c>
      <c r="C31" s="183" t="s">
        <v>22</v>
      </c>
      <c r="D31" s="393">
        <v>44.27</v>
      </c>
      <c r="E31" s="367">
        <v>0</v>
      </c>
      <c r="F31" s="73"/>
      <c r="G31" s="155"/>
      <c r="H31" s="73"/>
      <c r="I31" s="73"/>
      <c r="J31" s="75"/>
    </row>
    <row r="32" spans="2:11">
      <c r="B32" s="94" t="s">
        <v>23</v>
      </c>
      <c r="C32" s="11" t="s">
        <v>24</v>
      </c>
      <c r="D32" s="392">
        <v>43.88</v>
      </c>
      <c r="E32" s="366">
        <v>0</v>
      </c>
      <c r="F32" s="73"/>
      <c r="G32" s="75"/>
      <c r="H32" s="7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7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7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155"/>
      <c r="H35" s="7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73"/>
      <c r="I36" s="73"/>
      <c r="J36" s="75"/>
    </row>
    <row r="37" spans="2:10" ht="25.5">
      <c r="B37" s="190" t="s">
        <v>29</v>
      </c>
      <c r="C37" s="183" t="s">
        <v>30</v>
      </c>
      <c r="D37" s="393">
        <v>43.88</v>
      </c>
      <c r="E37" s="367">
        <v>0</v>
      </c>
      <c r="F37" s="73"/>
      <c r="G37" s="155"/>
      <c r="H37" s="7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7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7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-0.39</v>
      </c>
      <c r="E40" s="396">
        <v>0</v>
      </c>
      <c r="G40" s="75"/>
    </row>
    <row r="41" spans="2:10" ht="13.5" thickBot="1">
      <c r="B41" s="101" t="s">
        <v>37</v>
      </c>
      <c r="C41" s="102" t="s">
        <v>38</v>
      </c>
      <c r="D41" s="397">
        <v>0</v>
      </c>
      <c r="E41" s="389">
        <v>0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0</v>
      </c>
      <c r="E47" s="283">
        <v>0</v>
      </c>
      <c r="G47" s="73"/>
    </row>
    <row r="48" spans="2:10">
      <c r="B48" s="195" t="s">
        <v>6</v>
      </c>
      <c r="C48" s="196" t="s">
        <v>41</v>
      </c>
      <c r="D48" s="310">
        <v>0</v>
      </c>
      <c r="E48" s="151">
        <v>0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/>
      <c r="E50" s="76">
        <v>0</v>
      </c>
      <c r="G50" s="181"/>
    </row>
    <row r="51" spans="2:7">
      <c r="B51" s="193" t="s">
        <v>6</v>
      </c>
      <c r="C51" s="194" t="s">
        <v>111</v>
      </c>
      <c r="D51" s="310">
        <v>336.55</v>
      </c>
      <c r="E51" s="76">
        <v>354.75</v>
      </c>
      <c r="G51" s="181"/>
    </row>
    <row r="52" spans="2:7">
      <c r="B52" s="193" t="s">
        <v>8</v>
      </c>
      <c r="C52" s="194" t="s">
        <v>112</v>
      </c>
      <c r="D52" s="310">
        <v>353.58</v>
      </c>
      <c r="E52" s="76">
        <v>368.11</v>
      </c>
    </row>
    <row r="53" spans="2:7" ht="12.75" customHeight="1" thickBot="1">
      <c r="B53" s="197" t="s">
        <v>9</v>
      </c>
      <c r="C53" s="198" t="s">
        <v>41</v>
      </c>
      <c r="D53" s="308">
        <v>0</v>
      </c>
      <c r="E53" s="267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D58-D73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Arkusz150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6"/>
      <c r="C4" s="14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199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2460.4699999999998</v>
      </c>
      <c r="E11" s="377">
        <v>2560.69</v>
      </c>
    </row>
    <row r="12" spans="2:12">
      <c r="B12" s="182" t="s">
        <v>4</v>
      </c>
      <c r="C12" s="183" t="s">
        <v>5</v>
      </c>
      <c r="D12" s="378">
        <v>2460.4699999999998</v>
      </c>
      <c r="E12" s="379">
        <v>2560.69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2460.4699999999998</v>
      </c>
      <c r="E21" s="389">
        <v>2560.69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9734.16</v>
      </c>
      <c r="E26" s="391">
        <f>D21</f>
        <v>2460.4699999999998</v>
      </c>
      <c r="G26" s="75"/>
      <c r="H26" s="237"/>
    </row>
    <row r="27" spans="2:11">
      <c r="B27" s="9" t="s">
        <v>17</v>
      </c>
      <c r="C27" s="10" t="s">
        <v>108</v>
      </c>
      <c r="D27" s="392">
        <v>-101.53</v>
      </c>
      <c r="E27" s="365">
        <v>0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101.53</v>
      </c>
      <c r="E32" s="366">
        <v>0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16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85.53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-1491.24</v>
      </c>
      <c r="E40" s="396">
        <v>100.22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8141.3899999999994</v>
      </c>
      <c r="E41" s="389">
        <f>E26+E27+E40</f>
        <v>2560.6899999999996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67.626499999999993</v>
      </c>
      <c r="E47" s="283">
        <v>19.498100000000001</v>
      </c>
      <c r="G47" s="73"/>
    </row>
    <row r="48" spans="2:10">
      <c r="B48" s="195" t="s">
        <v>6</v>
      </c>
      <c r="C48" s="196" t="s">
        <v>41</v>
      </c>
      <c r="D48" s="310">
        <v>66.869699999999995</v>
      </c>
      <c r="E48" s="151">
        <v>19.498100000000001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143.94</v>
      </c>
      <c r="E50" s="76">
        <v>126.19</v>
      </c>
      <c r="G50" s="181"/>
    </row>
    <row r="51" spans="2:7">
      <c r="B51" s="193" t="s">
        <v>6</v>
      </c>
      <c r="C51" s="194" t="s">
        <v>111</v>
      </c>
      <c r="D51" s="310">
        <v>121.75</v>
      </c>
      <c r="E51" s="76">
        <v>126.19</v>
      </c>
      <c r="G51" s="181"/>
    </row>
    <row r="52" spans="2:7">
      <c r="B52" s="193" t="s">
        <v>8</v>
      </c>
      <c r="C52" s="194" t="s">
        <v>112</v>
      </c>
      <c r="D52" s="310">
        <v>144.34</v>
      </c>
      <c r="E52" s="76">
        <v>131.51</v>
      </c>
    </row>
    <row r="53" spans="2:7" ht="12.75" customHeight="1" thickBot="1">
      <c r="B53" s="197" t="s">
        <v>9</v>
      </c>
      <c r="C53" s="198" t="s">
        <v>41</v>
      </c>
      <c r="D53" s="308">
        <v>121.75</v>
      </c>
      <c r="E53" s="267">
        <v>131.33000000000001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2560.69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2560.69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2560.69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2560.69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Arkusz151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6"/>
      <c r="C4" s="14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200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82" t="s">
        <v>4</v>
      </c>
      <c r="C12" s="183" t="s">
        <v>5</v>
      </c>
      <c r="D12" s="378">
        <v>0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61207.54</v>
      </c>
      <c r="E26" s="391">
        <f>D21</f>
        <v>0</v>
      </c>
      <c r="G26" s="75"/>
    </row>
    <row r="27" spans="2:11">
      <c r="B27" s="9" t="s">
        <v>17</v>
      </c>
      <c r="C27" s="10" t="s">
        <v>108</v>
      </c>
      <c r="D27" s="392">
        <v>-44616.05</v>
      </c>
      <c r="E27" s="365">
        <v>0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44616.05</v>
      </c>
      <c r="E32" s="366">
        <v>0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44093.48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16.25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506.32</v>
      </c>
      <c r="E37" s="367">
        <v>0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-16591.490000000002</v>
      </c>
      <c r="E40" s="396">
        <v>0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0</v>
      </c>
      <c r="E41" s="389">
        <f>E26+E27+E40</f>
        <v>0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336.2867</v>
      </c>
      <c r="E47" s="283">
        <v>0</v>
      </c>
      <c r="G47" s="73"/>
    </row>
    <row r="48" spans="2:10">
      <c r="B48" s="195" t="s">
        <v>6</v>
      </c>
      <c r="C48" s="196" t="s">
        <v>41</v>
      </c>
      <c r="D48" s="310">
        <v>0</v>
      </c>
      <c r="E48" s="295">
        <v>0</v>
      </c>
      <c r="G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182.01</v>
      </c>
      <c r="E50" s="76">
        <v>0</v>
      </c>
      <c r="G50" s="181"/>
    </row>
    <row r="51" spans="2:7">
      <c r="B51" s="193" t="s">
        <v>6</v>
      </c>
      <c r="C51" s="194" t="s">
        <v>111</v>
      </c>
      <c r="D51" s="310">
        <v>126.98</v>
      </c>
      <c r="E51" s="76">
        <v>148.69999999999999</v>
      </c>
      <c r="G51" s="181"/>
    </row>
    <row r="52" spans="2:7">
      <c r="B52" s="193" t="s">
        <v>8</v>
      </c>
      <c r="C52" s="194" t="s">
        <v>112</v>
      </c>
      <c r="D52" s="310">
        <v>189.69</v>
      </c>
      <c r="E52" s="76">
        <v>178.82</v>
      </c>
    </row>
    <row r="53" spans="2:7" ht="13.5" customHeight="1" thickBot="1">
      <c r="B53" s="197" t="s">
        <v>9</v>
      </c>
      <c r="C53" s="198" t="s">
        <v>41</v>
      </c>
      <c r="D53" s="308">
        <v>0</v>
      </c>
      <c r="E53" s="340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73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226</v>
      </c>
      <c r="C6" s="458"/>
      <c r="D6" s="458"/>
      <c r="E6" s="458"/>
    </row>
    <row r="7" spans="2:12" ht="14.25">
      <c r="B7" s="229"/>
      <c r="C7" s="229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9562.0400000000009</v>
      </c>
      <c r="E11" s="377">
        <v>10666.4</v>
      </c>
    </row>
    <row r="12" spans="2:12">
      <c r="B12" s="182" t="s">
        <v>4</v>
      </c>
      <c r="C12" s="183" t="s">
        <v>5</v>
      </c>
      <c r="D12" s="378">
        <v>9562.0400000000009</v>
      </c>
      <c r="E12" s="379">
        <v>10666.4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9562.0400000000009</v>
      </c>
      <c r="E21" s="389">
        <v>10666.4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13989.49</v>
      </c>
      <c r="E26" s="234">
        <f>D21</f>
        <v>9562.0400000000009</v>
      </c>
      <c r="G26" s="75"/>
      <c r="H26" s="237"/>
    </row>
    <row r="27" spans="2:11">
      <c r="B27" s="9" t="s">
        <v>17</v>
      </c>
      <c r="C27" s="10" t="s">
        <v>108</v>
      </c>
      <c r="D27" s="392">
        <v>28.23</v>
      </c>
      <c r="E27" s="365">
        <v>-102.06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132.47999999999999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132.47999999999999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104.25</v>
      </c>
      <c r="E32" s="366">
        <v>102.06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16.41</v>
      </c>
      <c r="E35" s="367">
        <v>20.740000000000002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87.84</v>
      </c>
      <c r="E37" s="367">
        <v>81.320000000000007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-4966</v>
      </c>
      <c r="E40" s="396">
        <v>1206.4199999999998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9051.7199999999993</v>
      </c>
      <c r="E41" s="150">
        <f>E26+E27+E40</f>
        <v>10666.400000000001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49.352600000000002</v>
      </c>
      <c r="E47" s="283">
        <v>48.970799999999997</v>
      </c>
      <c r="G47" s="73"/>
    </row>
    <row r="48" spans="2:10">
      <c r="B48" s="195" t="s">
        <v>6</v>
      </c>
      <c r="C48" s="196" t="s">
        <v>41</v>
      </c>
      <c r="D48" s="310">
        <v>49.495399999999997</v>
      </c>
      <c r="E48" s="151">
        <v>48.454999999999998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283.45999999999998</v>
      </c>
      <c r="E50" s="76">
        <v>195.26</v>
      </c>
      <c r="G50" s="181"/>
    </row>
    <row r="51" spans="2:7">
      <c r="B51" s="193" t="s">
        <v>6</v>
      </c>
      <c r="C51" s="194" t="s">
        <v>111</v>
      </c>
      <c r="D51" s="310">
        <v>178.21</v>
      </c>
      <c r="E51" s="76">
        <v>192.62</v>
      </c>
      <c r="G51" s="181"/>
    </row>
    <row r="52" spans="2:7">
      <c r="B52" s="193" t="s">
        <v>8</v>
      </c>
      <c r="C52" s="194" t="s">
        <v>112</v>
      </c>
      <c r="D52" s="310">
        <v>283.45999999999998</v>
      </c>
      <c r="E52" s="76">
        <v>220.93</v>
      </c>
    </row>
    <row r="53" spans="2:7" ht="13.5" customHeight="1" thickBot="1">
      <c r="B53" s="197" t="s">
        <v>9</v>
      </c>
      <c r="C53" s="198" t="s">
        <v>41</v>
      </c>
      <c r="D53" s="308">
        <v>182.88</v>
      </c>
      <c r="E53" s="267">
        <v>220.13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5.7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10666.4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10666.4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10666.4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10666.4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 codeName="Arkusz152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6"/>
      <c r="C4" s="14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201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94680.43</v>
      </c>
      <c r="E11" s="377">
        <v>48031.07</v>
      </c>
    </row>
    <row r="12" spans="2:12">
      <c r="B12" s="182" t="s">
        <v>4</v>
      </c>
      <c r="C12" s="183" t="s">
        <v>5</v>
      </c>
      <c r="D12" s="378">
        <v>94680.43</v>
      </c>
      <c r="E12" s="379">
        <v>48031.07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94680.43</v>
      </c>
      <c r="E21" s="389">
        <v>48031.07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261214.99</v>
      </c>
      <c r="E26" s="391">
        <f>D21</f>
        <v>94680.43</v>
      </c>
      <c r="G26" s="75"/>
    </row>
    <row r="27" spans="2:11">
      <c r="B27" s="9" t="s">
        <v>17</v>
      </c>
      <c r="C27" s="10" t="s">
        <v>108</v>
      </c>
      <c r="D27" s="392">
        <v>-2783.1900000000014</v>
      </c>
      <c r="E27" s="365">
        <v>-81192.87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7200.03</v>
      </c>
      <c r="E28" s="366">
        <v>2399.9900000000002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7200.03</v>
      </c>
      <c r="E29" s="367">
        <v>2399.9900000000002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9983.2200000000012</v>
      </c>
      <c r="E32" s="366">
        <v>83592.86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50497.200000000004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84.52</v>
      </c>
      <c r="E35" s="367">
        <v>93.61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1399.51</v>
      </c>
      <c r="E37" s="367">
        <v>1063.6200000000001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8499.19</v>
      </c>
      <c r="E39" s="368">
        <v>31938.429999999997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-145656.32000000001</v>
      </c>
      <c r="E40" s="396">
        <v>34543.509999999995</v>
      </c>
      <c r="G40" s="75"/>
      <c r="H40" s="258"/>
    </row>
    <row r="41" spans="2:10" ht="13.5" thickBot="1">
      <c r="B41" s="101" t="s">
        <v>37</v>
      </c>
      <c r="C41" s="102" t="s">
        <v>38</v>
      </c>
      <c r="D41" s="397">
        <v>112775.47999999998</v>
      </c>
      <c r="E41" s="389">
        <f>E26+E27+E40</f>
        <v>48031.069999999992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923.80460000000005</v>
      </c>
      <c r="E47" s="283">
        <v>947.84690000000001</v>
      </c>
      <c r="G47" s="73"/>
    </row>
    <row r="48" spans="2:10">
      <c r="B48" s="195" t="s">
        <v>6</v>
      </c>
      <c r="C48" s="196" t="s">
        <v>41</v>
      </c>
      <c r="D48" s="310">
        <v>917.84389999999996</v>
      </c>
      <c r="E48" s="151">
        <v>351.92750000000001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282.76</v>
      </c>
      <c r="E50" s="76">
        <v>99.89</v>
      </c>
      <c r="G50" s="181"/>
    </row>
    <row r="51" spans="2:7">
      <c r="B51" s="193" t="s">
        <v>6</v>
      </c>
      <c r="C51" s="194" t="s">
        <v>111</v>
      </c>
      <c r="D51" s="310">
        <v>116.8</v>
      </c>
      <c r="E51" s="76">
        <v>92.93</v>
      </c>
      <c r="G51" s="181"/>
    </row>
    <row r="52" spans="2:7">
      <c r="B52" s="193" t="s">
        <v>8</v>
      </c>
      <c r="C52" s="194" t="s">
        <v>112</v>
      </c>
      <c r="D52" s="310">
        <v>282.76</v>
      </c>
      <c r="E52" s="76">
        <v>139.25</v>
      </c>
    </row>
    <row r="53" spans="2:7" ht="12.75" customHeight="1" thickBot="1">
      <c r="B53" s="197" t="s">
        <v>9</v>
      </c>
      <c r="C53" s="198" t="s">
        <v>41</v>
      </c>
      <c r="D53" s="308">
        <v>122.87</v>
      </c>
      <c r="E53" s="267">
        <v>136.47999999999999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48031.07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48031.07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48031.07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48031.07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 codeName="Arkusz155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202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12192.82</v>
      </c>
      <c r="E11" s="377">
        <v>13021.94</v>
      </c>
    </row>
    <row r="12" spans="2:12">
      <c r="B12" s="182" t="s">
        <v>4</v>
      </c>
      <c r="C12" s="183" t="s">
        <v>5</v>
      </c>
      <c r="D12" s="378">
        <v>12192.82</v>
      </c>
      <c r="E12" s="379">
        <v>13021.94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12192.82</v>
      </c>
      <c r="E21" s="389">
        <v>13021.94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16629.37</v>
      </c>
      <c r="E26" s="234">
        <f>D21</f>
        <v>12192.82</v>
      </c>
      <c r="G26" s="75"/>
    </row>
    <row r="27" spans="2:11">
      <c r="B27" s="9" t="s">
        <v>17</v>
      </c>
      <c r="C27" s="10" t="s">
        <v>108</v>
      </c>
      <c r="D27" s="392">
        <v>68.820000000000007</v>
      </c>
      <c r="E27" s="365">
        <v>-226.68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176.74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176.74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107.92</v>
      </c>
      <c r="E32" s="366">
        <v>226.68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17.190000000000001</v>
      </c>
      <c r="E35" s="367">
        <v>45.62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90.73</v>
      </c>
      <c r="E37" s="367">
        <v>181.05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-5098.4399999999996</v>
      </c>
      <c r="E40" s="396">
        <v>1055.8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11599.75</v>
      </c>
      <c r="E41" s="150">
        <f>E26+E27+E40</f>
        <v>13021.939999999999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55.637099999999997</v>
      </c>
      <c r="E47" s="283">
        <v>55.409300000000002</v>
      </c>
      <c r="G47" s="73"/>
    </row>
    <row r="48" spans="2:10">
      <c r="B48" s="195" t="s">
        <v>6</v>
      </c>
      <c r="C48" s="196" t="s">
        <v>41</v>
      </c>
      <c r="D48" s="310">
        <v>55.9024</v>
      </c>
      <c r="E48" s="151">
        <v>54.435000000000002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298.89</v>
      </c>
      <c r="E50" s="76">
        <v>220.05</v>
      </c>
      <c r="G50" s="181"/>
    </row>
    <row r="51" spans="2:7">
      <c r="B51" s="193" t="s">
        <v>6</v>
      </c>
      <c r="C51" s="194" t="s">
        <v>111</v>
      </c>
      <c r="D51" s="310">
        <v>205.24</v>
      </c>
      <c r="E51" s="76">
        <v>219.37</v>
      </c>
      <c r="G51" s="181"/>
    </row>
    <row r="52" spans="2:7">
      <c r="B52" s="193" t="s">
        <v>8</v>
      </c>
      <c r="C52" s="194" t="s">
        <v>112</v>
      </c>
      <c r="D52" s="310">
        <v>299.66000000000003</v>
      </c>
      <c r="E52" s="76">
        <v>240.72</v>
      </c>
    </row>
    <row r="53" spans="2:7" ht="13.5" thickBot="1">
      <c r="B53" s="197" t="s">
        <v>9</v>
      </c>
      <c r="C53" s="198" t="s">
        <v>41</v>
      </c>
      <c r="D53" s="308">
        <v>207.5</v>
      </c>
      <c r="E53" s="267">
        <v>239.22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13021.94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13021.94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13021.94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13021.94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Arkusz157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6"/>
      <c r="C4" s="14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203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1065552.79</v>
      </c>
      <c r="E11" s="377">
        <v>899747.88</v>
      </c>
    </row>
    <row r="12" spans="2:12">
      <c r="B12" s="182" t="s">
        <v>4</v>
      </c>
      <c r="C12" s="183" t="s">
        <v>5</v>
      </c>
      <c r="D12" s="378">
        <v>1065552.79</v>
      </c>
      <c r="E12" s="379">
        <v>899747.88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1065552.79</v>
      </c>
      <c r="E21" s="389">
        <v>899747.88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1385623.62</v>
      </c>
      <c r="E26" s="234">
        <f>D21</f>
        <v>1065552.79</v>
      </c>
      <c r="G26" s="75"/>
    </row>
    <row r="27" spans="2:11">
      <c r="B27" s="9" t="s">
        <v>17</v>
      </c>
      <c r="C27" s="10" t="s">
        <v>108</v>
      </c>
      <c r="D27" s="392">
        <v>-77079.14</v>
      </c>
      <c r="E27" s="365">
        <v>-156153.13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77079.14</v>
      </c>
      <c r="E32" s="366">
        <v>156153.13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60324.57</v>
      </c>
      <c r="E33" s="367">
        <v>144972.92000000001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6228.21</v>
      </c>
      <c r="E35" s="367">
        <v>3532.2400000000002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10526.36</v>
      </c>
      <c r="E37" s="367">
        <v>7647.95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0.02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-68666.740000000005</v>
      </c>
      <c r="E40" s="396">
        <v>-9651.7800000000007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1239877.7400000002</v>
      </c>
      <c r="E41" s="150">
        <f>E26+E27+E40</f>
        <v>899747.88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109448.943</v>
      </c>
      <c r="E47" s="283">
        <v>86842.118000000002</v>
      </c>
      <c r="G47" s="73"/>
    </row>
    <row r="48" spans="2:10">
      <c r="B48" s="195" t="s">
        <v>6</v>
      </c>
      <c r="C48" s="196" t="s">
        <v>41</v>
      </c>
      <c r="D48" s="310">
        <v>103237.114</v>
      </c>
      <c r="E48" s="151">
        <v>73992.423999999999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12.66</v>
      </c>
      <c r="E50" s="76">
        <v>12.27</v>
      </c>
      <c r="G50" s="181"/>
    </row>
    <row r="51" spans="2:7">
      <c r="B51" s="193" t="s">
        <v>6</v>
      </c>
      <c r="C51" s="194" t="s">
        <v>111</v>
      </c>
      <c r="D51" s="310">
        <v>11.96</v>
      </c>
      <c r="E51" s="76">
        <v>11.97</v>
      </c>
      <c r="G51" s="181"/>
    </row>
    <row r="52" spans="2:7">
      <c r="B52" s="193" t="s">
        <v>8</v>
      </c>
      <c r="C52" s="194" t="s">
        <v>112</v>
      </c>
      <c r="D52" s="310">
        <v>13.040000000000001</v>
      </c>
      <c r="E52" s="76">
        <v>12.72</v>
      </c>
    </row>
    <row r="53" spans="2:7" ht="14.25" customHeight="1" thickBot="1">
      <c r="B53" s="197" t="s">
        <v>9</v>
      </c>
      <c r="C53" s="198" t="s">
        <v>41</v>
      </c>
      <c r="D53" s="308">
        <v>12.01</v>
      </c>
      <c r="E53" s="267">
        <v>12.16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899747.88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899747.88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899747.88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899747.88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Arkusz158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4.7109375" customWidth="1"/>
    <col min="11" max="11" width="16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6"/>
      <c r="C4" s="14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204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3079566.9</v>
      </c>
      <c r="E11" s="377">
        <v>3056302.97</v>
      </c>
    </row>
    <row r="12" spans="2:12">
      <c r="B12" s="182" t="s">
        <v>4</v>
      </c>
      <c r="C12" s="183" t="s">
        <v>5</v>
      </c>
      <c r="D12" s="378">
        <v>3079566.9</v>
      </c>
      <c r="E12" s="379">
        <v>3056302.97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3079566.9</v>
      </c>
      <c r="E21" s="389">
        <v>3056302.97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5912773.4900000002</v>
      </c>
      <c r="E26" s="234">
        <f>D21</f>
        <v>3079566.9</v>
      </c>
      <c r="G26" s="75"/>
    </row>
    <row r="27" spans="2:11">
      <c r="B27" s="9" t="s">
        <v>17</v>
      </c>
      <c r="C27" s="10" t="s">
        <v>108</v>
      </c>
      <c r="D27" s="392">
        <v>-1237259.43</v>
      </c>
      <c r="E27" s="365">
        <v>-55703.08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38.529999999999994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38.529999999999994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1237297.96</v>
      </c>
      <c r="E32" s="366">
        <v>55703.08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1183136.92</v>
      </c>
      <c r="E33" s="367">
        <v>3664.41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12253.94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15209.67</v>
      </c>
      <c r="E35" s="367">
        <v>15352.66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38951.370000000003</v>
      </c>
      <c r="E37" s="367">
        <v>24432.07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-565421.51</v>
      </c>
      <c r="E40" s="396">
        <v>32439.15</v>
      </c>
      <c r="G40" s="75"/>
    </row>
    <row r="41" spans="2:10" ht="13.5" thickBot="1">
      <c r="B41" s="101" t="s">
        <v>37</v>
      </c>
      <c r="C41" s="102" t="s">
        <v>38</v>
      </c>
      <c r="D41" s="306">
        <v>4110092.5500000007</v>
      </c>
      <c r="E41" s="150">
        <f>E26+E27+E40</f>
        <v>3056302.9699999997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77139.902000000002</v>
      </c>
      <c r="E47" s="283">
        <v>45075.627999999997</v>
      </c>
      <c r="G47" s="73"/>
      <c r="H47" s="161"/>
    </row>
    <row r="48" spans="2:10">
      <c r="B48" s="195" t="s">
        <v>6</v>
      </c>
      <c r="C48" s="196" t="s">
        <v>41</v>
      </c>
      <c r="D48" s="310">
        <v>60890.26</v>
      </c>
      <c r="E48" s="151">
        <v>44274.995999999999</v>
      </c>
      <c r="G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76.650000000000006</v>
      </c>
      <c r="E50" s="76">
        <v>68.319999999999993</v>
      </c>
      <c r="G50" s="181"/>
    </row>
    <row r="51" spans="2:7">
      <c r="B51" s="193" t="s">
        <v>6</v>
      </c>
      <c r="C51" s="194" t="s">
        <v>111</v>
      </c>
      <c r="D51" s="310">
        <v>67.38</v>
      </c>
      <c r="E51" s="76">
        <v>66.62</v>
      </c>
      <c r="G51" s="181"/>
    </row>
    <row r="52" spans="2:7">
      <c r="B52" s="193" t="s">
        <v>8</v>
      </c>
      <c r="C52" s="194" t="s">
        <v>112</v>
      </c>
      <c r="D52" s="310">
        <v>77.69</v>
      </c>
      <c r="E52" s="76">
        <v>72.36</v>
      </c>
    </row>
    <row r="53" spans="2:7" ht="14.25" customHeight="1" thickBot="1">
      <c r="B53" s="197" t="s">
        <v>9</v>
      </c>
      <c r="C53" s="198" t="s">
        <v>41</v>
      </c>
      <c r="D53" s="308">
        <v>67.5</v>
      </c>
      <c r="E53" s="267">
        <v>69.03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3056302.97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3056302.97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3056302.97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3056302.97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>
    <pageSetUpPr fitToPage="1"/>
  </sheetPr>
  <dimension ref="A1:Q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0.85546875" customWidth="1"/>
    <col min="10" max="10" width="13.140625" customWidth="1"/>
    <col min="11" max="11" width="10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120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8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1026367.16</v>
      </c>
      <c r="E11" s="377">
        <f>SUM(E12:F14)</f>
        <v>835307.43</v>
      </c>
      <c r="H11" s="73"/>
    </row>
    <row r="12" spans="2:12">
      <c r="B12" s="182" t="s">
        <v>4</v>
      </c>
      <c r="C12" s="240" t="s">
        <v>5</v>
      </c>
      <c r="D12" s="378">
        <v>967268.67</v>
      </c>
      <c r="E12" s="379">
        <f>756210.29+4548.27</f>
        <v>760758.56</v>
      </c>
      <c r="H12" s="73"/>
    </row>
    <row r="13" spans="2:12">
      <c r="B13" s="182" t="s">
        <v>6</v>
      </c>
      <c r="C13" s="240" t="s">
        <v>7</v>
      </c>
      <c r="D13" s="380">
        <v>58331.81</v>
      </c>
      <c r="E13" s="381">
        <v>73413.48</v>
      </c>
      <c r="H13" s="73"/>
    </row>
    <row r="14" spans="2:12">
      <c r="B14" s="182" t="s">
        <v>8</v>
      </c>
      <c r="C14" s="240" t="s">
        <v>10</v>
      </c>
      <c r="D14" s="380">
        <v>766.68</v>
      </c>
      <c r="E14" s="381">
        <f>E15</f>
        <v>1135.3900000000001</v>
      </c>
      <c r="H14" s="73"/>
    </row>
    <row r="15" spans="2:12">
      <c r="B15" s="182" t="s">
        <v>103</v>
      </c>
      <c r="C15" s="240" t="s">
        <v>11</v>
      </c>
      <c r="D15" s="380">
        <v>766.68</v>
      </c>
      <c r="E15" s="381">
        <v>1135.3900000000001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7">
      <c r="B17" s="9" t="s">
        <v>13</v>
      </c>
      <c r="C17" s="207" t="s">
        <v>65</v>
      </c>
      <c r="D17" s="384">
        <v>3167.44</v>
      </c>
      <c r="E17" s="385">
        <f>E18</f>
        <v>2347.91</v>
      </c>
      <c r="H17" s="73"/>
    </row>
    <row r="18" spans="2:17">
      <c r="B18" s="182" t="s">
        <v>4</v>
      </c>
      <c r="C18" s="240" t="s">
        <v>11</v>
      </c>
      <c r="D18" s="382">
        <v>3167.44</v>
      </c>
      <c r="E18" s="383">
        <v>2347.91</v>
      </c>
      <c r="H18" s="73"/>
    </row>
    <row r="19" spans="2:17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7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7" ht="13.5" thickBot="1">
      <c r="B21" s="468" t="s">
        <v>107</v>
      </c>
      <c r="C21" s="469"/>
      <c r="D21" s="388">
        <v>1023199.7200000001</v>
      </c>
      <c r="E21" s="389">
        <f>E11-E17</f>
        <v>832959.52</v>
      </c>
      <c r="F21" s="78"/>
      <c r="G21" s="78"/>
      <c r="H21" s="169"/>
      <c r="J21" s="227"/>
      <c r="K21" s="169"/>
    </row>
    <row r="22" spans="2:17">
      <c r="B22" s="4"/>
      <c r="C22" s="7"/>
      <c r="D22" s="8"/>
      <c r="E22" s="8"/>
      <c r="G22" s="73"/>
    </row>
    <row r="23" spans="2:17" ht="13.5">
      <c r="B23" s="460" t="s">
        <v>101</v>
      </c>
      <c r="C23" s="470"/>
      <c r="D23" s="470"/>
      <c r="E23" s="470"/>
      <c r="G23" s="73"/>
    </row>
    <row r="24" spans="2:17" ht="16.5" customHeight="1" thickBot="1">
      <c r="B24" s="459" t="s">
        <v>102</v>
      </c>
      <c r="C24" s="471"/>
      <c r="D24" s="471"/>
      <c r="E24" s="471"/>
    </row>
    <row r="25" spans="2:17" ht="13.5" thickBot="1">
      <c r="B25" s="323"/>
      <c r="C25" s="189" t="s">
        <v>2</v>
      </c>
      <c r="D25" s="274" t="s">
        <v>243</v>
      </c>
      <c r="E25" s="246" t="s">
        <v>242</v>
      </c>
    </row>
    <row r="26" spans="2:17">
      <c r="B26" s="97" t="s">
        <v>15</v>
      </c>
      <c r="C26" s="98" t="s">
        <v>16</v>
      </c>
      <c r="D26" s="390">
        <v>540471.54999999993</v>
      </c>
      <c r="E26" s="391">
        <f>D21</f>
        <v>1023199.7200000001</v>
      </c>
      <c r="G26" s="75"/>
    </row>
    <row r="27" spans="2:17">
      <c r="B27" s="9" t="s">
        <v>17</v>
      </c>
      <c r="C27" s="10" t="s">
        <v>108</v>
      </c>
      <c r="D27" s="392">
        <v>168632.76</v>
      </c>
      <c r="E27" s="365">
        <v>-59463.090000000004</v>
      </c>
      <c r="F27" s="73"/>
      <c r="G27" s="244"/>
      <c r="H27" s="243"/>
      <c r="I27" s="73"/>
      <c r="J27" s="75"/>
    </row>
    <row r="28" spans="2:17">
      <c r="B28" s="9" t="s">
        <v>18</v>
      </c>
      <c r="C28" s="10" t="s">
        <v>19</v>
      </c>
      <c r="D28" s="392">
        <v>199897.62</v>
      </c>
      <c r="E28" s="366">
        <v>53501.79</v>
      </c>
      <c r="F28" s="73"/>
      <c r="G28" s="243"/>
      <c r="H28" s="243"/>
      <c r="I28" s="73"/>
      <c r="J28" s="75"/>
    </row>
    <row r="29" spans="2:17">
      <c r="B29" s="190" t="s">
        <v>4</v>
      </c>
      <c r="C29" s="183" t="s">
        <v>20</v>
      </c>
      <c r="D29" s="393">
        <v>64279.71</v>
      </c>
      <c r="E29" s="367">
        <v>52382.49</v>
      </c>
      <c r="F29" s="73"/>
      <c r="G29" s="243"/>
      <c r="H29" s="243"/>
      <c r="I29" s="73"/>
      <c r="J29" s="75"/>
    </row>
    <row r="30" spans="2:17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  <c r="Q30" s="248"/>
    </row>
    <row r="31" spans="2:17">
      <c r="B31" s="190" t="s">
        <v>8</v>
      </c>
      <c r="C31" s="183" t="s">
        <v>22</v>
      </c>
      <c r="D31" s="393">
        <v>135617.91</v>
      </c>
      <c r="E31" s="367">
        <v>1119.3</v>
      </c>
      <c r="F31" s="73"/>
      <c r="G31" s="243"/>
      <c r="H31" s="243"/>
      <c r="I31" s="73"/>
      <c r="J31" s="75"/>
    </row>
    <row r="32" spans="2:17">
      <c r="B32" s="94" t="s">
        <v>23</v>
      </c>
      <c r="C32" s="11" t="s">
        <v>24</v>
      </c>
      <c r="D32" s="392">
        <v>31264.86</v>
      </c>
      <c r="E32" s="366">
        <v>112964.88</v>
      </c>
      <c r="F32" s="73"/>
      <c r="G32" s="244"/>
      <c r="H32" s="243"/>
      <c r="I32" s="73"/>
      <c r="J32" s="75"/>
    </row>
    <row r="33" spans="2:17">
      <c r="B33" s="190" t="s">
        <v>4</v>
      </c>
      <c r="C33" s="183" t="s">
        <v>25</v>
      </c>
      <c r="D33" s="393">
        <v>23904.639999999999</v>
      </c>
      <c r="E33" s="367">
        <v>67242.850000000006</v>
      </c>
      <c r="F33" s="73"/>
      <c r="G33" s="243"/>
      <c r="H33" s="243"/>
      <c r="I33" s="73"/>
      <c r="J33" s="75"/>
    </row>
    <row r="34" spans="2:17">
      <c r="B34" s="190" t="s">
        <v>6</v>
      </c>
      <c r="C34" s="183" t="s">
        <v>26</v>
      </c>
      <c r="D34" s="393">
        <v>0</v>
      </c>
      <c r="E34" s="367">
        <v>0</v>
      </c>
      <c r="F34" s="73"/>
      <c r="G34" s="243"/>
      <c r="H34" s="243"/>
      <c r="I34" s="73"/>
      <c r="J34" s="75"/>
      <c r="Q34" s="181"/>
    </row>
    <row r="35" spans="2:17">
      <c r="B35" s="190" t="s">
        <v>8</v>
      </c>
      <c r="C35" s="183" t="s">
        <v>27</v>
      </c>
      <c r="D35" s="393">
        <v>3271.7000000000003</v>
      </c>
      <c r="E35" s="367">
        <v>3146.06</v>
      </c>
      <c r="F35" s="73"/>
      <c r="G35" s="243"/>
      <c r="H35" s="243"/>
      <c r="I35" s="73"/>
      <c r="J35" s="75"/>
    </row>
    <row r="36" spans="2:17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7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7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7">
      <c r="B39" s="191" t="s">
        <v>33</v>
      </c>
      <c r="C39" s="192" t="s">
        <v>34</v>
      </c>
      <c r="D39" s="394">
        <v>4088.52</v>
      </c>
      <c r="E39" s="368">
        <v>42575.97</v>
      </c>
      <c r="F39" s="73"/>
      <c r="G39" s="243"/>
      <c r="H39" s="243"/>
      <c r="I39" s="73"/>
      <c r="J39" s="75"/>
    </row>
    <row r="40" spans="2:17" ht="13.5" thickBot="1">
      <c r="B40" s="99" t="s">
        <v>35</v>
      </c>
      <c r="C40" s="100" t="s">
        <v>36</v>
      </c>
      <c r="D40" s="395">
        <v>160557.82999999999</v>
      </c>
      <c r="E40" s="396">
        <v>-130777.10700000003</v>
      </c>
      <c r="G40" s="75"/>
    </row>
    <row r="41" spans="2:17" ht="13.5" thickBot="1">
      <c r="B41" s="101" t="s">
        <v>37</v>
      </c>
      <c r="C41" s="102" t="s">
        <v>38</v>
      </c>
      <c r="D41" s="397">
        <v>869662.1399999999</v>
      </c>
      <c r="E41" s="389">
        <f>E26+E27+E40</f>
        <v>832959.52300000004</v>
      </c>
      <c r="F41" s="78"/>
      <c r="G41" s="75"/>
      <c r="H41" s="73"/>
      <c r="I41" s="73"/>
      <c r="J41" s="73"/>
    </row>
    <row r="42" spans="2:17">
      <c r="B42" s="95"/>
      <c r="C42" s="95"/>
      <c r="D42" s="96"/>
      <c r="E42" s="96"/>
      <c r="F42" s="78"/>
      <c r="G42" s="68"/>
    </row>
    <row r="43" spans="2:17" ht="13.5">
      <c r="B43" s="461" t="s">
        <v>60</v>
      </c>
      <c r="C43" s="462"/>
      <c r="D43" s="462"/>
      <c r="E43" s="462"/>
      <c r="G43" s="73"/>
    </row>
    <row r="44" spans="2:17" ht="15.75" customHeight="1" thickBot="1">
      <c r="B44" s="459" t="s">
        <v>118</v>
      </c>
      <c r="C44" s="463"/>
      <c r="D44" s="463"/>
      <c r="E44" s="463"/>
      <c r="G44" s="73"/>
    </row>
    <row r="45" spans="2:17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7">
      <c r="B46" s="13" t="s">
        <v>18</v>
      </c>
      <c r="C46" s="30" t="s">
        <v>109</v>
      </c>
      <c r="D46" s="103"/>
      <c r="E46" s="28"/>
      <c r="G46" s="73"/>
    </row>
    <row r="47" spans="2:17">
      <c r="B47" s="193" t="s">
        <v>4</v>
      </c>
      <c r="C47" s="194" t="s">
        <v>40</v>
      </c>
      <c r="D47" s="310">
        <v>71538.973499999993</v>
      </c>
      <c r="E47" s="283">
        <v>89370.857999999993</v>
      </c>
      <c r="G47" s="73"/>
    </row>
    <row r="48" spans="2:17">
      <c r="B48" s="195" t="s">
        <v>6</v>
      </c>
      <c r="C48" s="196" t="s">
        <v>41</v>
      </c>
      <c r="D48" s="310">
        <v>88179.283100000001</v>
      </c>
      <c r="E48" s="327">
        <v>83918.708700000003</v>
      </c>
      <c r="G48" s="20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7.5548999999999999</v>
      </c>
      <c r="E50" s="281">
        <v>11.4489</v>
      </c>
      <c r="G50" s="181"/>
    </row>
    <row r="51" spans="2:7">
      <c r="B51" s="193" t="s">
        <v>6</v>
      </c>
      <c r="C51" s="194" t="s">
        <v>111</v>
      </c>
      <c r="D51" s="310">
        <v>7.5548999999999999</v>
      </c>
      <c r="E51" s="281">
        <v>9.3497000000000003</v>
      </c>
      <c r="G51" s="181"/>
    </row>
    <row r="52" spans="2:7">
      <c r="B52" s="193" t="s">
        <v>8</v>
      </c>
      <c r="C52" s="194" t="s">
        <v>112</v>
      </c>
      <c r="D52" s="310">
        <v>11.654400000000001</v>
      </c>
      <c r="E52" s="281">
        <v>11.856299999999999</v>
      </c>
    </row>
    <row r="53" spans="2:7" ht="13.5" thickBot="1">
      <c r="B53" s="197" t="s">
        <v>9</v>
      </c>
      <c r="C53" s="198" t="s">
        <v>41</v>
      </c>
      <c r="D53" s="308">
        <v>9.8626000000000005</v>
      </c>
      <c r="E53" s="267">
        <v>9.9258000000000006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760758.56</v>
      </c>
      <c r="E58" s="31">
        <f>D58/E21</f>
        <v>0.91331996541680682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f>E12-4548.27</f>
        <v>756210.29</v>
      </c>
      <c r="E62" s="80">
        <f>D62/E21</f>
        <v>0.90785959202435196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v>0</v>
      </c>
      <c r="E64" s="82">
        <f>D64/E21</f>
        <v>0</v>
      </c>
    </row>
    <row r="65" spans="2:8">
      <c r="B65" s="21" t="s">
        <v>33</v>
      </c>
      <c r="C65" s="22" t="s">
        <v>115</v>
      </c>
      <c r="D65" s="81">
        <v>0</v>
      </c>
      <c r="E65" s="82">
        <v>0</v>
      </c>
    </row>
    <row r="66" spans="2:8">
      <c r="B66" s="21" t="s">
        <v>50</v>
      </c>
      <c r="C66" s="22" t="s">
        <v>51</v>
      </c>
      <c r="D66" s="81">
        <v>0</v>
      </c>
      <c r="E66" s="82">
        <v>0</v>
      </c>
    </row>
    <row r="67" spans="2:8">
      <c r="B67" s="14" t="s">
        <v>52</v>
      </c>
      <c r="C67" s="15" t="s">
        <v>53</v>
      </c>
      <c r="D67" s="79">
        <v>0</v>
      </c>
      <c r="E67" s="80">
        <v>0</v>
      </c>
      <c r="G67" s="73"/>
    </row>
    <row r="68" spans="2:8">
      <c r="B68" s="14" t="s">
        <v>54</v>
      </c>
      <c r="C68" s="15" t="s">
        <v>55</v>
      </c>
      <c r="D68" s="79">
        <v>0</v>
      </c>
      <c r="E68" s="80">
        <v>0</v>
      </c>
      <c r="G68" s="73"/>
    </row>
    <row r="69" spans="2:8">
      <c r="B69" s="14" t="s">
        <v>56</v>
      </c>
      <c r="C69" s="15" t="s">
        <v>57</v>
      </c>
      <c r="D69" s="309">
        <v>4548.2700000000004</v>
      </c>
      <c r="E69" s="80">
        <f>D69/E21</f>
        <v>5.4603733924548942E-3</v>
      </c>
    </row>
    <row r="70" spans="2:8">
      <c r="B70" s="114" t="s">
        <v>58</v>
      </c>
      <c r="C70" s="115" t="s">
        <v>59</v>
      </c>
      <c r="D70" s="116">
        <v>0</v>
      </c>
      <c r="E70" s="117">
        <v>0</v>
      </c>
    </row>
    <row r="71" spans="2:8">
      <c r="B71" s="122" t="s">
        <v>23</v>
      </c>
      <c r="C71" s="123" t="s">
        <v>61</v>
      </c>
      <c r="D71" s="124">
        <f>E13</f>
        <v>73413.48</v>
      </c>
      <c r="E71" s="67">
        <f>D71/E21</f>
        <v>8.8135711564950953E-2</v>
      </c>
    </row>
    <row r="72" spans="2:8">
      <c r="B72" s="118" t="s">
        <v>60</v>
      </c>
      <c r="C72" s="119" t="s">
        <v>63</v>
      </c>
      <c r="D72" s="120">
        <f>E14</f>
        <v>1135.3900000000001</v>
      </c>
      <c r="E72" s="121">
        <f>D72/E21</f>
        <v>1.363079444724997E-3</v>
      </c>
    </row>
    <row r="73" spans="2:8">
      <c r="B73" s="23" t="s">
        <v>62</v>
      </c>
      <c r="C73" s="24" t="s">
        <v>65</v>
      </c>
      <c r="D73" s="25">
        <f>E17</f>
        <v>2347.91</v>
      </c>
      <c r="E73" s="26">
        <f>D73/E21</f>
        <v>2.8187564264827657E-3</v>
      </c>
    </row>
    <row r="74" spans="2:8">
      <c r="B74" s="122" t="s">
        <v>64</v>
      </c>
      <c r="C74" s="123" t="s">
        <v>66</v>
      </c>
      <c r="D74" s="124">
        <f>D58+D71+D72-D73</f>
        <v>832959.52</v>
      </c>
      <c r="E74" s="67">
        <f>E58+E71+E72-E73</f>
        <v>1</v>
      </c>
    </row>
    <row r="75" spans="2:8">
      <c r="B75" s="14" t="s">
        <v>4</v>
      </c>
      <c r="C75" s="15" t="s">
        <v>67</v>
      </c>
      <c r="D75" s="79">
        <f>D74-D77</f>
        <v>119131.01000000001</v>
      </c>
      <c r="E75" s="80">
        <f>D75/E21</f>
        <v>0.14302136795315096</v>
      </c>
      <c r="G75" s="73"/>
      <c r="H75" s="181"/>
    </row>
    <row r="76" spans="2:8">
      <c r="B76" s="14" t="s">
        <v>6</v>
      </c>
      <c r="C76" s="15" t="s">
        <v>116</v>
      </c>
      <c r="D76" s="79">
        <v>0</v>
      </c>
      <c r="E76" s="80">
        <f>D76/E21</f>
        <v>0</v>
      </c>
      <c r="G76" s="73"/>
      <c r="H76" s="181"/>
    </row>
    <row r="77" spans="2:8" ht="13.5" thickBot="1">
      <c r="B77" s="16" t="s">
        <v>8</v>
      </c>
      <c r="C77" s="17" t="s">
        <v>117</v>
      </c>
      <c r="D77" s="83">
        <v>713828.51</v>
      </c>
      <c r="E77" s="84">
        <f>D77/E21</f>
        <v>0.85697863204684899</v>
      </c>
    </row>
    <row r="78" spans="2:8">
      <c r="B78" s="2"/>
      <c r="C78" s="2"/>
      <c r="D78" s="3"/>
      <c r="E78" s="3"/>
    </row>
    <row r="79" spans="2:8">
      <c r="B79" s="2"/>
      <c r="C79" s="2"/>
      <c r="D79" s="3"/>
      <c r="E79" s="3"/>
    </row>
    <row r="80" spans="2:8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 codeName="Arkusz159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5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6"/>
      <c r="C4" s="14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227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10348.59</v>
      </c>
      <c r="E11" s="377">
        <v>11561.96</v>
      </c>
    </row>
    <row r="12" spans="2:12">
      <c r="B12" s="182" t="s">
        <v>4</v>
      </c>
      <c r="C12" s="183" t="s">
        <v>5</v>
      </c>
      <c r="D12" s="378">
        <v>10348.59</v>
      </c>
      <c r="E12" s="379">
        <v>11561.96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10348.59</v>
      </c>
      <c r="E21" s="389">
        <v>11561.96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16046.34</v>
      </c>
      <c r="E26" s="234">
        <f>D21</f>
        <v>10348.59</v>
      </c>
      <c r="G26" s="75"/>
    </row>
    <row r="27" spans="2:11">
      <c r="B27" s="9" t="s">
        <v>17</v>
      </c>
      <c r="C27" s="10" t="s">
        <v>108</v>
      </c>
      <c r="D27" s="392">
        <v>-7606.2</v>
      </c>
      <c r="E27" s="365">
        <v>-622.49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7606.2</v>
      </c>
      <c r="E32" s="366">
        <v>622.49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7203.74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500.52000000000004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37.36</v>
      </c>
      <c r="E35" s="367">
        <v>15.84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365.1</v>
      </c>
      <c r="E37" s="367">
        <v>106.13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1179.68</v>
      </c>
      <c r="E40" s="396">
        <v>1835.8600000000001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9619.82</v>
      </c>
      <c r="E41" s="150">
        <f>E26+E27+E40</f>
        <v>11561.960000000001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2696.864</v>
      </c>
      <c r="E47" s="283">
        <v>1619.498</v>
      </c>
      <c r="G47" s="73"/>
    </row>
    <row r="48" spans="2:10">
      <c r="B48" s="195" t="s">
        <v>6</v>
      </c>
      <c r="C48" s="196" t="s">
        <v>41</v>
      </c>
      <c r="D48" s="310">
        <v>1619.498</v>
      </c>
      <c r="E48" s="151">
        <v>1525.3240000000001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5.95</v>
      </c>
      <c r="E50" s="76">
        <v>6.39</v>
      </c>
      <c r="G50" s="181"/>
    </row>
    <row r="51" spans="2:7">
      <c r="B51" s="193" t="s">
        <v>6</v>
      </c>
      <c r="C51" s="194" t="s">
        <v>111</v>
      </c>
      <c r="D51" s="310">
        <v>5.73</v>
      </c>
      <c r="E51" s="76">
        <v>6.06</v>
      </c>
      <c r="G51" s="181"/>
    </row>
    <row r="52" spans="2:7">
      <c r="B52" s="193" t="s">
        <v>8</v>
      </c>
      <c r="C52" s="194" t="s">
        <v>112</v>
      </c>
      <c r="D52" s="310">
        <v>7.91</v>
      </c>
      <c r="E52" s="76">
        <v>7.71</v>
      </c>
    </row>
    <row r="53" spans="2:7" ht="14.25" customHeight="1" thickBot="1">
      <c r="B53" s="197" t="s">
        <v>9</v>
      </c>
      <c r="C53" s="198" t="s">
        <v>41</v>
      </c>
      <c r="D53" s="308">
        <v>5.94</v>
      </c>
      <c r="E53" s="267">
        <v>7.58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11561.96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11561.96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11561.96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11561.96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Arkusz160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6"/>
      <c r="C4" s="14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228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101664.35</v>
      </c>
      <c r="E11" s="377">
        <v>135115.48000000001</v>
      </c>
    </row>
    <row r="12" spans="2:12">
      <c r="B12" s="182" t="s">
        <v>4</v>
      </c>
      <c r="C12" s="183" t="s">
        <v>5</v>
      </c>
      <c r="D12" s="378">
        <v>101664.35</v>
      </c>
      <c r="E12" s="379">
        <v>135115.48000000001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101664.35</v>
      </c>
      <c r="E21" s="389">
        <v>135115.48000000001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169961.51</v>
      </c>
      <c r="E26" s="234">
        <f>D21</f>
        <v>101664.35</v>
      </c>
      <c r="G26" s="75"/>
      <c r="H26" s="237"/>
    </row>
    <row r="27" spans="2:11">
      <c r="B27" s="9" t="s">
        <v>17</v>
      </c>
      <c r="C27" s="10" t="s">
        <v>108</v>
      </c>
      <c r="D27" s="392">
        <v>-5959.8200000000006</v>
      </c>
      <c r="E27" s="365">
        <v>-3425.5700000000006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5959.8200000000006</v>
      </c>
      <c r="E32" s="366">
        <v>3425.5700000000006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4761.97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2353.5700000000002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246.05</v>
      </c>
      <c r="E35" s="367">
        <v>236.99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951.80000000000007</v>
      </c>
      <c r="E37" s="367">
        <v>835.01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-53671.8</v>
      </c>
      <c r="E40" s="396">
        <v>36876.699999999997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110329.89</v>
      </c>
      <c r="E41" s="150">
        <f>E26+E27+E40</f>
        <v>135115.47999999998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743.13109999999995</v>
      </c>
      <c r="E47" s="283">
        <v>689.20309999999995</v>
      </c>
      <c r="G47" s="73"/>
    </row>
    <row r="48" spans="2:10">
      <c r="B48" s="195" t="s">
        <v>6</v>
      </c>
      <c r="C48" s="196" t="s">
        <v>41</v>
      </c>
      <c r="D48" s="310">
        <v>709.51700000000005</v>
      </c>
      <c r="E48" s="151">
        <v>669.38559999999995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228.71</v>
      </c>
      <c r="E50" s="76">
        <v>147.51</v>
      </c>
      <c r="G50" s="181"/>
    </row>
    <row r="51" spans="2:7">
      <c r="B51" s="193" t="s">
        <v>6</v>
      </c>
      <c r="C51" s="194" t="s">
        <v>111</v>
      </c>
      <c r="D51" s="310">
        <v>154.36000000000001</v>
      </c>
      <c r="E51" s="76">
        <v>145.71</v>
      </c>
      <c r="G51" s="181"/>
    </row>
    <row r="52" spans="2:7">
      <c r="B52" s="193" t="s">
        <v>8</v>
      </c>
      <c r="C52" s="194" t="s">
        <v>112</v>
      </c>
      <c r="D52" s="310">
        <v>228.71</v>
      </c>
      <c r="E52" s="76">
        <v>203.64</v>
      </c>
    </row>
    <row r="53" spans="2:7" ht="14.25" customHeight="1" thickBot="1">
      <c r="B53" s="197" t="s">
        <v>9</v>
      </c>
      <c r="C53" s="198" t="s">
        <v>41</v>
      </c>
      <c r="D53" s="308">
        <v>155.5</v>
      </c>
      <c r="E53" s="267">
        <v>201.85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135115.48000000001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135115.48000000001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135115.48000000001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135115.48000000001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Arkusz161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6"/>
      <c r="C4" s="14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212</v>
      </c>
      <c r="C6" s="458"/>
      <c r="D6" s="458"/>
      <c r="E6" s="458"/>
    </row>
    <row r="7" spans="2:12" ht="14.25">
      <c r="B7" s="144"/>
      <c r="C7" s="14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5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73931.850000000006</v>
      </c>
      <c r="E11" s="377">
        <v>132730.35999999999</v>
      </c>
    </row>
    <row r="12" spans="2:12">
      <c r="B12" s="182" t="s">
        <v>4</v>
      </c>
      <c r="C12" s="183" t="s">
        <v>5</v>
      </c>
      <c r="D12" s="378">
        <v>73931.850000000006</v>
      </c>
      <c r="E12" s="379">
        <v>132730.35999999999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73931.850000000006</v>
      </c>
      <c r="E21" s="389">
        <v>132730.35999999999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142561.57</v>
      </c>
      <c r="E26" s="234">
        <f>D21</f>
        <v>73931.850000000006</v>
      </c>
      <c r="G26" s="75"/>
      <c r="H26" s="237"/>
    </row>
    <row r="27" spans="2:11">
      <c r="B27" s="9" t="s">
        <v>17</v>
      </c>
      <c r="C27" s="10" t="s">
        <v>108</v>
      </c>
      <c r="D27" s="392">
        <v>-40088.07</v>
      </c>
      <c r="E27" s="365">
        <v>36656.740000000005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3219.2799999999997</v>
      </c>
      <c r="E28" s="366">
        <v>38628.430000000008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2778.91</v>
      </c>
      <c r="E29" s="367">
        <v>2689.65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440.37</v>
      </c>
      <c r="E31" s="367">
        <v>35938.780000000006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43307.35</v>
      </c>
      <c r="E32" s="366">
        <v>1971.69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34625.35</v>
      </c>
      <c r="E33" s="367">
        <v>1347.17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222.75</v>
      </c>
      <c r="E35" s="367">
        <v>246.32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720.38</v>
      </c>
      <c r="E37" s="367">
        <v>378.2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7738.87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-30611.67</v>
      </c>
      <c r="E40" s="396">
        <v>22141.77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71861.83</v>
      </c>
      <c r="E41" s="150">
        <f>E26+E27+E40</f>
        <v>132730.36000000002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993.04520000000002</v>
      </c>
      <c r="E47" s="283">
        <v>655.94759999999997</v>
      </c>
      <c r="G47" s="73"/>
      <c r="H47" s="161"/>
    </row>
    <row r="48" spans="2:10">
      <c r="B48" s="195" t="s">
        <v>6</v>
      </c>
      <c r="C48" s="196" t="s">
        <v>41</v>
      </c>
      <c r="D48" s="310">
        <v>637.24239999999998</v>
      </c>
      <c r="E48" s="151">
        <v>931.31039999999996</v>
      </c>
      <c r="G48" s="161"/>
    </row>
    <row r="49" spans="2:8">
      <c r="B49" s="122" t="s">
        <v>23</v>
      </c>
      <c r="C49" s="126" t="s">
        <v>110</v>
      </c>
      <c r="D49" s="311"/>
      <c r="E49" s="127"/>
      <c r="H49" s="154"/>
    </row>
    <row r="50" spans="2:8">
      <c r="B50" s="193" t="s">
        <v>4</v>
      </c>
      <c r="C50" s="194" t="s">
        <v>40</v>
      </c>
      <c r="D50" s="310">
        <v>143.56</v>
      </c>
      <c r="E50" s="76">
        <v>112.71</v>
      </c>
      <c r="G50" s="181"/>
    </row>
    <row r="51" spans="2:8">
      <c r="B51" s="193" t="s">
        <v>6</v>
      </c>
      <c r="C51" s="194" t="s">
        <v>111</v>
      </c>
      <c r="D51" s="310">
        <v>109.18</v>
      </c>
      <c r="E51" s="76">
        <v>112.71</v>
      </c>
      <c r="G51" s="181"/>
    </row>
    <row r="52" spans="2:8">
      <c r="B52" s="193" t="s">
        <v>8</v>
      </c>
      <c r="C52" s="194" t="s">
        <v>112</v>
      </c>
      <c r="D52" s="310">
        <v>150.02000000000001</v>
      </c>
      <c r="E52" s="76">
        <v>142.52000000000001</v>
      </c>
    </row>
    <row r="53" spans="2:8" ht="13.5" customHeight="1" thickBot="1">
      <c r="B53" s="197" t="s">
        <v>9</v>
      </c>
      <c r="C53" s="198" t="s">
        <v>41</v>
      </c>
      <c r="D53" s="308">
        <v>112.77</v>
      </c>
      <c r="E53" s="267">
        <v>142.52000000000001</v>
      </c>
    </row>
    <row r="54" spans="2:8">
      <c r="B54" s="111"/>
      <c r="C54" s="112"/>
      <c r="D54" s="113"/>
      <c r="E54" s="113"/>
    </row>
    <row r="55" spans="2:8" ht="13.5">
      <c r="B55" s="461" t="s">
        <v>62</v>
      </c>
      <c r="C55" s="466"/>
      <c r="D55" s="466"/>
      <c r="E55" s="466"/>
    </row>
    <row r="56" spans="2:8" ht="15.75" customHeight="1" thickBot="1">
      <c r="B56" s="459" t="s">
        <v>113</v>
      </c>
      <c r="C56" s="467"/>
      <c r="D56" s="467"/>
      <c r="E56" s="467"/>
    </row>
    <row r="57" spans="2:8" ht="23.25" thickBot="1">
      <c r="B57" s="454" t="s">
        <v>42</v>
      </c>
      <c r="C57" s="455"/>
      <c r="D57" s="18" t="s">
        <v>119</v>
      </c>
      <c r="E57" s="19" t="s">
        <v>114</v>
      </c>
    </row>
    <row r="58" spans="2:8">
      <c r="B58" s="20" t="s">
        <v>18</v>
      </c>
      <c r="C58" s="128" t="s">
        <v>43</v>
      </c>
      <c r="D58" s="129">
        <f>D64</f>
        <v>132730.35999999999</v>
      </c>
      <c r="E58" s="31">
        <f>D58/E21</f>
        <v>1</v>
      </c>
    </row>
    <row r="59" spans="2:8" ht="25.5">
      <c r="B59" s="125" t="s">
        <v>4</v>
      </c>
      <c r="C59" s="22" t="s">
        <v>44</v>
      </c>
      <c r="D59" s="81">
        <v>0</v>
      </c>
      <c r="E59" s="82">
        <v>0</v>
      </c>
    </row>
    <row r="60" spans="2:8" ht="25.5">
      <c r="B60" s="104" t="s">
        <v>6</v>
      </c>
      <c r="C60" s="15" t="s">
        <v>45</v>
      </c>
      <c r="D60" s="79">
        <v>0</v>
      </c>
      <c r="E60" s="80">
        <v>0</v>
      </c>
    </row>
    <row r="61" spans="2:8">
      <c r="B61" s="104" t="s">
        <v>8</v>
      </c>
      <c r="C61" s="15" t="s">
        <v>46</v>
      </c>
      <c r="D61" s="79">
        <v>0</v>
      </c>
      <c r="E61" s="80">
        <v>0</v>
      </c>
    </row>
    <row r="62" spans="2:8">
      <c r="B62" s="104" t="s">
        <v>9</v>
      </c>
      <c r="C62" s="15" t="s">
        <v>47</v>
      </c>
      <c r="D62" s="79">
        <v>0</v>
      </c>
      <c r="E62" s="80">
        <v>0</v>
      </c>
    </row>
    <row r="63" spans="2:8">
      <c r="B63" s="104" t="s">
        <v>29</v>
      </c>
      <c r="C63" s="15" t="s">
        <v>48</v>
      </c>
      <c r="D63" s="79">
        <v>0</v>
      </c>
      <c r="E63" s="80">
        <v>0</v>
      </c>
    </row>
    <row r="64" spans="2:8">
      <c r="B64" s="125" t="s">
        <v>31</v>
      </c>
      <c r="C64" s="22" t="s">
        <v>49</v>
      </c>
      <c r="D64" s="81">
        <f>E12</f>
        <v>132730.35999999999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D75</f>
        <v>132730.35999999999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D58-D73</f>
        <v>132730.35999999999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Arkusz162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42578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239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14053.74</v>
      </c>
      <c r="E11" s="377">
        <v>12609.86</v>
      </c>
    </row>
    <row r="12" spans="2:12">
      <c r="B12" s="182" t="s">
        <v>4</v>
      </c>
      <c r="C12" s="183" t="s">
        <v>5</v>
      </c>
      <c r="D12" s="378">
        <v>14053.74</v>
      </c>
      <c r="E12" s="379">
        <v>12609.86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14053.74</v>
      </c>
      <c r="E21" s="389">
        <v>12609.86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27198.519999999997</v>
      </c>
      <c r="E26" s="234">
        <f>D21</f>
        <v>14053.74</v>
      </c>
      <c r="G26" s="75"/>
    </row>
    <row r="27" spans="2:11">
      <c r="B27" s="9" t="s">
        <v>17</v>
      </c>
      <c r="C27" s="10" t="s">
        <v>108</v>
      </c>
      <c r="D27" s="392">
        <v>1085.8999999999999</v>
      </c>
      <c r="E27" s="365">
        <v>-1930.0099999999998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1972.83</v>
      </c>
      <c r="E28" s="366">
        <v>935.75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782.51</v>
      </c>
      <c r="E29" s="367">
        <v>935.75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1190.32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886.93000000000006</v>
      </c>
      <c r="E32" s="366">
        <v>2865.7599999999998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632.20000000000005</v>
      </c>
      <c r="E33" s="367">
        <v>2674.87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172.17000000000002</v>
      </c>
      <c r="E35" s="367">
        <v>133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82.56</v>
      </c>
      <c r="E37" s="367">
        <v>57.89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-14788.34</v>
      </c>
      <c r="E40" s="396">
        <v>486.13</v>
      </c>
      <c r="G40" s="75"/>
    </row>
    <row r="41" spans="2:10" ht="13.5" thickBot="1">
      <c r="B41" s="101" t="s">
        <v>37</v>
      </c>
      <c r="C41" s="102" t="s">
        <v>38</v>
      </c>
      <c r="D41" s="306">
        <v>13496.079999999998</v>
      </c>
      <c r="E41" s="150">
        <f>E26+E27+E40</f>
        <v>12609.859999999999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185.36439999999999</v>
      </c>
      <c r="E47" s="283">
        <v>210.00810000000001</v>
      </c>
      <c r="G47" s="73"/>
      <c r="H47" s="161"/>
    </row>
    <row r="48" spans="2:10">
      <c r="B48" s="195" t="s">
        <v>6</v>
      </c>
      <c r="C48" s="196" t="s">
        <v>41</v>
      </c>
      <c r="D48" s="310">
        <v>190.97319999999999</v>
      </c>
      <c r="E48" s="151">
        <v>181.90790000000001</v>
      </c>
      <c r="G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146.72999999999999</v>
      </c>
      <c r="E50" s="76">
        <v>66.92</v>
      </c>
      <c r="G50" s="181"/>
    </row>
    <row r="51" spans="2:7">
      <c r="B51" s="193" t="s">
        <v>6</v>
      </c>
      <c r="C51" s="194" t="s">
        <v>111</v>
      </c>
      <c r="D51" s="310">
        <v>70.67</v>
      </c>
      <c r="E51" s="76">
        <v>65.59</v>
      </c>
      <c r="G51" s="181"/>
    </row>
    <row r="52" spans="2:7">
      <c r="B52" s="193" t="s">
        <v>8</v>
      </c>
      <c r="C52" s="194" t="s">
        <v>112</v>
      </c>
      <c r="D52" s="310">
        <v>151.94</v>
      </c>
      <c r="E52" s="76">
        <v>73.53</v>
      </c>
    </row>
    <row r="53" spans="2:7" ht="13.5" customHeight="1" thickBot="1">
      <c r="B53" s="197" t="s">
        <v>9</v>
      </c>
      <c r="C53" s="198" t="s">
        <v>41</v>
      </c>
      <c r="D53" s="308">
        <v>70.67</v>
      </c>
      <c r="E53" s="267">
        <v>69.319999999999993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12609.86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12609.86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12609.86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12609.86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 codeName="Arkusz163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260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57281.87</v>
      </c>
      <c r="E11" s="377">
        <v>58823.94</v>
      </c>
    </row>
    <row r="12" spans="2:12">
      <c r="B12" s="182" t="s">
        <v>4</v>
      </c>
      <c r="C12" s="183" t="s">
        <v>5</v>
      </c>
      <c r="D12" s="378">
        <v>57281.87</v>
      </c>
      <c r="E12" s="379">
        <v>58823.94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57281.87</v>
      </c>
      <c r="E21" s="389">
        <v>58823.94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71673.350000000006</v>
      </c>
      <c r="E26" s="234">
        <f>D21</f>
        <v>57281.87</v>
      </c>
      <c r="G26" s="75"/>
      <c r="H26" s="237"/>
    </row>
    <row r="27" spans="2:11">
      <c r="B27" s="9" t="s">
        <v>17</v>
      </c>
      <c r="C27" s="10" t="s">
        <v>108</v>
      </c>
      <c r="D27" s="392">
        <v>-555.70000000000005</v>
      </c>
      <c r="E27" s="365">
        <v>-656.75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555.70000000000005</v>
      </c>
      <c r="E32" s="366">
        <v>656.75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52.19</v>
      </c>
      <c r="E35" s="367">
        <v>95.43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503.51</v>
      </c>
      <c r="E37" s="367">
        <v>561.32000000000005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-15670.46</v>
      </c>
      <c r="E40" s="396">
        <v>2198.8200000000002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55447.19000000001</v>
      </c>
      <c r="E41" s="150">
        <f>E26+E27+E40</f>
        <v>58823.94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353"/>
      <c r="E46" s="28"/>
      <c r="G46" s="73"/>
    </row>
    <row r="47" spans="2:10">
      <c r="B47" s="193" t="s">
        <v>4</v>
      </c>
      <c r="C47" s="194" t="s">
        <v>40</v>
      </c>
      <c r="D47" s="310">
        <v>528.25289999999995</v>
      </c>
      <c r="E47" s="283">
        <v>518.57569999999998</v>
      </c>
      <c r="G47" s="73"/>
    </row>
    <row r="48" spans="2:10">
      <c r="B48" s="195" t="s">
        <v>6</v>
      </c>
      <c r="C48" s="196" t="s">
        <v>41</v>
      </c>
      <c r="D48" s="310">
        <v>523.72900000000004</v>
      </c>
      <c r="E48" s="151">
        <v>512.76099999999997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135.68</v>
      </c>
      <c r="E50" s="76">
        <v>110.46</v>
      </c>
      <c r="G50" s="181"/>
    </row>
    <row r="51" spans="2:7">
      <c r="B51" s="193" t="s">
        <v>6</v>
      </c>
      <c r="C51" s="194" t="s">
        <v>111</v>
      </c>
      <c r="D51" s="310">
        <v>103.96000000000001</v>
      </c>
      <c r="E51" s="76">
        <v>107.92</v>
      </c>
      <c r="G51" s="181"/>
    </row>
    <row r="52" spans="2:7">
      <c r="B52" s="193" t="s">
        <v>8</v>
      </c>
      <c r="C52" s="194" t="s">
        <v>112</v>
      </c>
      <c r="D52" s="310">
        <v>143.09</v>
      </c>
      <c r="E52" s="76">
        <v>119.01</v>
      </c>
    </row>
    <row r="53" spans="2:7" ht="12.75" customHeight="1" thickBot="1">
      <c r="B53" s="197" t="s">
        <v>9</v>
      </c>
      <c r="C53" s="198" t="s">
        <v>41</v>
      </c>
      <c r="D53" s="308">
        <v>105.87</v>
      </c>
      <c r="E53" s="267">
        <v>114.72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58823.94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58823.94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58823.94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58823.94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5000000000000004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Arkusz164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213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91924.45</v>
      </c>
      <c r="E11" s="377">
        <v>110517.77</v>
      </c>
    </row>
    <row r="12" spans="2:12">
      <c r="B12" s="182" t="s">
        <v>4</v>
      </c>
      <c r="C12" s="183" t="s">
        <v>5</v>
      </c>
      <c r="D12" s="378">
        <v>91924.45</v>
      </c>
      <c r="E12" s="379">
        <v>110517.77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91924.45</v>
      </c>
      <c r="E21" s="389">
        <v>110517.77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124167.5</v>
      </c>
      <c r="E26" s="234">
        <f>D21</f>
        <v>91924.45</v>
      </c>
      <c r="G26" s="75"/>
    </row>
    <row r="27" spans="2:11">
      <c r="B27" s="9" t="s">
        <v>17</v>
      </c>
      <c r="C27" s="10" t="s">
        <v>108</v>
      </c>
      <c r="D27" s="392">
        <v>-9238</v>
      </c>
      <c r="E27" s="365">
        <v>2406.91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5932.4</v>
      </c>
      <c r="E28" s="366">
        <v>3904.27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611.03</v>
      </c>
      <c r="E29" s="367">
        <v>454.92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5321.37</v>
      </c>
      <c r="E31" s="367">
        <v>3449.35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15170.4</v>
      </c>
      <c r="E32" s="366">
        <v>1497.36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5431.17</v>
      </c>
      <c r="E33" s="367">
        <v>664.62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109.5</v>
      </c>
      <c r="E35" s="367">
        <v>81.460000000000008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798.53</v>
      </c>
      <c r="E37" s="367">
        <v>751.27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8831.2000000000007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-28013.03</v>
      </c>
      <c r="E40" s="396">
        <v>16186.410000000002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86916.47</v>
      </c>
      <c r="E41" s="150">
        <f>E26+E27+E40</f>
        <v>110517.77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494.80950000000001</v>
      </c>
      <c r="E47" s="283">
        <v>444.4015</v>
      </c>
      <c r="G47" s="73"/>
    </row>
    <row r="48" spans="2:10">
      <c r="B48" s="195" t="s">
        <v>6</v>
      </c>
      <c r="C48" s="196" t="s">
        <v>41</v>
      </c>
      <c r="D48" s="310">
        <v>447.9076</v>
      </c>
      <c r="E48" s="151">
        <v>454.11419999999998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250.94</v>
      </c>
      <c r="E50" s="76">
        <v>206.85</v>
      </c>
      <c r="G50" s="181"/>
    </row>
    <row r="51" spans="2:7">
      <c r="B51" s="193" t="s">
        <v>6</v>
      </c>
      <c r="C51" s="194" t="s">
        <v>111</v>
      </c>
      <c r="D51" s="310">
        <v>190.39000000000001</v>
      </c>
      <c r="E51" s="76">
        <v>202.24</v>
      </c>
      <c r="G51" s="181"/>
    </row>
    <row r="52" spans="2:7">
      <c r="B52" s="193" t="s">
        <v>8</v>
      </c>
      <c r="C52" s="194" t="s">
        <v>112</v>
      </c>
      <c r="D52" s="310">
        <v>265.25</v>
      </c>
      <c r="E52" s="76">
        <v>246.12</v>
      </c>
    </row>
    <row r="53" spans="2:7" ht="13.5" customHeight="1" thickBot="1">
      <c r="B53" s="197" t="s">
        <v>9</v>
      </c>
      <c r="C53" s="198" t="s">
        <v>41</v>
      </c>
      <c r="D53" s="308">
        <v>194.05</v>
      </c>
      <c r="E53" s="267">
        <v>243.37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110517.77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110517.77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110517.77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110517.77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Arkusz165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214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135069.72</v>
      </c>
      <c r="E11" s="377">
        <v>144652.44</v>
      </c>
    </row>
    <row r="12" spans="2:12">
      <c r="B12" s="182" t="s">
        <v>4</v>
      </c>
      <c r="C12" s="183" t="s">
        <v>5</v>
      </c>
      <c r="D12" s="378">
        <v>135069.72</v>
      </c>
      <c r="E12" s="379">
        <v>144652.44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135069.72</v>
      </c>
      <c r="E21" s="389">
        <v>144652.44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  <c r="H24" s="237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H25" s="237"/>
    </row>
    <row r="26" spans="2:11">
      <c r="B26" s="97" t="s">
        <v>15</v>
      </c>
      <c r="C26" s="98" t="s">
        <v>16</v>
      </c>
      <c r="D26" s="302">
        <v>149779.93</v>
      </c>
      <c r="E26" s="234">
        <f>D21</f>
        <v>135069.72</v>
      </c>
      <c r="G26" s="75"/>
      <c r="H26" s="237"/>
    </row>
    <row r="27" spans="2:11">
      <c r="B27" s="9" t="s">
        <v>17</v>
      </c>
      <c r="C27" s="10" t="s">
        <v>108</v>
      </c>
      <c r="D27" s="392">
        <v>-2073.1699999999992</v>
      </c>
      <c r="E27" s="365">
        <v>-1856.85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7833.14</v>
      </c>
      <c r="E28" s="366">
        <v>4090.9500000000003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7207.06</v>
      </c>
      <c r="E29" s="367">
        <v>4090.9300000000003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626.07999999999993</v>
      </c>
      <c r="E31" s="367">
        <v>0.02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9906.31</v>
      </c>
      <c r="E32" s="366">
        <v>5947.8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8247.07</v>
      </c>
      <c r="E33" s="367">
        <v>4041.9300000000003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503.97</v>
      </c>
      <c r="E35" s="367">
        <v>471.11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963.95</v>
      </c>
      <c r="E37" s="367">
        <v>902.83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191.32</v>
      </c>
      <c r="E39" s="368">
        <v>531.93000000000006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-21096.46</v>
      </c>
      <c r="E40" s="396">
        <v>11439.57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126610.29999999999</v>
      </c>
      <c r="E41" s="150">
        <f>E26+E27+E40</f>
        <v>144652.44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201"/>
    </row>
    <row r="47" spans="2:10">
      <c r="B47" s="193" t="s">
        <v>4</v>
      </c>
      <c r="C47" s="194" t="s">
        <v>40</v>
      </c>
      <c r="D47" s="310">
        <v>427.86930000000001</v>
      </c>
      <c r="E47" s="283">
        <v>436.7937</v>
      </c>
      <c r="G47" s="73"/>
      <c r="H47" s="201"/>
    </row>
    <row r="48" spans="2:10">
      <c r="B48" s="195" t="s">
        <v>6</v>
      </c>
      <c r="C48" s="196" t="s">
        <v>41</v>
      </c>
      <c r="D48" s="310">
        <v>419.11450000000002</v>
      </c>
      <c r="E48" s="151">
        <v>431.2448</v>
      </c>
      <c r="G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350.06</v>
      </c>
      <c r="E50" s="76">
        <v>309.23</v>
      </c>
      <c r="G50" s="181"/>
    </row>
    <row r="51" spans="2:7">
      <c r="B51" s="193" t="s">
        <v>6</v>
      </c>
      <c r="C51" s="194" t="s">
        <v>111</v>
      </c>
      <c r="D51" s="310">
        <v>290.90000000000003</v>
      </c>
      <c r="E51" s="76">
        <v>309.23</v>
      </c>
      <c r="G51" s="181"/>
    </row>
    <row r="52" spans="2:7">
      <c r="B52" s="193" t="s">
        <v>8</v>
      </c>
      <c r="C52" s="194" t="s">
        <v>112</v>
      </c>
      <c r="D52" s="310">
        <v>350.62</v>
      </c>
      <c r="E52" s="76">
        <v>335.43</v>
      </c>
    </row>
    <row r="53" spans="2:7" ht="13.5" customHeight="1" thickBot="1">
      <c r="B53" s="197" t="s">
        <v>9</v>
      </c>
      <c r="C53" s="198" t="s">
        <v>41</v>
      </c>
      <c r="D53" s="308">
        <v>302.08999999999997</v>
      </c>
      <c r="E53" s="267">
        <v>335.43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144652.44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144652.44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144652.44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144652.44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Arkusz16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42578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215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72230.38</v>
      </c>
      <c r="E11" s="377">
        <v>75615.63</v>
      </c>
    </row>
    <row r="12" spans="2:12">
      <c r="B12" s="182" t="s">
        <v>4</v>
      </c>
      <c r="C12" s="183" t="s">
        <v>5</v>
      </c>
      <c r="D12" s="378">
        <v>72230.38</v>
      </c>
      <c r="E12" s="379">
        <v>75615.63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72230.38</v>
      </c>
      <c r="E21" s="389">
        <v>75615.63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116044.45</v>
      </c>
      <c r="E26" s="234">
        <f>D21</f>
        <v>72230.38</v>
      </c>
      <c r="G26" s="75"/>
    </row>
    <row r="27" spans="2:11">
      <c r="B27" s="9" t="s">
        <v>17</v>
      </c>
      <c r="C27" s="10" t="s">
        <v>108</v>
      </c>
      <c r="D27" s="392">
        <v>-33185.490000000005</v>
      </c>
      <c r="E27" s="365">
        <v>-736.31000000000006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119.56</v>
      </c>
      <c r="E28" s="366">
        <v>0.02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119.56</v>
      </c>
      <c r="E31" s="367">
        <v>0.02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33305.050000000003</v>
      </c>
      <c r="E32" s="366">
        <v>736.33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31959.16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120.85000000000001</v>
      </c>
      <c r="E35" s="367">
        <v>69.34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1225.04</v>
      </c>
      <c r="E37" s="367">
        <v>666.99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-9941.48</v>
      </c>
      <c r="E40" s="396">
        <v>4121.5600000000004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72917.48</v>
      </c>
      <c r="E41" s="150">
        <f>E26+E27+E40</f>
        <v>75615.63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499.54559999999998</v>
      </c>
      <c r="E47" s="283">
        <v>328.82810000000001</v>
      </c>
      <c r="G47" s="73"/>
      <c r="H47" s="161"/>
    </row>
    <row r="48" spans="2:10">
      <c r="B48" s="195" t="s">
        <v>6</v>
      </c>
      <c r="C48" s="196" t="s">
        <v>41</v>
      </c>
      <c r="D48" s="310">
        <v>343.27030000000002</v>
      </c>
      <c r="E48" s="151">
        <v>325.57859999999999</v>
      </c>
      <c r="G48" s="201"/>
      <c r="H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232.3</v>
      </c>
      <c r="E50" s="76">
        <v>219.66</v>
      </c>
      <c r="G50" s="181"/>
    </row>
    <row r="51" spans="2:7">
      <c r="B51" s="193" t="s">
        <v>6</v>
      </c>
      <c r="C51" s="194" t="s">
        <v>111</v>
      </c>
      <c r="D51" s="310">
        <v>211.63</v>
      </c>
      <c r="E51" s="76">
        <v>219.66</v>
      </c>
      <c r="G51" s="181"/>
    </row>
    <row r="52" spans="2:7">
      <c r="B52" s="193" t="s">
        <v>8</v>
      </c>
      <c r="C52" s="194" t="s">
        <v>112</v>
      </c>
      <c r="D52" s="310">
        <v>232.76</v>
      </c>
      <c r="E52" s="76">
        <v>232.28</v>
      </c>
    </row>
    <row r="53" spans="2:7" ht="14.25" customHeight="1" thickBot="1">
      <c r="B53" s="197" t="s">
        <v>9</v>
      </c>
      <c r="C53" s="198" t="s">
        <v>41</v>
      </c>
      <c r="D53" s="308">
        <v>212.42</v>
      </c>
      <c r="E53" s="267">
        <v>232.25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75615.63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75615.63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82">
        <f>D73/E21</f>
        <v>0</v>
      </c>
    </row>
    <row r="74" spans="2:5">
      <c r="B74" s="132" t="s">
        <v>64</v>
      </c>
      <c r="C74" s="123" t="s">
        <v>66</v>
      </c>
      <c r="D74" s="124">
        <f>D58-D73</f>
        <v>75615.63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75615.63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Arkusz167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42578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216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96555.66</v>
      </c>
      <c r="E11" s="377">
        <v>115602.89</v>
      </c>
    </row>
    <row r="12" spans="2:12">
      <c r="B12" s="182" t="s">
        <v>4</v>
      </c>
      <c r="C12" s="183" t="s">
        <v>5</v>
      </c>
      <c r="D12" s="378">
        <v>96555.66</v>
      </c>
      <c r="E12" s="379">
        <v>115602.89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96555.66</v>
      </c>
      <c r="E21" s="389">
        <v>115602.89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123542.29</v>
      </c>
      <c r="E26" s="234">
        <f>D21</f>
        <v>96555.66</v>
      </c>
      <c r="G26" s="75"/>
    </row>
    <row r="27" spans="2:11">
      <c r="B27" s="9" t="s">
        <v>17</v>
      </c>
      <c r="C27" s="10" t="s">
        <v>108</v>
      </c>
      <c r="D27" s="392">
        <v>4394.5800000000017</v>
      </c>
      <c r="E27" s="365">
        <v>3854.62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8040.0600000000013</v>
      </c>
      <c r="E28" s="366">
        <v>4930.6099999999997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5159.4400000000005</v>
      </c>
      <c r="E29" s="367">
        <v>4930.6099999999997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2880.6200000000003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3645.48</v>
      </c>
      <c r="E32" s="366">
        <v>1075.99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2730.4500000000003</v>
      </c>
      <c r="E33" s="367">
        <v>156.32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191.24</v>
      </c>
      <c r="E35" s="367">
        <v>178.22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723.79</v>
      </c>
      <c r="E37" s="367">
        <v>741.42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0.03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-26503.64</v>
      </c>
      <c r="E40" s="396">
        <v>15192.609999999999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101433.23</v>
      </c>
      <c r="E41" s="150">
        <f>E26+E27+E40</f>
        <v>115602.89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328.79730000000001</v>
      </c>
      <c r="E47" s="283">
        <v>308.64229999999998</v>
      </c>
      <c r="G47" s="73"/>
      <c r="H47" s="161"/>
    </row>
    <row r="48" spans="2:10">
      <c r="B48" s="195" t="s">
        <v>6</v>
      </c>
      <c r="C48" s="196" t="s">
        <v>41</v>
      </c>
      <c r="D48" s="310">
        <v>341.22730000000001</v>
      </c>
      <c r="E48" s="151">
        <v>320.1232</v>
      </c>
      <c r="G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375.74</v>
      </c>
      <c r="E50" s="76">
        <v>312.83999999999997</v>
      </c>
      <c r="G50" s="181"/>
    </row>
    <row r="51" spans="2:7">
      <c r="B51" s="193" t="s">
        <v>6</v>
      </c>
      <c r="C51" s="194" t="s">
        <v>111</v>
      </c>
      <c r="D51" s="310">
        <v>290.34000000000003</v>
      </c>
      <c r="E51" s="76">
        <v>312.83999999999997</v>
      </c>
      <c r="G51" s="181"/>
    </row>
    <row r="52" spans="2:7">
      <c r="B52" s="193" t="s">
        <v>8</v>
      </c>
      <c r="C52" s="194" t="s">
        <v>112</v>
      </c>
      <c r="D52" s="310">
        <v>385.92</v>
      </c>
      <c r="E52" s="76">
        <v>361.13</v>
      </c>
    </row>
    <row r="53" spans="2:7" ht="13.5" customHeight="1" thickBot="1">
      <c r="B53" s="197" t="s">
        <v>9</v>
      </c>
      <c r="C53" s="198" t="s">
        <v>41</v>
      </c>
      <c r="D53" s="308">
        <v>297.26</v>
      </c>
      <c r="E53" s="267">
        <v>361.12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115602.89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115602.89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115602.89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115602.89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 codeName="Arkusz16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217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45905.45</v>
      </c>
      <c r="E11" s="377">
        <v>48388.44</v>
      </c>
    </row>
    <row r="12" spans="2:12">
      <c r="B12" s="182" t="s">
        <v>4</v>
      </c>
      <c r="C12" s="183" t="s">
        <v>5</v>
      </c>
      <c r="D12" s="378">
        <v>45905.45</v>
      </c>
      <c r="E12" s="379">
        <v>48388.44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45905.45</v>
      </c>
      <c r="E21" s="389">
        <v>48388.44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41677.57</v>
      </c>
      <c r="E26" s="391">
        <f>D21</f>
        <v>45905.45</v>
      </c>
      <c r="G26" s="75"/>
      <c r="H26" s="237"/>
    </row>
    <row r="27" spans="2:11">
      <c r="B27" s="9" t="s">
        <v>17</v>
      </c>
      <c r="C27" s="10" t="s">
        <v>108</v>
      </c>
      <c r="D27" s="392">
        <v>-306.61</v>
      </c>
      <c r="E27" s="365">
        <v>-348.08000000000004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306.61</v>
      </c>
      <c r="E32" s="366">
        <v>348.09000000000003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41.59</v>
      </c>
      <c r="E35" s="367">
        <v>45.99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265.02</v>
      </c>
      <c r="E37" s="367">
        <v>302.10000000000002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-1060.18</v>
      </c>
      <c r="E40" s="396">
        <v>2831.0699999999997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40310.78</v>
      </c>
      <c r="E41" s="389">
        <f>E26+E27+E40</f>
        <v>48388.439999999995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326.11559999999997</v>
      </c>
      <c r="E47" s="283">
        <v>361.37490000000003</v>
      </c>
      <c r="G47" s="73"/>
    </row>
    <row r="48" spans="2:10">
      <c r="B48" s="195" t="s">
        <v>6</v>
      </c>
      <c r="C48" s="196" t="s">
        <v>41</v>
      </c>
      <c r="D48" s="310">
        <v>323.67739999999998</v>
      </c>
      <c r="E48" s="151">
        <v>358.6986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127.8</v>
      </c>
      <c r="E50" s="76">
        <v>127.03</v>
      </c>
      <c r="G50" s="181"/>
    </row>
    <row r="51" spans="2:7">
      <c r="B51" s="193" t="s">
        <v>6</v>
      </c>
      <c r="C51" s="194" t="s">
        <v>111</v>
      </c>
      <c r="D51" s="310">
        <v>124.13000000000001</v>
      </c>
      <c r="E51" s="76">
        <v>127.03</v>
      </c>
      <c r="G51" s="181"/>
    </row>
    <row r="52" spans="2:7">
      <c r="B52" s="193" t="s">
        <v>8</v>
      </c>
      <c r="C52" s="194" t="s">
        <v>112</v>
      </c>
      <c r="D52" s="310">
        <v>128.6</v>
      </c>
      <c r="E52" s="76">
        <v>134.9</v>
      </c>
    </row>
    <row r="53" spans="2:7" ht="13.5" customHeight="1" thickBot="1">
      <c r="B53" s="197" t="s">
        <v>9</v>
      </c>
      <c r="C53" s="198" t="s">
        <v>41</v>
      </c>
      <c r="D53" s="308">
        <v>124.54</v>
      </c>
      <c r="E53" s="267">
        <v>134.9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48388.44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48388.44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48388.44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48388.44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4" right="0.75" top="0.55000000000000004" bottom="0.5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0.85546875" customWidth="1"/>
    <col min="10" max="10" width="10.5703125" customWidth="1"/>
    <col min="11" max="11" width="15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234</v>
      </c>
      <c r="C6" s="458"/>
      <c r="D6" s="458"/>
      <c r="E6" s="458"/>
    </row>
    <row r="7" spans="2:12" ht="14.25">
      <c r="B7" s="322"/>
      <c r="C7" s="322"/>
      <c r="D7" s="322"/>
      <c r="E7" s="322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323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516248.67</v>
      </c>
      <c r="E11" s="377">
        <f>SUM(E12:E14)</f>
        <v>921850.15999999992</v>
      </c>
      <c r="H11" s="73"/>
    </row>
    <row r="12" spans="2:12">
      <c r="B12" s="182" t="s">
        <v>4</v>
      </c>
      <c r="C12" s="240" t="s">
        <v>5</v>
      </c>
      <c r="D12" s="378">
        <v>246473</v>
      </c>
      <c r="E12" s="379">
        <f>861698.19+46130.53</f>
        <v>907828.72</v>
      </c>
      <c r="H12" s="73"/>
    </row>
    <row r="13" spans="2:12">
      <c r="B13" s="182" t="s">
        <v>6</v>
      </c>
      <c r="C13" s="240" t="s">
        <v>7</v>
      </c>
      <c r="D13" s="380">
        <v>258533.1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11242.57</v>
      </c>
      <c r="E14" s="381">
        <f>E15</f>
        <v>14021.44</v>
      </c>
      <c r="H14" s="73"/>
    </row>
    <row r="15" spans="2:12">
      <c r="B15" s="182" t="s">
        <v>103</v>
      </c>
      <c r="C15" s="240" t="s">
        <v>11</v>
      </c>
      <c r="D15" s="380">
        <v>11242.57</v>
      </c>
      <c r="E15" s="381">
        <v>14021.44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7">
      <c r="B17" s="9" t="s">
        <v>13</v>
      </c>
      <c r="C17" s="207" t="s">
        <v>65</v>
      </c>
      <c r="D17" s="384">
        <v>611.45000000000005</v>
      </c>
      <c r="E17" s="385">
        <f>E18</f>
        <v>873.82</v>
      </c>
      <c r="H17" s="73"/>
    </row>
    <row r="18" spans="2:17">
      <c r="B18" s="182" t="s">
        <v>4</v>
      </c>
      <c r="C18" s="240" t="s">
        <v>11</v>
      </c>
      <c r="D18" s="382">
        <v>611.45000000000005</v>
      </c>
      <c r="E18" s="383">
        <v>873.82</v>
      </c>
      <c r="H18" s="73"/>
    </row>
    <row r="19" spans="2:17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7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7" ht="13.5" thickBot="1">
      <c r="B21" s="468" t="s">
        <v>107</v>
      </c>
      <c r="C21" s="469"/>
      <c r="D21" s="388">
        <v>515637.22</v>
      </c>
      <c r="E21" s="389">
        <f>E11-E17</f>
        <v>920976.34</v>
      </c>
      <c r="F21" s="78"/>
      <c r="G21" s="78"/>
      <c r="H21" s="169"/>
      <c r="J21" s="227"/>
      <c r="K21" s="169"/>
    </row>
    <row r="22" spans="2:17">
      <c r="B22" s="4"/>
      <c r="C22" s="7"/>
      <c r="D22" s="8"/>
      <c r="E22" s="8"/>
      <c r="G22" s="73"/>
    </row>
    <row r="23" spans="2:17" ht="13.5">
      <c r="B23" s="460" t="s">
        <v>101</v>
      </c>
      <c r="C23" s="470"/>
      <c r="D23" s="470"/>
      <c r="E23" s="470"/>
      <c r="G23" s="73"/>
    </row>
    <row r="24" spans="2:17" ht="16.5" customHeight="1" thickBot="1">
      <c r="B24" s="459" t="s">
        <v>102</v>
      </c>
      <c r="C24" s="471"/>
      <c r="D24" s="471"/>
      <c r="E24" s="471"/>
    </row>
    <row r="25" spans="2:17" ht="13.5" thickBot="1">
      <c r="B25" s="323"/>
      <c r="C25" s="189" t="s">
        <v>2</v>
      </c>
      <c r="D25" s="274" t="s">
        <v>243</v>
      </c>
      <c r="E25" s="246" t="s">
        <v>242</v>
      </c>
    </row>
    <row r="26" spans="2:17">
      <c r="B26" s="97" t="s">
        <v>15</v>
      </c>
      <c r="C26" s="98" t="s">
        <v>16</v>
      </c>
      <c r="D26" s="390">
        <v>0</v>
      </c>
      <c r="E26" s="391">
        <f>D21</f>
        <v>515637.22</v>
      </c>
      <c r="G26" s="75"/>
    </row>
    <row r="27" spans="2:17">
      <c r="B27" s="9" t="s">
        <v>17</v>
      </c>
      <c r="C27" s="10" t="s">
        <v>108</v>
      </c>
      <c r="D27" s="392">
        <v>257826.92</v>
      </c>
      <c r="E27" s="365">
        <v>365464.54000000004</v>
      </c>
      <c r="F27" s="73"/>
      <c r="G27" s="244"/>
      <c r="H27" s="243"/>
      <c r="I27" s="73"/>
      <c r="J27" s="75"/>
    </row>
    <row r="28" spans="2:17">
      <c r="B28" s="9" t="s">
        <v>18</v>
      </c>
      <c r="C28" s="10" t="s">
        <v>19</v>
      </c>
      <c r="D28" s="392">
        <v>273244.58</v>
      </c>
      <c r="E28" s="366">
        <v>404259.56000000006</v>
      </c>
      <c r="F28" s="73"/>
      <c r="G28" s="243"/>
      <c r="H28" s="243"/>
      <c r="I28" s="73"/>
      <c r="J28" s="75"/>
    </row>
    <row r="29" spans="2:17">
      <c r="B29" s="190" t="s">
        <v>4</v>
      </c>
      <c r="C29" s="183" t="s">
        <v>20</v>
      </c>
      <c r="D29" s="393">
        <v>273244.58</v>
      </c>
      <c r="E29" s="367">
        <v>404259.53</v>
      </c>
      <c r="F29" s="73"/>
      <c r="G29" s="243"/>
      <c r="H29" s="243"/>
      <c r="I29" s="73"/>
      <c r="J29" s="75"/>
    </row>
    <row r="30" spans="2:17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  <c r="Q30" s="248"/>
    </row>
    <row r="31" spans="2:17">
      <c r="B31" s="190" t="s">
        <v>8</v>
      </c>
      <c r="C31" s="183" t="s">
        <v>22</v>
      </c>
      <c r="D31" s="393">
        <v>0</v>
      </c>
      <c r="E31" s="367">
        <v>0.03</v>
      </c>
      <c r="F31" s="73"/>
      <c r="G31" s="243"/>
      <c r="H31" s="243"/>
      <c r="I31" s="73"/>
      <c r="J31" s="75"/>
    </row>
    <row r="32" spans="2:17">
      <c r="B32" s="94" t="s">
        <v>23</v>
      </c>
      <c r="C32" s="11" t="s">
        <v>24</v>
      </c>
      <c r="D32" s="392">
        <v>15417.66</v>
      </c>
      <c r="E32" s="366">
        <v>38795.020000000004</v>
      </c>
      <c r="F32" s="73"/>
      <c r="G32" s="244"/>
      <c r="H32" s="243"/>
      <c r="I32" s="73"/>
      <c r="J32" s="75"/>
    </row>
    <row r="33" spans="2:17">
      <c r="B33" s="190" t="s">
        <v>4</v>
      </c>
      <c r="C33" s="183" t="s">
        <v>25</v>
      </c>
      <c r="D33" s="393">
        <v>15167.19</v>
      </c>
      <c r="E33" s="367">
        <v>37658.400000000001</v>
      </c>
      <c r="F33" s="73"/>
      <c r="G33" s="243"/>
      <c r="H33" s="243"/>
      <c r="I33" s="73"/>
      <c r="J33" s="75"/>
    </row>
    <row r="34" spans="2:17">
      <c r="B34" s="190" t="s">
        <v>6</v>
      </c>
      <c r="C34" s="183" t="s">
        <v>26</v>
      </c>
      <c r="D34" s="393">
        <v>0</v>
      </c>
      <c r="E34" s="367">
        <v>29.21</v>
      </c>
      <c r="F34" s="73"/>
      <c r="G34" s="243"/>
      <c r="H34" s="243"/>
      <c r="I34" s="73"/>
      <c r="J34" s="75"/>
      <c r="Q34" s="181"/>
    </row>
    <row r="35" spans="2:17">
      <c r="B35" s="190" t="s">
        <v>8</v>
      </c>
      <c r="C35" s="183" t="s">
        <v>27</v>
      </c>
      <c r="D35" s="393">
        <v>250.47</v>
      </c>
      <c r="E35" s="367">
        <v>1107.4100000000001</v>
      </c>
      <c r="F35" s="73"/>
      <c r="G35" s="243"/>
      <c r="H35" s="243"/>
      <c r="I35" s="73"/>
      <c r="J35" s="75"/>
    </row>
    <row r="36" spans="2:17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7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7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7">
      <c r="B39" s="191" t="s">
        <v>33</v>
      </c>
      <c r="C39" s="192" t="s">
        <v>34</v>
      </c>
      <c r="D39" s="394">
        <v>0</v>
      </c>
      <c r="E39" s="368">
        <v>0</v>
      </c>
      <c r="F39" s="73"/>
      <c r="G39" s="243"/>
      <c r="H39" s="243"/>
      <c r="I39" s="73"/>
      <c r="J39" s="75"/>
    </row>
    <row r="40" spans="2:17" ht="13.5" thickBot="1">
      <c r="B40" s="99" t="s">
        <v>35</v>
      </c>
      <c r="C40" s="100" t="s">
        <v>36</v>
      </c>
      <c r="D40" s="395">
        <v>-3187.3</v>
      </c>
      <c r="E40" s="396">
        <v>39874.58</v>
      </c>
      <c r="G40" s="75"/>
    </row>
    <row r="41" spans="2:17" ht="13.5" thickBot="1">
      <c r="B41" s="101" t="s">
        <v>37</v>
      </c>
      <c r="C41" s="102" t="s">
        <v>38</v>
      </c>
      <c r="D41" s="397">
        <v>254639.62000000002</v>
      </c>
      <c r="E41" s="389">
        <f>E26+E27+E40</f>
        <v>920976.34</v>
      </c>
      <c r="F41" s="78"/>
      <c r="G41" s="75"/>
      <c r="H41" s="73"/>
      <c r="I41" s="73"/>
      <c r="J41" s="73"/>
    </row>
    <row r="42" spans="2:17">
      <c r="B42" s="95"/>
      <c r="C42" s="95"/>
      <c r="D42" s="96"/>
      <c r="E42" s="96"/>
      <c r="F42" s="78"/>
      <c r="G42" s="68"/>
    </row>
    <row r="43" spans="2:17" ht="13.5">
      <c r="B43" s="461" t="s">
        <v>60</v>
      </c>
      <c r="C43" s="462"/>
      <c r="D43" s="462"/>
      <c r="E43" s="462"/>
      <c r="G43" s="73"/>
    </row>
    <row r="44" spans="2:17" ht="15.75" customHeight="1" thickBot="1">
      <c r="B44" s="459" t="s">
        <v>118</v>
      </c>
      <c r="C44" s="463"/>
      <c r="D44" s="463"/>
      <c r="E44" s="463"/>
      <c r="G44" s="73"/>
    </row>
    <row r="45" spans="2:17" ht="13.5" thickBot="1">
      <c r="B45" s="323"/>
      <c r="C45" s="29" t="s">
        <v>39</v>
      </c>
      <c r="D45" s="274" t="s">
        <v>243</v>
      </c>
      <c r="E45" s="246" t="s">
        <v>242</v>
      </c>
      <c r="G45" s="73"/>
      <c r="H45" s="344"/>
      <c r="I45" s="344"/>
    </row>
    <row r="46" spans="2:17">
      <c r="B46" s="13" t="s">
        <v>18</v>
      </c>
      <c r="C46" s="30" t="s">
        <v>109</v>
      </c>
      <c r="D46" s="103"/>
      <c r="E46" s="28"/>
      <c r="G46" s="73"/>
      <c r="H46" s="344"/>
      <c r="I46" s="344"/>
    </row>
    <row r="47" spans="2:17">
      <c r="B47" s="193" t="s">
        <v>4</v>
      </c>
      <c r="C47" s="194" t="s">
        <v>40</v>
      </c>
      <c r="D47" s="310">
        <v>0</v>
      </c>
      <c r="E47" s="343">
        <v>54897.322699999997</v>
      </c>
      <c r="G47" s="73"/>
    </row>
    <row r="48" spans="2:17">
      <c r="B48" s="195" t="s">
        <v>6</v>
      </c>
      <c r="C48" s="196" t="s">
        <v>41</v>
      </c>
      <c r="D48" s="310">
        <v>27793.0576</v>
      </c>
      <c r="E48" s="327">
        <v>92276.778600000005</v>
      </c>
      <c r="G48" s="20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0</v>
      </c>
      <c r="E50" s="345">
        <v>9.3927999999999994</v>
      </c>
      <c r="G50" s="181"/>
    </row>
    <row r="51" spans="2:7">
      <c r="B51" s="193" t="s">
        <v>6</v>
      </c>
      <c r="C51" s="194" t="s">
        <v>111</v>
      </c>
      <c r="D51" s="310">
        <v>9.8091000000000008</v>
      </c>
      <c r="E51" s="281">
        <v>9.3927999999999994</v>
      </c>
      <c r="G51" s="181"/>
    </row>
    <row r="52" spans="2:7">
      <c r="B52" s="193" t="s">
        <v>8</v>
      </c>
      <c r="C52" s="194" t="s">
        <v>112</v>
      </c>
      <c r="D52" s="310">
        <v>10.0007</v>
      </c>
      <c r="E52" s="281">
        <v>9.9806000000000008</v>
      </c>
    </row>
    <row r="53" spans="2:7" ht="13.5" thickBot="1">
      <c r="B53" s="197" t="s">
        <v>9</v>
      </c>
      <c r="C53" s="198" t="s">
        <v>41</v>
      </c>
      <c r="D53" s="308">
        <v>9.1620000000000008</v>
      </c>
      <c r="E53" s="267">
        <v>9.9806000000000008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907828.72</v>
      </c>
      <c r="E58" s="31">
        <f>D58/E21</f>
        <v>0.98572425867096647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f>D62/E21</f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E12-46130.53</f>
        <v>861698.19</v>
      </c>
      <c r="E64" s="82">
        <f>D64/E21</f>
        <v>0.93563553435042635</v>
      </c>
    </row>
    <row r="65" spans="2:8">
      <c r="B65" s="21" t="s">
        <v>33</v>
      </c>
      <c r="C65" s="22" t="s">
        <v>115</v>
      </c>
      <c r="D65" s="81">
        <v>0</v>
      </c>
      <c r="E65" s="82">
        <v>0</v>
      </c>
    </row>
    <row r="66" spans="2:8">
      <c r="B66" s="21" t="s">
        <v>50</v>
      </c>
      <c r="C66" s="22" t="s">
        <v>51</v>
      </c>
      <c r="D66" s="81">
        <v>0</v>
      </c>
      <c r="E66" s="82">
        <v>0</v>
      </c>
    </row>
    <row r="67" spans="2:8">
      <c r="B67" s="14" t="s">
        <v>52</v>
      </c>
      <c r="C67" s="15" t="s">
        <v>53</v>
      </c>
      <c r="D67" s="79">
        <v>0</v>
      </c>
      <c r="E67" s="80">
        <v>0</v>
      </c>
      <c r="G67" s="73"/>
    </row>
    <row r="68" spans="2:8">
      <c r="B68" s="14" t="s">
        <v>54</v>
      </c>
      <c r="C68" s="15" t="s">
        <v>55</v>
      </c>
      <c r="D68" s="79">
        <v>0</v>
      </c>
      <c r="E68" s="80">
        <v>0</v>
      </c>
      <c r="G68" s="73"/>
    </row>
    <row r="69" spans="2:8">
      <c r="B69" s="14" t="s">
        <v>56</v>
      </c>
      <c r="C69" s="15" t="s">
        <v>57</v>
      </c>
      <c r="D69" s="309">
        <v>46130.53</v>
      </c>
      <c r="E69" s="80">
        <f>D69/E21</f>
        <v>5.0088724320540089E-2</v>
      </c>
    </row>
    <row r="70" spans="2:8">
      <c r="B70" s="114" t="s">
        <v>58</v>
      </c>
      <c r="C70" s="115" t="s">
        <v>59</v>
      </c>
      <c r="D70" s="116">
        <v>0</v>
      </c>
      <c r="E70" s="117">
        <v>0</v>
      </c>
    </row>
    <row r="71" spans="2:8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8">
      <c r="B72" s="118" t="s">
        <v>60</v>
      </c>
      <c r="C72" s="119" t="s">
        <v>63</v>
      </c>
      <c r="D72" s="120">
        <f>E14</f>
        <v>14021.44</v>
      </c>
      <c r="E72" s="121">
        <f>D72/E21</f>
        <v>1.5224538775882127E-2</v>
      </c>
    </row>
    <row r="73" spans="2:8">
      <c r="B73" s="23" t="s">
        <v>62</v>
      </c>
      <c r="C73" s="24" t="s">
        <v>65</v>
      </c>
      <c r="D73" s="25">
        <f>E17</f>
        <v>873.82</v>
      </c>
      <c r="E73" s="26">
        <f>D73/E21</f>
        <v>9.4879744684863462E-4</v>
      </c>
    </row>
    <row r="74" spans="2:8">
      <c r="B74" s="122" t="s">
        <v>64</v>
      </c>
      <c r="C74" s="123" t="s">
        <v>66</v>
      </c>
      <c r="D74" s="124">
        <f>D58+D71+D72-D73</f>
        <v>920976.34</v>
      </c>
      <c r="E74" s="67">
        <f>E58+E71+E72-E73</f>
        <v>0.99999999999999989</v>
      </c>
    </row>
    <row r="75" spans="2:8">
      <c r="B75" s="14" t="s">
        <v>4</v>
      </c>
      <c r="C75" s="15" t="s">
        <v>67</v>
      </c>
      <c r="D75" s="79">
        <f>D74-D77</f>
        <v>920976.34</v>
      </c>
      <c r="E75" s="80">
        <f>D75/E21</f>
        <v>1</v>
      </c>
      <c r="G75" s="73"/>
      <c r="H75" s="181"/>
    </row>
    <row r="76" spans="2:8">
      <c r="B76" s="14" t="s">
        <v>6</v>
      </c>
      <c r="C76" s="15" t="s">
        <v>116</v>
      </c>
      <c r="D76" s="79">
        <v>0</v>
      </c>
      <c r="E76" s="80">
        <f>D76/E21</f>
        <v>0</v>
      </c>
      <c r="G76" s="73"/>
      <c r="H76" s="181"/>
    </row>
    <row r="77" spans="2:8" ht="13.5" thickBot="1">
      <c r="B77" s="16" t="s">
        <v>8</v>
      </c>
      <c r="C77" s="17" t="s">
        <v>117</v>
      </c>
      <c r="D77" s="83">
        <v>0</v>
      </c>
      <c r="E77" s="84">
        <f>D77/E21</f>
        <v>0</v>
      </c>
    </row>
    <row r="78" spans="2:8">
      <c r="B78" s="2"/>
      <c r="C78" s="2"/>
      <c r="D78" s="3"/>
      <c r="E78" s="3"/>
    </row>
    <row r="79" spans="2:8">
      <c r="B79" s="2"/>
      <c r="C79" s="2"/>
      <c r="D79" s="3"/>
      <c r="E79" s="3"/>
    </row>
    <row r="80" spans="2:8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Arkusz169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240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25113.83</v>
      </c>
      <c r="E11" s="377">
        <v>26784.7</v>
      </c>
    </row>
    <row r="12" spans="2:12">
      <c r="B12" s="182" t="s">
        <v>4</v>
      </c>
      <c r="C12" s="183" t="s">
        <v>5</v>
      </c>
      <c r="D12" s="378">
        <v>25113.83</v>
      </c>
      <c r="E12" s="379">
        <v>26784.7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25113.83</v>
      </c>
      <c r="E21" s="389">
        <v>26784.7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178005.47</v>
      </c>
      <c r="E26" s="234">
        <f>D21</f>
        <v>25113.83</v>
      </c>
      <c r="G26" s="75"/>
      <c r="H26" s="258"/>
    </row>
    <row r="27" spans="2:11">
      <c r="B27" s="9" t="s">
        <v>17</v>
      </c>
      <c r="C27" s="10" t="s">
        <v>108</v>
      </c>
      <c r="D27" s="392">
        <v>-146.09000000000003</v>
      </c>
      <c r="E27" s="365">
        <v>671.05000000000007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826.30000000000007</v>
      </c>
      <c r="E28" s="366">
        <v>903.57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826.30000000000007</v>
      </c>
      <c r="E29" s="367">
        <v>903.57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972.3900000000001</v>
      </c>
      <c r="E32" s="366">
        <v>232.51999999999998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11.44</v>
      </c>
      <c r="E35" s="367">
        <v>14.540000000000001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960.95</v>
      </c>
      <c r="E37" s="367">
        <v>217.97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-70487.759999999995</v>
      </c>
      <c r="E40" s="396">
        <v>999.82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107371.62000000001</v>
      </c>
      <c r="E41" s="150">
        <f>E26+E27+E40</f>
        <v>26784.7</v>
      </c>
      <c r="F41" s="78"/>
      <c r="G41" s="75"/>
      <c r="H41" s="258"/>
    </row>
    <row r="42" spans="2:10">
      <c r="B42" s="95"/>
      <c r="C42" s="95"/>
      <c r="D42" s="96"/>
      <c r="E42" s="96"/>
      <c r="F42" s="78"/>
      <c r="G42" s="68"/>
      <c r="H42" s="25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1000.5366</v>
      </c>
      <c r="E47" s="283">
        <v>213.8621</v>
      </c>
      <c r="G47" s="73"/>
    </row>
    <row r="48" spans="2:10">
      <c r="B48" s="195" t="s">
        <v>6</v>
      </c>
      <c r="C48" s="196" t="s">
        <v>41</v>
      </c>
      <c r="D48" s="310">
        <v>999.54960000000005</v>
      </c>
      <c r="E48" s="151">
        <v>219.42080000000001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177.91</v>
      </c>
      <c r="E50" s="76">
        <v>117.43</v>
      </c>
      <c r="G50" s="181"/>
    </row>
    <row r="51" spans="2:7">
      <c r="B51" s="193" t="s">
        <v>6</v>
      </c>
      <c r="C51" s="194" t="s">
        <v>111</v>
      </c>
      <c r="D51" s="310">
        <v>102.18</v>
      </c>
      <c r="E51" s="76">
        <v>117.43</v>
      </c>
      <c r="G51" s="181"/>
    </row>
    <row r="52" spans="2:7">
      <c r="B52" s="193" t="s">
        <v>8</v>
      </c>
      <c r="C52" s="194" t="s">
        <v>112</v>
      </c>
      <c r="D52" s="310">
        <v>178.23</v>
      </c>
      <c r="E52" s="76">
        <v>122.07</v>
      </c>
    </row>
    <row r="53" spans="2:7" ht="13.5" customHeight="1" thickBot="1">
      <c r="B53" s="197" t="s">
        <v>9</v>
      </c>
      <c r="C53" s="198" t="s">
        <v>41</v>
      </c>
      <c r="D53" s="308">
        <v>107.42</v>
      </c>
      <c r="E53" s="267">
        <v>122.07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26784.7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26784.7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26784.7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26784.7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 codeName="Arkusz170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218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29989.81</v>
      </c>
      <c r="E11" s="377">
        <v>35800.959999999999</v>
      </c>
    </row>
    <row r="12" spans="2:12">
      <c r="B12" s="182" t="s">
        <v>4</v>
      </c>
      <c r="C12" s="183" t="s">
        <v>5</v>
      </c>
      <c r="D12" s="378">
        <v>29989.81</v>
      </c>
      <c r="E12" s="379">
        <v>35800.959999999999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29989.81</v>
      </c>
      <c r="E21" s="389">
        <v>35800.959999999999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243"/>
      <c r="H23" s="237"/>
    </row>
    <row r="24" spans="2:11" ht="15.75" customHeight="1" thickBot="1">
      <c r="B24" s="459" t="s">
        <v>102</v>
      </c>
      <c r="C24" s="471"/>
      <c r="D24" s="471"/>
      <c r="E24" s="471"/>
      <c r="G24" s="237"/>
      <c r="H24" s="237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G25" s="237"/>
      <c r="H25" s="237"/>
    </row>
    <row r="26" spans="2:11">
      <c r="B26" s="97" t="s">
        <v>15</v>
      </c>
      <c r="C26" s="98" t="s">
        <v>16</v>
      </c>
      <c r="D26" s="302">
        <v>31086.21</v>
      </c>
      <c r="E26" s="234">
        <f>D21</f>
        <v>29989.81</v>
      </c>
      <c r="G26" s="244"/>
      <c r="H26" s="237"/>
    </row>
    <row r="27" spans="2:11">
      <c r="B27" s="9" t="s">
        <v>17</v>
      </c>
      <c r="C27" s="10" t="s">
        <v>108</v>
      </c>
      <c r="D27" s="392">
        <v>1778.69</v>
      </c>
      <c r="E27" s="365">
        <v>1840.4600000000003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2023.55</v>
      </c>
      <c r="E28" s="366">
        <v>2070.0500000000002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2023.55</v>
      </c>
      <c r="E29" s="367">
        <v>2070.0500000000002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244.86</v>
      </c>
      <c r="E32" s="366">
        <v>229.59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27.88</v>
      </c>
      <c r="E35" s="367">
        <v>26.41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216.15</v>
      </c>
      <c r="E37" s="367">
        <v>203.17000000000002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0.83</v>
      </c>
      <c r="E39" s="368">
        <v>0.01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-5943.77</v>
      </c>
      <c r="E40" s="396">
        <v>3970.69</v>
      </c>
      <c r="G40" s="244"/>
      <c r="H40" s="237"/>
    </row>
    <row r="41" spans="2:10" ht="13.5" thickBot="1">
      <c r="B41" s="101" t="s">
        <v>37</v>
      </c>
      <c r="C41" s="102" t="s">
        <v>38</v>
      </c>
      <c r="D41" s="306">
        <v>26921.13</v>
      </c>
      <c r="E41" s="150">
        <f>E26+E27+E40</f>
        <v>35800.959999999999</v>
      </c>
      <c r="F41" s="78"/>
      <c r="G41" s="244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156.15719999999999</v>
      </c>
      <c r="E47" s="283">
        <v>178.0762</v>
      </c>
      <c r="G47" s="73"/>
    </row>
    <row r="48" spans="2:10">
      <c r="B48" s="195" t="s">
        <v>6</v>
      </c>
      <c r="C48" s="196" t="s">
        <v>41</v>
      </c>
      <c r="D48" s="310">
        <v>166.05680000000001</v>
      </c>
      <c r="E48" s="151">
        <v>188.30719999999999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199.07</v>
      </c>
      <c r="E50" s="76">
        <v>168.41</v>
      </c>
      <c r="G50" s="181"/>
    </row>
    <row r="51" spans="2:7">
      <c r="B51" s="193" t="s">
        <v>6</v>
      </c>
      <c r="C51" s="194" t="s">
        <v>111</v>
      </c>
      <c r="D51" s="310">
        <v>156.76</v>
      </c>
      <c r="E51" s="76">
        <v>168.41</v>
      </c>
      <c r="G51" s="181"/>
    </row>
    <row r="52" spans="2:7">
      <c r="B52" s="193" t="s">
        <v>8</v>
      </c>
      <c r="C52" s="194" t="s">
        <v>112</v>
      </c>
      <c r="D52" s="310">
        <v>202.11</v>
      </c>
      <c r="E52" s="76">
        <v>190.12</v>
      </c>
    </row>
    <row r="53" spans="2:7" ht="13.5" customHeight="1" thickBot="1">
      <c r="B53" s="197" t="s">
        <v>9</v>
      </c>
      <c r="C53" s="198" t="s">
        <v>41</v>
      </c>
      <c r="D53" s="308">
        <v>162.12</v>
      </c>
      <c r="E53" s="267">
        <v>190.12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35800.959999999999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35800.959999999999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35800.959999999999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35800.959999999999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6999999999999995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Arkusz172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  <c r="H5" s="162"/>
      <c r="I5" s="162"/>
      <c r="J5" s="162"/>
    </row>
    <row r="6" spans="2:12" ht="14.25">
      <c r="B6" s="458" t="s">
        <v>211</v>
      </c>
      <c r="C6" s="458"/>
      <c r="D6" s="458"/>
      <c r="E6" s="458"/>
    </row>
    <row r="7" spans="2:12" ht="14.25">
      <c r="B7" s="147"/>
      <c r="C7" s="14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158145.07999999999</v>
      </c>
      <c r="E11" s="377">
        <v>150351.67999999999</v>
      </c>
    </row>
    <row r="12" spans="2:12">
      <c r="B12" s="182" t="s">
        <v>4</v>
      </c>
      <c r="C12" s="183" t="s">
        <v>5</v>
      </c>
      <c r="D12" s="378">
        <v>158145.07999999999</v>
      </c>
      <c r="E12" s="379">
        <v>150351.67999999999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158145.07999999999</v>
      </c>
      <c r="E21" s="389">
        <v>150351.67999999999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234349.1</v>
      </c>
      <c r="E26" s="234">
        <f>D21</f>
        <v>158145.07999999999</v>
      </c>
      <c r="G26" s="75"/>
      <c r="H26" s="237"/>
    </row>
    <row r="27" spans="2:11">
      <c r="B27" s="9" t="s">
        <v>17</v>
      </c>
      <c r="C27" s="10" t="s">
        <v>108</v>
      </c>
      <c r="D27" s="392">
        <v>-25311.519999999997</v>
      </c>
      <c r="E27" s="365">
        <v>-22604.23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25311.519999999997</v>
      </c>
      <c r="E32" s="366">
        <v>22604.23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22991.87</v>
      </c>
      <c r="E33" s="367">
        <v>7300.07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13329.08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929.94</v>
      </c>
      <c r="E35" s="367">
        <v>857.44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1389.71</v>
      </c>
      <c r="E37" s="367">
        <v>1117.6300000000001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-38290.74</v>
      </c>
      <c r="E40" s="396">
        <v>14810.83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170746.84000000003</v>
      </c>
      <c r="E41" s="150">
        <f>E26+E27+E40</f>
        <v>150351.67999999996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1555.6896999999999</v>
      </c>
      <c r="E47" s="283">
        <v>1241.7170000000001</v>
      </c>
      <c r="G47" s="73"/>
    </row>
    <row r="48" spans="2:10">
      <c r="B48" s="195" t="s">
        <v>6</v>
      </c>
      <c r="C48" s="196" t="s">
        <v>41</v>
      </c>
      <c r="D48" s="310">
        <v>1379.9955</v>
      </c>
      <c r="E48" s="151">
        <v>1074.5545999999999</v>
      </c>
      <c r="G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150.63999999999999</v>
      </c>
      <c r="E50" s="76">
        <v>127.36</v>
      </c>
      <c r="G50" s="181"/>
    </row>
    <row r="51" spans="2:7">
      <c r="B51" s="193" t="s">
        <v>6</v>
      </c>
      <c r="C51" s="194" t="s">
        <v>111</v>
      </c>
      <c r="D51" s="310">
        <v>117.12</v>
      </c>
      <c r="E51" s="76">
        <v>127.36</v>
      </c>
      <c r="G51" s="181"/>
    </row>
    <row r="52" spans="2:7">
      <c r="B52" s="193" t="s">
        <v>8</v>
      </c>
      <c r="C52" s="194" t="s">
        <v>112</v>
      </c>
      <c r="D52" s="310">
        <v>150.83000000000001</v>
      </c>
      <c r="E52" s="76">
        <v>139.91999999999999</v>
      </c>
    </row>
    <row r="53" spans="2:7" ht="13.5" customHeight="1" thickBot="1">
      <c r="B53" s="197" t="s">
        <v>9</v>
      </c>
      <c r="C53" s="198" t="s">
        <v>41</v>
      </c>
      <c r="D53" s="308">
        <v>123.73</v>
      </c>
      <c r="E53" s="267">
        <v>139.91999999999999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150351.67999999999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150351.67999999999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150351.67999999999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150351.67999999999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222</v>
      </c>
      <c r="C6" s="458"/>
      <c r="D6" s="458"/>
      <c r="E6" s="458"/>
    </row>
    <row r="7" spans="2:12" ht="14.25">
      <c r="B7" s="229"/>
      <c r="C7" s="229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222732.31</v>
      </c>
      <c r="E11" s="377">
        <v>232382.8</v>
      </c>
    </row>
    <row r="12" spans="2:12">
      <c r="B12" s="182" t="s">
        <v>4</v>
      </c>
      <c r="C12" s="183" t="s">
        <v>5</v>
      </c>
      <c r="D12" s="378">
        <v>222732.31</v>
      </c>
      <c r="E12" s="379">
        <v>232382.8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222732.31</v>
      </c>
      <c r="E21" s="389">
        <v>232382.8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227778.77</v>
      </c>
      <c r="E26" s="234">
        <f>D21</f>
        <v>222732.31</v>
      </c>
      <c r="G26" s="75"/>
    </row>
    <row r="27" spans="2:11">
      <c r="B27" s="9" t="s">
        <v>17</v>
      </c>
      <c r="C27" s="10" t="s">
        <v>108</v>
      </c>
      <c r="D27" s="392">
        <v>-2264.1600000000003</v>
      </c>
      <c r="E27" s="365">
        <v>-2238.7000000000003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2264.1600000000003</v>
      </c>
      <c r="E32" s="366">
        <v>2238.7000000000003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335.07</v>
      </c>
      <c r="E35" s="367">
        <v>351.94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1929.0900000000001</v>
      </c>
      <c r="E37" s="367">
        <v>1886.75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-4748.13</v>
      </c>
      <c r="E40" s="396">
        <v>11889.189999999999</v>
      </c>
      <c r="G40" s="75"/>
    </row>
    <row r="41" spans="2:10" ht="13.5" thickBot="1">
      <c r="B41" s="101" t="s">
        <v>37</v>
      </c>
      <c r="C41" s="102" t="s">
        <v>38</v>
      </c>
      <c r="D41" s="306">
        <v>220766.47999999998</v>
      </c>
      <c r="E41" s="150">
        <f>E26+E27+E40</f>
        <v>232382.8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1853.3667</v>
      </c>
      <c r="E47" s="283">
        <v>1818.8168000000001</v>
      </c>
      <c r="G47" s="73"/>
    </row>
    <row r="48" spans="2:10">
      <c r="B48" s="195" t="s">
        <v>6</v>
      </c>
      <c r="C48" s="196" t="s">
        <v>41</v>
      </c>
      <c r="D48" s="310">
        <v>1835.5906</v>
      </c>
      <c r="E48" s="151">
        <v>1801.6964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122.9</v>
      </c>
      <c r="E50" s="76">
        <v>122.46</v>
      </c>
      <c r="G50" s="181"/>
    </row>
    <row r="51" spans="2:7">
      <c r="B51" s="193" t="s">
        <v>6</v>
      </c>
      <c r="C51" s="194" t="s">
        <v>111</v>
      </c>
      <c r="D51" s="310">
        <v>119.96000000000001</v>
      </c>
      <c r="E51" s="76">
        <v>121.46</v>
      </c>
      <c r="G51" s="181"/>
    </row>
    <row r="52" spans="2:7">
      <c r="B52" s="193" t="s">
        <v>8</v>
      </c>
      <c r="C52" s="194" t="s">
        <v>112</v>
      </c>
      <c r="D52" s="310">
        <v>140.20000000000002</v>
      </c>
      <c r="E52" s="76">
        <v>138.87</v>
      </c>
    </row>
    <row r="53" spans="2:7" ht="12.75" customHeight="1" thickBot="1">
      <c r="B53" s="197" t="s">
        <v>9</v>
      </c>
      <c r="C53" s="198" t="s">
        <v>41</v>
      </c>
      <c r="D53" s="308">
        <v>120.27</v>
      </c>
      <c r="E53" s="267">
        <v>128.97999999999999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232382.8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232382.8</v>
      </c>
      <c r="E64" s="82">
        <f>E58</f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232382.8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232382.8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56999999999999995" right="0.75" top="0.61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Arkusz173"/>
  <dimension ref="A1:P49"/>
  <sheetViews>
    <sheetView zoomScale="80" zoomScaleNormal="80" workbookViewId="0">
      <selection activeCell="H3" sqref="H3"/>
    </sheetView>
  </sheetViews>
  <sheetFormatPr defaultRowHeight="12.75"/>
  <cols>
    <col min="3" max="3" width="13.85546875" customWidth="1"/>
    <col min="4" max="4" width="19" customWidth="1"/>
    <col min="5" max="5" width="18.5703125" customWidth="1"/>
    <col min="6" max="6" width="11.28515625" bestFit="1" customWidth="1"/>
    <col min="7" max="8" width="18.7109375" bestFit="1" customWidth="1"/>
    <col min="9" max="9" width="20" customWidth="1"/>
    <col min="10" max="10" width="16.7109375" customWidth="1"/>
    <col min="11" max="11" width="18.85546875" customWidth="1"/>
    <col min="12" max="12" width="16" customWidth="1"/>
    <col min="13" max="13" width="14" customWidth="1"/>
    <col min="16" max="16" width="16.42578125" bestFit="1" customWidth="1"/>
  </cols>
  <sheetData>
    <row r="1" spans="1:13">
      <c r="A1" s="32"/>
      <c r="B1" s="33"/>
      <c r="C1" s="33" t="s">
        <v>89</v>
      </c>
      <c r="D1" s="34"/>
      <c r="E1" s="34"/>
      <c r="F1" s="34"/>
      <c r="G1" s="34"/>
      <c r="H1" s="213"/>
      <c r="I1" s="33"/>
      <c r="J1" s="32"/>
    </row>
    <row r="2" spans="1:13">
      <c r="A2" s="32"/>
      <c r="B2" s="33"/>
      <c r="C2" s="33" t="s">
        <v>90</v>
      </c>
      <c r="D2" s="34"/>
      <c r="E2" s="34"/>
      <c r="F2" s="34"/>
      <c r="G2" s="34"/>
      <c r="H2" s="213"/>
      <c r="I2" s="33"/>
      <c r="J2" s="32"/>
    </row>
    <row r="3" spans="1:13">
      <c r="A3" s="32"/>
      <c r="B3" s="33"/>
      <c r="C3" s="33" t="s">
        <v>91</v>
      </c>
      <c r="D3" s="34"/>
      <c r="E3" s="34"/>
      <c r="F3" s="34"/>
      <c r="G3" s="34"/>
      <c r="H3" s="213"/>
      <c r="I3" s="33"/>
      <c r="J3" s="32"/>
    </row>
    <row r="4" spans="1:13">
      <c r="A4" s="32"/>
      <c r="B4" s="33"/>
      <c r="C4" s="33" t="s">
        <v>92</v>
      </c>
      <c r="D4" s="34"/>
      <c r="E4" s="34"/>
      <c r="F4" s="34"/>
      <c r="G4" s="34"/>
      <c r="H4" s="33"/>
      <c r="I4" s="33"/>
      <c r="J4" s="32"/>
    </row>
    <row r="5" spans="1:13">
      <c r="A5" s="32"/>
      <c r="B5" s="33"/>
      <c r="C5" s="33" t="s">
        <v>246</v>
      </c>
      <c r="D5" s="34"/>
      <c r="E5" s="34"/>
      <c r="F5" s="34"/>
      <c r="G5" s="212"/>
      <c r="H5" s="213"/>
      <c r="I5" s="223"/>
      <c r="J5" s="72"/>
      <c r="K5" s="225"/>
    </row>
    <row r="6" spans="1:13" ht="13.5" thickBot="1">
      <c r="A6" s="32"/>
      <c r="B6" s="33"/>
      <c r="C6" s="33"/>
      <c r="D6" s="34"/>
      <c r="E6" s="34"/>
      <c r="F6" s="34"/>
      <c r="G6" s="212"/>
      <c r="H6" s="213"/>
      <c r="I6" s="223"/>
      <c r="J6" s="72"/>
      <c r="K6" s="73"/>
    </row>
    <row r="7" spans="1:13">
      <c r="A7" s="32"/>
      <c r="B7" s="35"/>
      <c r="C7" s="36"/>
      <c r="D7" s="37"/>
      <c r="E7" s="38"/>
      <c r="F7" s="39"/>
      <c r="G7" s="39"/>
      <c r="H7" s="56"/>
      <c r="I7" s="40"/>
      <c r="J7" s="32"/>
    </row>
    <row r="8" spans="1:13">
      <c r="A8" s="32"/>
      <c r="B8" s="41"/>
      <c r="C8" s="42"/>
      <c r="D8" s="43"/>
      <c r="E8" s="44"/>
      <c r="F8" s="39"/>
      <c r="G8" s="39"/>
      <c r="H8" s="75"/>
      <c r="I8" s="56"/>
      <c r="J8" s="32"/>
    </row>
    <row r="9" spans="1:13">
      <c r="A9" s="32"/>
      <c r="B9" s="41"/>
      <c r="C9" s="42"/>
      <c r="D9" s="254">
        <v>44742</v>
      </c>
      <c r="E9" s="255">
        <v>45107</v>
      </c>
      <c r="F9" s="39"/>
      <c r="G9" s="212"/>
      <c r="H9" s="213"/>
      <c r="I9" s="213"/>
      <c r="J9" s="72"/>
    </row>
    <row r="10" spans="1:13" ht="13.5" thickBot="1">
      <c r="A10" s="32"/>
      <c r="B10" s="45"/>
      <c r="C10" s="46"/>
      <c r="D10" s="47"/>
      <c r="E10" s="48"/>
      <c r="F10" s="39"/>
      <c r="G10" s="212"/>
      <c r="H10" s="213"/>
      <c r="I10" s="213"/>
      <c r="J10" s="354"/>
    </row>
    <row r="11" spans="1:13">
      <c r="A11" s="32"/>
      <c r="B11" s="41"/>
      <c r="C11" s="42"/>
      <c r="D11" s="43"/>
      <c r="E11" s="44"/>
      <c r="F11" s="159"/>
      <c r="G11" s="39"/>
      <c r="H11" s="40"/>
      <c r="I11" s="40"/>
      <c r="J11" s="32"/>
    </row>
    <row r="12" spans="1:13">
      <c r="A12" s="32"/>
      <c r="B12" s="41"/>
      <c r="C12" s="42"/>
      <c r="D12" s="49"/>
      <c r="E12" s="50"/>
      <c r="F12" s="159"/>
      <c r="G12" s="221"/>
      <c r="H12" s="233"/>
      <c r="I12" s="75"/>
      <c r="J12" s="72"/>
      <c r="L12" s="73"/>
    </row>
    <row r="13" spans="1:13">
      <c r="A13" s="32"/>
      <c r="B13" s="51" t="s">
        <v>93</v>
      </c>
      <c r="C13" s="52"/>
      <c r="D13" s="320">
        <v>65548385.829999998</v>
      </c>
      <c r="E13" s="321">
        <v>58595038.820000008</v>
      </c>
      <c r="F13" s="159"/>
      <c r="G13" s="221"/>
      <c r="H13" s="75"/>
      <c r="I13" s="75"/>
      <c r="J13" s="32"/>
      <c r="K13" s="73"/>
      <c r="L13" s="73"/>
    </row>
    <row r="14" spans="1:13">
      <c r="A14" s="32"/>
      <c r="B14" s="51"/>
      <c r="C14" s="52"/>
      <c r="D14" s="54"/>
      <c r="E14" s="55"/>
      <c r="F14" s="159"/>
      <c r="G14" s="74"/>
      <c r="H14" s="160"/>
      <c r="I14" s="56"/>
      <c r="J14" s="32"/>
      <c r="L14" s="73"/>
      <c r="M14" s="73"/>
    </row>
    <row r="15" spans="1:13">
      <c r="A15" s="32"/>
      <c r="B15" s="51"/>
      <c r="C15" s="52"/>
      <c r="D15" s="54"/>
      <c r="E15" s="55"/>
      <c r="F15" s="39"/>
      <c r="G15" s="176"/>
      <c r="H15" s="75"/>
      <c r="I15" s="39"/>
      <c r="J15" s="346"/>
      <c r="K15" s="73"/>
      <c r="L15" s="73"/>
      <c r="M15" s="73"/>
    </row>
    <row r="16" spans="1:13" ht="13.5" thickBot="1">
      <c r="A16" s="32"/>
      <c r="B16" s="51"/>
      <c r="C16" s="52"/>
      <c r="D16" s="54"/>
      <c r="E16" s="55"/>
      <c r="F16" s="39"/>
      <c r="G16" s="176"/>
      <c r="H16" s="73"/>
      <c r="I16" s="32"/>
      <c r="J16" s="32"/>
      <c r="K16" s="231"/>
      <c r="L16" s="73"/>
      <c r="M16" s="73"/>
    </row>
    <row r="17" spans="1:16">
      <c r="A17" s="32"/>
      <c r="B17" s="57"/>
      <c r="C17" s="58"/>
      <c r="D17" s="59"/>
      <c r="E17" s="60"/>
      <c r="F17" s="32"/>
      <c r="G17" s="177"/>
      <c r="H17" s="75"/>
      <c r="I17" s="32"/>
      <c r="J17" s="32"/>
      <c r="K17" s="231"/>
      <c r="L17" s="73"/>
      <c r="M17" s="73"/>
    </row>
    <row r="18" spans="1:16">
      <c r="A18" s="32"/>
      <c r="B18" s="51" t="s">
        <v>94</v>
      </c>
      <c r="C18" s="52"/>
      <c r="D18" s="53">
        <f>SUM('Fundusz Gwarantowany:Generali Z'!D35)</f>
        <v>10759388.029999997</v>
      </c>
      <c r="E18" s="53">
        <f>SUM('Fundusz Gwarantowany:Generali Z'!E35)</f>
        <v>10653994.200000007</v>
      </c>
      <c r="F18" s="32"/>
      <c r="G18" s="177"/>
      <c r="H18" s="347"/>
      <c r="I18" s="72"/>
      <c r="J18" s="71"/>
      <c r="K18" s="231"/>
      <c r="L18" s="73"/>
    </row>
    <row r="19" spans="1:16">
      <c r="A19" s="32"/>
      <c r="B19" s="51"/>
      <c r="C19" s="52"/>
      <c r="D19" s="54"/>
      <c r="E19" s="55"/>
      <c r="F19" s="32"/>
      <c r="G19" s="177"/>
      <c r="H19" s="75"/>
      <c r="I19" s="72"/>
      <c r="J19" s="356"/>
      <c r="K19" s="232"/>
      <c r="L19" s="73"/>
      <c r="M19" s="73"/>
    </row>
    <row r="20" spans="1:16" ht="13.5" thickBot="1">
      <c r="A20" s="32"/>
      <c r="B20" s="61"/>
      <c r="C20" s="62"/>
      <c r="D20" s="63"/>
      <c r="E20" s="64"/>
      <c r="F20" s="32"/>
      <c r="G20" s="72"/>
      <c r="H20" s="32"/>
      <c r="I20" s="32"/>
      <c r="J20" s="355"/>
      <c r="K20" s="278"/>
      <c r="L20" s="155"/>
      <c r="M20" s="73"/>
      <c r="N20" s="73"/>
      <c r="O20" s="73"/>
      <c r="P20" s="243"/>
    </row>
    <row r="21" spans="1:16">
      <c r="A21" s="32"/>
      <c r="B21" s="51"/>
      <c r="C21" s="52"/>
      <c r="D21" s="54"/>
      <c r="E21" s="55"/>
      <c r="F21" s="32"/>
      <c r="G21" s="32"/>
      <c r="H21" s="249"/>
      <c r="I21" s="249"/>
      <c r="J21" s="355"/>
      <c r="K21" s="278"/>
      <c r="L21" s="155"/>
      <c r="M21" s="73"/>
      <c r="N21" s="73"/>
      <c r="O21" s="73"/>
      <c r="P21" s="243"/>
    </row>
    <row r="22" spans="1:16">
      <c r="A22" s="32"/>
      <c r="B22" s="51"/>
      <c r="C22" s="52"/>
      <c r="D22" s="54"/>
      <c r="E22" s="55"/>
      <c r="F22" s="32"/>
      <c r="G22" s="32"/>
      <c r="H22" s="250"/>
      <c r="I22" s="250"/>
      <c r="J22" s="355"/>
      <c r="K22" s="278"/>
      <c r="L22" s="155"/>
      <c r="M22" s="73"/>
      <c r="N22" s="73"/>
      <c r="O22" s="73"/>
      <c r="P22" s="243"/>
    </row>
    <row r="23" spans="1:16">
      <c r="A23" s="32"/>
      <c r="B23" s="51" t="s">
        <v>95</v>
      </c>
      <c r="C23" s="52"/>
      <c r="D23" s="54">
        <f>D13-D18</f>
        <v>54788997.799999997</v>
      </c>
      <c r="E23" s="55">
        <f>E13-E18</f>
        <v>47941044.620000005</v>
      </c>
      <c r="F23" s="32"/>
      <c r="G23" s="74"/>
      <c r="H23" s="249"/>
      <c r="I23" s="249"/>
      <c r="J23" s="355"/>
      <c r="K23" s="278"/>
      <c r="L23" s="155"/>
      <c r="M23" s="73"/>
      <c r="N23" s="73"/>
      <c r="O23" s="73"/>
      <c r="P23" s="243"/>
    </row>
    <row r="24" spans="1:16">
      <c r="A24" s="32"/>
      <c r="B24" s="41"/>
      <c r="C24" s="42"/>
      <c r="D24" s="49"/>
      <c r="E24" s="50"/>
      <c r="F24" s="32"/>
      <c r="G24" s="32"/>
      <c r="H24" s="249"/>
      <c r="I24" s="249"/>
      <c r="J24" s="355"/>
      <c r="K24" s="278"/>
      <c r="L24" s="155"/>
      <c r="M24" s="73"/>
      <c r="N24" s="73"/>
      <c r="O24" s="73"/>
      <c r="P24" s="243"/>
    </row>
    <row r="25" spans="1:16">
      <c r="A25" s="32"/>
      <c r="B25" s="41"/>
      <c r="C25" s="42"/>
      <c r="D25" s="49"/>
      <c r="E25" s="50"/>
      <c r="F25" s="32"/>
      <c r="G25" s="32"/>
      <c r="H25" s="250"/>
      <c r="I25" s="250"/>
      <c r="J25" s="355"/>
      <c r="K25" s="278"/>
      <c r="L25" s="155"/>
      <c r="M25" s="73"/>
      <c r="N25" s="73"/>
      <c r="O25" s="73"/>
      <c r="P25" s="73"/>
    </row>
    <row r="26" spans="1:16" ht="13.5" thickBot="1">
      <c r="A26" s="32"/>
      <c r="B26" s="45"/>
      <c r="C26" s="46"/>
      <c r="D26" s="65"/>
      <c r="E26" s="66"/>
      <c r="F26" s="32"/>
      <c r="G26" s="74"/>
      <c r="H26" s="250"/>
      <c r="I26" s="250"/>
      <c r="J26" s="355"/>
      <c r="K26" s="278"/>
      <c r="L26" s="155"/>
    </row>
    <row r="27" spans="1:16">
      <c r="G27" s="32"/>
      <c r="H27" s="319"/>
      <c r="I27" s="319"/>
      <c r="J27" s="243"/>
      <c r="K27" s="278"/>
      <c r="L27" s="73"/>
    </row>
    <row r="28" spans="1:16">
      <c r="D28" s="73"/>
      <c r="E28" s="68"/>
      <c r="G28" s="32"/>
    </row>
    <row r="29" spans="1:16">
      <c r="D29" s="73"/>
      <c r="H29" s="73"/>
      <c r="I29" s="73"/>
      <c r="L29" s="73"/>
    </row>
    <row r="30" spans="1:16">
      <c r="D30" s="73"/>
      <c r="E30" s="73"/>
      <c r="G30" s="73"/>
      <c r="H30" s="73"/>
      <c r="I30" s="73"/>
      <c r="J30" s="68"/>
      <c r="L30" s="73"/>
    </row>
    <row r="31" spans="1:16">
      <c r="D31" s="73"/>
      <c r="E31" s="73"/>
      <c r="G31" s="73"/>
      <c r="H31" s="73"/>
      <c r="I31" s="155"/>
      <c r="J31" s="181"/>
    </row>
    <row r="32" spans="1:16">
      <c r="D32" s="73"/>
      <c r="E32" s="73"/>
      <c r="G32" s="73"/>
      <c r="H32" s="73"/>
      <c r="I32" s="73"/>
    </row>
    <row r="33" spans="4:10">
      <c r="D33" s="73"/>
      <c r="E33" s="73"/>
      <c r="G33" s="73"/>
      <c r="H33" s="169"/>
      <c r="J33" s="73"/>
    </row>
    <row r="34" spans="4:10">
      <c r="D34" s="73"/>
      <c r="E34" s="73"/>
      <c r="G34" s="73"/>
      <c r="H34" s="73"/>
      <c r="I34" s="181"/>
    </row>
    <row r="35" spans="4:10">
      <c r="D35" s="73"/>
      <c r="E35" s="73"/>
      <c r="G35" s="73"/>
      <c r="H35" s="73"/>
    </row>
    <row r="36" spans="4:10">
      <c r="D36" s="73"/>
      <c r="G36" s="73"/>
      <c r="H36" s="73"/>
    </row>
    <row r="37" spans="4:10">
      <c r="D37" s="73"/>
      <c r="G37" s="73"/>
      <c r="H37" s="73"/>
    </row>
    <row r="38" spans="4:10">
      <c r="D38" s="73"/>
      <c r="E38" s="73"/>
      <c r="G38" s="73"/>
      <c r="H38" s="73"/>
      <c r="I38" s="181"/>
    </row>
    <row r="39" spans="4:10">
      <c r="D39" s="73"/>
      <c r="E39" s="73"/>
      <c r="G39" s="73"/>
    </row>
    <row r="40" spans="4:10">
      <c r="D40" s="73"/>
      <c r="E40" s="73"/>
      <c r="G40" s="73"/>
    </row>
    <row r="41" spans="4:10">
      <c r="D41" s="73"/>
      <c r="E41" s="73"/>
      <c r="G41" s="73"/>
    </row>
    <row r="42" spans="4:10">
      <c r="E42" s="73"/>
      <c r="G42" s="73"/>
    </row>
    <row r="43" spans="4:10">
      <c r="E43" s="73"/>
      <c r="G43" s="73"/>
    </row>
    <row r="44" spans="4:10">
      <c r="E44" s="73"/>
    </row>
    <row r="45" spans="4:10">
      <c r="D45" s="73"/>
      <c r="E45" s="73"/>
    </row>
    <row r="46" spans="4:10">
      <c r="E46" s="73"/>
    </row>
    <row r="48" spans="4:10">
      <c r="E48" s="73"/>
    </row>
    <row r="49" spans="5:5">
      <c r="E49" s="73"/>
    </row>
  </sheetData>
  <phoneticPr fontId="10" type="noConversion"/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81"/>
  <sheetViews>
    <sheetView zoomScale="80" zoomScaleNormal="80" workbookViewId="0">
      <selection activeCell="K1" sqref="K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0.85546875" customWidth="1"/>
    <col min="10" max="10" width="11" customWidth="1"/>
    <col min="11" max="11" width="10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235</v>
      </c>
      <c r="C6" s="458"/>
      <c r="D6" s="458"/>
      <c r="E6" s="458"/>
    </row>
    <row r="7" spans="2:12" ht="14.25">
      <c r="B7" s="322"/>
      <c r="C7" s="322"/>
      <c r="D7" s="322"/>
      <c r="E7" s="322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323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698441.05</v>
      </c>
      <c r="E11" s="377">
        <f>SUM(E12:E14)</f>
        <v>1031663.12</v>
      </c>
      <c r="H11" s="73"/>
    </row>
    <row r="12" spans="2:12">
      <c r="B12" s="182" t="s">
        <v>4</v>
      </c>
      <c r="C12" s="240" t="s">
        <v>5</v>
      </c>
      <c r="D12" s="378">
        <v>573946.91</v>
      </c>
      <c r="E12" s="379">
        <f>948015.4+70735.5</f>
        <v>1018750.9</v>
      </c>
      <c r="H12" s="73"/>
    </row>
    <row r="13" spans="2:12">
      <c r="B13" s="182" t="s">
        <v>6</v>
      </c>
      <c r="C13" s="240" t="s">
        <v>7</v>
      </c>
      <c r="D13" s="380">
        <v>115376.09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9118.0499999999993</v>
      </c>
      <c r="E14" s="381">
        <f>E15</f>
        <v>12912.22</v>
      </c>
      <c r="H14" s="73"/>
    </row>
    <row r="15" spans="2:12">
      <c r="B15" s="182" t="s">
        <v>103</v>
      </c>
      <c r="C15" s="240" t="s">
        <v>11</v>
      </c>
      <c r="D15" s="380">
        <v>9118.0499999999993</v>
      </c>
      <c r="E15" s="381">
        <v>12912.22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7">
      <c r="B17" s="9" t="s">
        <v>13</v>
      </c>
      <c r="C17" s="207" t="s">
        <v>65</v>
      </c>
      <c r="D17" s="384">
        <v>756.69</v>
      </c>
      <c r="E17" s="385">
        <f>E18</f>
        <v>986.62</v>
      </c>
      <c r="H17" s="73"/>
    </row>
    <row r="18" spans="2:17">
      <c r="B18" s="182" t="s">
        <v>4</v>
      </c>
      <c r="C18" s="240" t="s">
        <v>11</v>
      </c>
      <c r="D18" s="382">
        <v>756.69</v>
      </c>
      <c r="E18" s="383">
        <v>986.62</v>
      </c>
      <c r="H18" s="73"/>
    </row>
    <row r="19" spans="2:17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7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7" ht="13.5" thickBot="1">
      <c r="B21" s="468" t="s">
        <v>107</v>
      </c>
      <c r="C21" s="469"/>
      <c r="D21" s="388">
        <v>697684.3600000001</v>
      </c>
      <c r="E21" s="389">
        <f>E11-E17</f>
        <v>1030676.5</v>
      </c>
      <c r="F21" s="78"/>
      <c r="G21" s="78"/>
      <c r="H21" s="169"/>
      <c r="J21" s="227"/>
      <c r="K21" s="169"/>
    </row>
    <row r="22" spans="2:17">
      <c r="B22" s="4"/>
      <c r="C22" s="7"/>
      <c r="D22" s="8"/>
      <c r="E22" s="8"/>
      <c r="G22" s="73"/>
    </row>
    <row r="23" spans="2:17" ht="13.5">
      <c r="B23" s="460" t="s">
        <v>101</v>
      </c>
      <c r="C23" s="470"/>
      <c r="D23" s="470"/>
      <c r="E23" s="470"/>
      <c r="G23" s="73"/>
    </row>
    <row r="24" spans="2:17" ht="16.5" customHeight="1" thickBot="1">
      <c r="B24" s="459" t="s">
        <v>102</v>
      </c>
      <c r="C24" s="471"/>
      <c r="D24" s="471"/>
      <c r="E24" s="471"/>
    </row>
    <row r="25" spans="2:17" ht="13.5" thickBot="1">
      <c r="B25" s="323"/>
      <c r="C25" s="189" t="s">
        <v>2</v>
      </c>
      <c r="D25" s="274" t="s">
        <v>243</v>
      </c>
      <c r="E25" s="246" t="s">
        <v>242</v>
      </c>
    </row>
    <row r="26" spans="2:17">
      <c r="B26" s="97" t="s">
        <v>15</v>
      </c>
      <c r="C26" s="98" t="s">
        <v>16</v>
      </c>
      <c r="D26" s="390">
        <v>0</v>
      </c>
      <c r="E26" s="391">
        <f>D21</f>
        <v>697684.3600000001</v>
      </c>
      <c r="G26" s="75"/>
    </row>
    <row r="27" spans="2:17">
      <c r="B27" s="9" t="s">
        <v>17</v>
      </c>
      <c r="C27" s="10" t="s">
        <v>108</v>
      </c>
      <c r="D27" s="392">
        <v>422543.07</v>
      </c>
      <c r="E27" s="365">
        <v>302818.06000000006</v>
      </c>
      <c r="F27" s="73"/>
      <c r="G27" s="244"/>
      <c r="H27" s="243"/>
      <c r="I27" s="73"/>
      <c r="J27" s="75"/>
    </row>
    <row r="28" spans="2:17">
      <c r="B28" s="9" t="s">
        <v>18</v>
      </c>
      <c r="C28" s="10" t="s">
        <v>19</v>
      </c>
      <c r="D28" s="392">
        <v>438047.78</v>
      </c>
      <c r="E28" s="366">
        <v>379730.22000000003</v>
      </c>
      <c r="F28" s="73"/>
      <c r="G28" s="243"/>
      <c r="H28" s="243"/>
      <c r="I28" s="73"/>
      <c r="J28" s="75"/>
    </row>
    <row r="29" spans="2:17">
      <c r="B29" s="190" t="s">
        <v>4</v>
      </c>
      <c r="C29" s="183" t="s">
        <v>20</v>
      </c>
      <c r="D29" s="393">
        <v>438047.78</v>
      </c>
      <c r="E29" s="367">
        <v>379730.22000000003</v>
      </c>
      <c r="F29" s="73"/>
      <c r="G29" s="243"/>
      <c r="H29" s="243"/>
      <c r="I29" s="73"/>
      <c r="J29" s="75"/>
    </row>
    <row r="30" spans="2:17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  <c r="Q30" s="248"/>
    </row>
    <row r="31" spans="2:17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3"/>
      <c r="J31" s="75"/>
    </row>
    <row r="32" spans="2:17">
      <c r="B32" s="94" t="s">
        <v>23</v>
      </c>
      <c r="C32" s="11" t="s">
        <v>24</v>
      </c>
      <c r="D32" s="392">
        <v>15504.71</v>
      </c>
      <c r="E32" s="366">
        <v>76912.160000000003</v>
      </c>
      <c r="F32" s="73"/>
      <c r="G32" s="244"/>
      <c r="H32" s="243"/>
      <c r="I32" s="73"/>
      <c r="J32" s="75"/>
    </row>
    <row r="33" spans="2:17">
      <c r="B33" s="190" t="s">
        <v>4</v>
      </c>
      <c r="C33" s="183" t="s">
        <v>25</v>
      </c>
      <c r="D33" s="393">
        <v>15274.24</v>
      </c>
      <c r="E33" s="367">
        <v>75900.350000000006</v>
      </c>
      <c r="F33" s="73"/>
      <c r="G33" s="243"/>
      <c r="H33" s="243"/>
      <c r="I33" s="73"/>
      <c r="J33" s="75"/>
    </row>
    <row r="34" spans="2:17">
      <c r="B34" s="190" t="s">
        <v>6</v>
      </c>
      <c r="C34" s="183" t="s">
        <v>26</v>
      </c>
      <c r="D34" s="393">
        <v>0</v>
      </c>
      <c r="E34" s="367">
        <v>69.350000000000009</v>
      </c>
      <c r="F34" s="73"/>
      <c r="G34" s="243"/>
      <c r="H34" s="243"/>
      <c r="I34" s="73"/>
      <c r="J34" s="75"/>
      <c r="Q34" s="181"/>
    </row>
    <row r="35" spans="2:17">
      <c r="B35" s="190" t="s">
        <v>8</v>
      </c>
      <c r="C35" s="183" t="s">
        <v>27</v>
      </c>
      <c r="D35" s="393">
        <v>230.47</v>
      </c>
      <c r="E35" s="367">
        <v>942.4</v>
      </c>
      <c r="F35" s="73"/>
      <c r="G35" s="243"/>
      <c r="H35" s="243"/>
      <c r="I35" s="73"/>
      <c r="J35" s="75"/>
    </row>
    <row r="36" spans="2:17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7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7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7">
      <c r="B39" s="191" t="s">
        <v>33</v>
      </c>
      <c r="C39" s="192" t="s">
        <v>34</v>
      </c>
      <c r="D39" s="394">
        <v>0</v>
      </c>
      <c r="E39" s="368">
        <v>0.06</v>
      </c>
      <c r="F39" s="73"/>
      <c r="G39" s="243"/>
      <c r="H39" s="243"/>
      <c r="I39" s="73"/>
      <c r="J39" s="75"/>
    </row>
    <row r="40" spans="2:17" ht="13.5" thickBot="1">
      <c r="B40" s="99" t="s">
        <v>35</v>
      </c>
      <c r="C40" s="100" t="s">
        <v>36</v>
      </c>
      <c r="D40" s="395">
        <v>-71.42</v>
      </c>
      <c r="E40" s="396">
        <v>30174.079999999994</v>
      </c>
      <c r="G40" s="75"/>
      <c r="H40" s="73"/>
      <c r="I40" s="73"/>
      <c r="J40" s="73"/>
    </row>
    <row r="41" spans="2:17" ht="13.5" thickBot="1">
      <c r="B41" s="101" t="s">
        <v>37</v>
      </c>
      <c r="C41" s="102" t="s">
        <v>38</v>
      </c>
      <c r="D41" s="397">
        <v>422471.65</v>
      </c>
      <c r="E41" s="389">
        <f>E26+E27+E40</f>
        <v>1030676.5000000001</v>
      </c>
      <c r="F41" s="78"/>
      <c r="G41" s="75"/>
    </row>
    <row r="42" spans="2:17">
      <c r="B42" s="95"/>
      <c r="C42" s="95"/>
      <c r="D42" s="96"/>
      <c r="E42" s="96"/>
      <c r="F42" s="78"/>
      <c r="G42" s="68"/>
    </row>
    <row r="43" spans="2:17" ht="13.5">
      <c r="B43" s="461" t="s">
        <v>60</v>
      </c>
      <c r="C43" s="462"/>
      <c r="D43" s="462"/>
      <c r="E43" s="462"/>
      <c r="G43" s="73"/>
    </row>
    <row r="44" spans="2:17" ht="15.75" customHeight="1" thickBot="1">
      <c r="B44" s="459" t="s">
        <v>118</v>
      </c>
      <c r="C44" s="463"/>
      <c r="D44" s="463"/>
      <c r="E44" s="463"/>
      <c r="G44" s="73"/>
    </row>
    <row r="45" spans="2:17" ht="13.5" thickBot="1">
      <c r="B45" s="323"/>
      <c r="C45" s="29" t="s">
        <v>39</v>
      </c>
      <c r="D45" s="274" t="s">
        <v>243</v>
      </c>
      <c r="E45" s="246" t="s">
        <v>242</v>
      </c>
      <c r="G45" s="73"/>
      <c r="H45" s="344"/>
      <c r="I45" s="344"/>
    </row>
    <row r="46" spans="2:17">
      <c r="B46" s="13" t="s">
        <v>18</v>
      </c>
      <c r="C46" s="30" t="s">
        <v>109</v>
      </c>
      <c r="D46" s="103"/>
      <c r="E46" s="28"/>
      <c r="G46" s="73"/>
      <c r="H46" s="344"/>
      <c r="I46" s="344"/>
    </row>
    <row r="47" spans="2:17">
      <c r="B47" s="193" t="s">
        <v>4</v>
      </c>
      <c r="C47" s="194" t="s">
        <v>40</v>
      </c>
      <c r="D47" s="310">
        <v>0</v>
      </c>
      <c r="E47" s="343">
        <v>68479.989700000006</v>
      </c>
      <c r="G47" s="73"/>
    </row>
    <row r="48" spans="2:17">
      <c r="B48" s="195" t="s">
        <v>6</v>
      </c>
      <c r="C48" s="196" t="s">
        <v>41</v>
      </c>
      <c r="D48" s="310">
        <v>42695.861100000002</v>
      </c>
      <c r="E48" s="327">
        <v>97630.844800000006</v>
      </c>
      <c r="G48" s="20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0</v>
      </c>
      <c r="E50" s="345">
        <v>10.1881</v>
      </c>
      <c r="G50" s="181"/>
    </row>
    <row r="51" spans="2:7">
      <c r="B51" s="193" t="s">
        <v>6</v>
      </c>
      <c r="C51" s="194" t="s">
        <v>111</v>
      </c>
      <c r="D51" s="310">
        <v>8.8902000000000001</v>
      </c>
      <c r="E51" s="281">
        <v>10.1881</v>
      </c>
      <c r="G51" s="181"/>
    </row>
    <row r="52" spans="2:7">
      <c r="B52" s="193" t="s">
        <v>8</v>
      </c>
      <c r="C52" s="194" t="s">
        <v>112</v>
      </c>
      <c r="D52" s="310">
        <v>10.0159</v>
      </c>
      <c r="E52" s="281">
        <v>10.5578</v>
      </c>
    </row>
    <row r="53" spans="2:7" ht="13.5" thickBot="1">
      <c r="B53" s="197" t="s">
        <v>9</v>
      </c>
      <c r="C53" s="198" t="s">
        <v>41</v>
      </c>
      <c r="D53" s="308">
        <v>9.8948999999999998</v>
      </c>
      <c r="E53" s="267">
        <v>10.556900000000001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1018750.9</v>
      </c>
      <c r="E58" s="31">
        <f>D58/E21</f>
        <v>0.98842934713268427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f>D62/E21</f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E12-70735.5</f>
        <v>948015.4</v>
      </c>
      <c r="E64" s="82">
        <f>D64/E21</f>
        <v>0.91979918044119569</v>
      </c>
    </row>
    <row r="65" spans="2:8">
      <c r="B65" s="21" t="s">
        <v>33</v>
      </c>
      <c r="C65" s="22" t="s">
        <v>115</v>
      </c>
      <c r="D65" s="81">
        <v>0</v>
      </c>
      <c r="E65" s="82">
        <v>0</v>
      </c>
    </row>
    <row r="66" spans="2:8">
      <c r="B66" s="21" t="s">
        <v>50</v>
      </c>
      <c r="C66" s="22" t="s">
        <v>51</v>
      </c>
      <c r="D66" s="81">
        <v>0</v>
      </c>
      <c r="E66" s="82">
        <v>0</v>
      </c>
    </row>
    <row r="67" spans="2:8">
      <c r="B67" s="14" t="s">
        <v>52</v>
      </c>
      <c r="C67" s="15" t="s">
        <v>53</v>
      </c>
      <c r="D67" s="79">
        <v>0</v>
      </c>
      <c r="E67" s="80">
        <v>0</v>
      </c>
      <c r="G67" s="73"/>
    </row>
    <row r="68" spans="2:8">
      <c r="B68" s="14" t="s">
        <v>54</v>
      </c>
      <c r="C68" s="15" t="s">
        <v>55</v>
      </c>
      <c r="D68" s="79">
        <v>0</v>
      </c>
      <c r="E68" s="80">
        <v>0</v>
      </c>
      <c r="G68" s="73"/>
    </row>
    <row r="69" spans="2:8">
      <c r="B69" s="14" t="s">
        <v>56</v>
      </c>
      <c r="C69" s="15" t="s">
        <v>57</v>
      </c>
      <c r="D69" s="309">
        <v>70735.5</v>
      </c>
      <c r="E69" s="80">
        <f>D69/E21</f>
        <v>6.8630166691488553E-2</v>
      </c>
    </row>
    <row r="70" spans="2:8">
      <c r="B70" s="114" t="s">
        <v>58</v>
      </c>
      <c r="C70" s="115" t="s">
        <v>59</v>
      </c>
      <c r="D70" s="116">
        <v>0</v>
      </c>
      <c r="E70" s="117">
        <v>0</v>
      </c>
    </row>
    <row r="71" spans="2:8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8">
      <c r="B72" s="118" t="s">
        <v>60</v>
      </c>
      <c r="C72" s="119" t="s">
        <v>63</v>
      </c>
      <c r="D72" s="120">
        <f>E14</f>
        <v>12912.22</v>
      </c>
      <c r="E72" s="121">
        <f>D72/E21</f>
        <v>1.2527907641243397E-2</v>
      </c>
    </row>
    <row r="73" spans="2:8">
      <c r="B73" s="23" t="s">
        <v>62</v>
      </c>
      <c r="C73" s="24" t="s">
        <v>65</v>
      </c>
      <c r="D73" s="25">
        <f>E17</f>
        <v>986.62</v>
      </c>
      <c r="E73" s="26">
        <f>D73/E21</f>
        <v>9.5725477392760965E-4</v>
      </c>
    </row>
    <row r="74" spans="2:8">
      <c r="B74" s="122" t="s">
        <v>64</v>
      </c>
      <c r="C74" s="123" t="s">
        <v>66</v>
      </c>
      <c r="D74" s="124">
        <f>D58+D71+D72-D73</f>
        <v>1030676.5</v>
      </c>
      <c r="E74" s="67">
        <f>E58+E71+E72-E73</f>
        <v>1</v>
      </c>
    </row>
    <row r="75" spans="2:8">
      <c r="B75" s="14" t="s">
        <v>4</v>
      </c>
      <c r="C75" s="15" t="s">
        <v>67</v>
      </c>
      <c r="D75" s="79">
        <f>D74-D77</f>
        <v>1030676.5</v>
      </c>
      <c r="E75" s="80">
        <f>D75/E21</f>
        <v>1</v>
      </c>
      <c r="G75" s="73"/>
      <c r="H75" s="181"/>
    </row>
    <row r="76" spans="2:8">
      <c r="B76" s="14" t="s">
        <v>6</v>
      </c>
      <c r="C76" s="15" t="s">
        <v>116</v>
      </c>
      <c r="D76" s="79">
        <v>0</v>
      </c>
      <c r="E76" s="80">
        <f>D76/E21</f>
        <v>0</v>
      </c>
      <c r="G76" s="73"/>
      <c r="H76" s="181"/>
    </row>
    <row r="77" spans="2:8" ht="13.5" thickBot="1">
      <c r="B77" s="16" t="s">
        <v>8</v>
      </c>
      <c r="C77" s="17" t="s">
        <v>117</v>
      </c>
      <c r="D77" s="83">
        <v>0</v>
      </c>
      <c r="E77" s="84">
        <f>D77/E21</f>
        <v>0</v>
      </c>
    </row>
    <row r="78" spans="2:8">
      <c r="B78" s="2"/>
      <c r="C78" s="2"/>
      <c r="D78" s="3"/>
      <c r="E78" s="3"/>
    </row>
    <row r="79" spans="2:8">
      <c r="B79" s="2"/>
      <c r="C79" s="2"/>
      <c r="D79" s="3"/>
      <c r="E79" s="3"/>
    </row>
    <row r="80" spans="2:8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>
    <pageSetUpPr fitToPage="1"/>
  </sheetPr>
  <dimension ref="A1:Q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42578125" customWidth="1"/>
    <col min="9" max="9" width="13.28515625" customWidth="1"/>
    <col min="10" max="10" width="13.5703125" customWidth="1"/>
    <col min="11" max="11" width="15.710937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139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11675102.68</v>
      </c>
      <c r="E11" s="377">
        <f>SUM(E12:E14)</f>
        <v>12975315.710000003</v>
      </c>
    </row>
    <row r="12" spans="2:12">
      <c r="B12" s="182" t="s">
        <v>4</v>
      </c>
      <c r="C12" s="240" t="s">
        <v>5</v>
      </c>
      <c r="D12" s="378">
        <v>11203548.52</v>
      </c>
      <c r="E12" s="379">
        <f>12399596.63+568002.97-464.7</f>
        <v>12967134.900000002</v>
      </c>
      <c r="H12" s="73"/>
    </row>
    <row r="13" spans="2:12">
      <c r="B13" s="182" t="s">
        <v>6</v>
      </c>
      <c r="C13" s="240" t="s">
        <v>7</v>
      </c>
      <c r="D13" s="380">
        <v>465102.28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6451.88</v>
      </c>
      <c r="E14" s="381">
        <f>E15</f>
        <v>8180.81</v>
      </c>
      <c r="H14" s="73"/>
    </row>
    <row r="15" spans="2:12">
      <c r="B15" s="182" t="s">
        <v>103</v>
      </c>
      <c r="C15" s="240" t="s">
        <v>11</v>
      </c>
      <c r="D15" s="380">
        <v>6451.88</v>
      </c>
      <c r="E15" s="381">
        <v>8180.81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7">
      <c r="B17" s="9" t="s">
        <v>13</v>
      </c>
      <c r="C17" s="207" t="s">
        <v>65</v>
      </c>
      <c r="D17" s="384">
        <v>2629.17</v>
      </c>
      <c r="E17" s="385">
        <f>E18</f>
        <v>12338.05</v>
      </c>
      <c r="H17" s="73"/>
    </row>
    <row r="18" spans="2:17">
      <c r="B18" s="182" t="s">
        <v>4</v>
      </c>
      <c r="C18" s="240" t="s">
        <v>11</v>
      </c>
      <c r="D18" s="382">
        <v>2629.17</v>
      </c>
      <c r="E18" s="383">
        <v>12338.05</v>
      </c>
    </row>
    <row r="19" spans="2:17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7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7" ht="13.5" thickBot="1">
      <c r="B21" s="468" t="s">
        <v>107</v>
      </c>
      <c r="C21" s="469"/>
      <c r="D21" s="388">
        <v>11672473.51</v>
      </c>
      <c r="E21" s="389">
        <f>E11-E17</f>
        <v>12962977.660000002</v>
      </c>
      <c r="F21" s="78"/>
      <c r="G21" s="78"/>
      <c r="H21" s="169"/>
      <c r="J21" s="227"/>
      <c r="K21" s="169"/>
    </row>
    <row r="22" spans="2:17">
      <c r="B22" s="4"/>
      <c r="C22" s="7"/>
      <c r="D22" s="8"/>
      <c r="E22" s="268"/>
      <c r="G22" s="73"/>
    </row>
    <row r="23" spans="2:17" ht="13.5">
      <c r="B23" s="460" t="s">
        <v>101</v>
      </c>
      <c r="C23" s="470"/>
      <c r="D23" s="470"/>
      <c r="E23" s="470"/>
      <c r="G23" s="73"/>
    </row>
    <row r="24" spans="2:17" ht="15.75" customHeight="1" thickBot="1">
      <c r="B24" s="459" t="s">
        <v>102</v>
      </c>
      <c r="C24" s="471"/>
      <c r="D24" s="471"/>
      <c r="E24" s="471"/>
    </row>
    <row r="25" spans="2:17" ht="13.5" thickBot="1">
      <c r="B25" s="323"/>
      <c r="C25" s="189" t="s">
        <v>2</v>
      </c>
      <c r="D25" s="274" t="s">
        <v>243</v>
      </c>
      <c r="E25" s="246" t="s">
        <v>242</v>
      </c>
      <c r="G25" s="178"/>
      <c r="K25" s="181"/>
      <c r="Q25" s="181"/>
    </row>
    <row r="26" spans="2:17">
      <c r="B26" s="97" t="s">
        <v>15</v>
      </c>
      <c r="C26" s="98" t="s">
        <v>16</v>
      </c>
      <c r="D26" s="390">
        <v>14079890.759999998</v>
      </c>
      <c r="E26" s="391">
        <f>D21</f>
        <v>11672473.51</v>
      </c>
      <c r="G26" s="75"/>
    </row>
    <row r="27" spans="2:17">
      <c r="B27" s="9" t="s">
        <v>17</v>
      </c>
      <c r="C27" s="10" t="s">
        <v>108</v>
      </c>
      <c r="D27" s="392">
        <v>-347886.66000000009</v>
      </c>
      <c r="E27" s="365">
        <v>-403784.11000000004</v>
      </c>
      <c r="F27" s="73"/>
      <c r="G27" s="155"/>
      <c r="H27" s="276"/>
      <c r="I27" s="276"/>
      <c r="J27" s="216"/>
    </row>
    <row r="28" spans="2:17">
      <c r="B28" s="9" t="s">
        <v>18</v>
      </c>
      <c r="C28" s="10" t="s">
        <v>19</v>
      </c>
      <c r="D28" s="392">
        <v>500304.66</v>
      </c>
      <c r="E28" s="366">
        <v>373288.34</v>
      </c>
      <c r="F28" s="73"/>
      <c r="G28" s="155"/>
      <c r="H28" s="276"/>
      <c r="I28" s="276"/>
      <c r="J28" s="216"/>
    </row>
    <row r="29" spans="2:17">
      <c r="B29" s="190" t="s">
        <v>4</v>
      </c>
      <c r="C29" s="183" t="s">
        <v>20</v>
      </c>
      <c r="D29" s="393">
        <v>436165.31</v>
      </c>
      <c r="E29" s="367">
        <v>372214.56</v>
      </c>
      <c r="F29" s="73"/>
      <c r="G29" s="155"/>
      <c r="H29" s="276"/>
      <c r="I29" s="276"/>
      <c r="J29" s="216"/>
    </row>
    <row r="30" spans="2:17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76"/>
      <c r="I30" s="276"/>
      <c r="J30" s="216"/>
    </row>
    <row r="31" spans="2:17">
      <c r="B31" s="190" t="s">
        <v>8</v>
      </c>
      <c r="C31" s="183" t="s">
        <v>22</v>
      </c>
      <c r="D31" s="393">
        <v>64139.35</v>
      </c>
      <c r="E31" s="367">
        <v>1073.78</v>
      </c>
      <c r="F31" s="73"/>
      <c r="G31" s="155"/>
      <c r="H31" s="276"/>
      <c r="I31" s="276"/>
      <c r="J31" s="216"/>
    </row>
    <row r="32" spans="2:17">
      <c r="B32" s="94" t="s">
        <v>23</v>
      </c>
      <c r="C32" s="11" t="s">
        <v>24</v>
      </c>
      <c r="D32" s="392">
        <v>848191.32000000007</v>
      </c>
      <c r="E32" s="366">
        <v>777072.45000000007</v>
      </c>
      <c r="F32" s="73"/>
      <c r="G32" s="155"/>
      <c r="H32" s="276"/>
      <c r="I32" s="276"/>
      <c r="J32" s="216"/>
    </row>
    <row r="33" spans="2:10">
      <c r="B33" s="190" t="s">
        <v>4</v>
      </c>
      <c r="C33" s="183" t="s">
        <v>25</v>
      </c>
      <c r="D33" s="393">
        <v>642466.63</v>
      </c>
      <c r="E33" s="367">
        <v>566347.26</v>
      </c>
      <c r="F33" s="73"/>
      <c r="G33" s="155"/>
      <c r="H33" s="276"/>
      <c r="I33" s="276"/>
      <c r="J33" s="216"/>
    </row>
    <row r="34" spans="2:10">
      <c r="B34" s="190" t="s">
        <v>6</v>
      </c>
      <c r="C34" s="183" t="s">
        <v>26</v>
      </c>
      <c r="D34" s="393">
        <v>62184.66</v>
      </c>
      <c r="E34" s="367">
        <v>16172.800000000001</v>
      </c>
      <c r="F34" s="73"/>
      <c r="G34" s="155"/>
      <c r="H34" s="276"/>
      <c r="I34" s="276"/>
      <c r="J34" s="216"/>
    </row>
    <row r="35" spans="2:10">
      <c r="B35" s="190" t="s">
        <v>8</v>
      </c>
      <c r="C35" s="183" t="s">
        <v>27</v>
      </c>
      <c r="D35" s="393">
        <v>32709.75</v>
      </c>
      <c r="E35" s="367">
        <v>29927.63</v>
      </c>
      <c r="F35" s="73"/>
      <c r="G35" s="155"/>
      <c r="H35" s="276"/>
      <c r="I35" s="276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76"/>
      <c r="I36" s="276"/>
      <c r="J36" s="216"/>
    </row>
    <row r="37" spans="2:10" ht="25.5">
      <c r="B37" s="190" t="s">
        <v>29</v>
      </c>
      <c r="C37" s="183" t="s">
        <v>30</v>
      </c>
      <c r="D37" s="393">
        <v>90744.900000000009</v>
      </c>
      <c r="E37" s="367">
        <v>87939.78</v>
      </c>
      <c r="F37" s="73"/>
      <c r="G37" s="155"/>
      <c r="H37" s="276"/>
      <c r="I37" s="276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76"/>
      <c r="I38" s="276"/>
      <c r="J38" s="216"/>
    </row>
    <row r="39" spans="2:10">
      <c r="B39" s="191" t="s">
        <v>33</v>
      </c>
      <c r="C39" s="192" t="s">
        <v>34</v>
      </c>
      <c r="D39" s="394">
        <v>20085.38</v>
      </c>
      <c r="E39" s="368">
        <v>76684.98000000001</v>
      </c>
      <c r="F39" s="73"/>
      <c r="G39" s="155"/>
      <c r="H39" s="276"/>
      <c r="I39" s="276"/>
      <c r="J39" s="216"/>
    </row>
    <row r="40" spans="2:10" ht="13.5" thickBot="1">
      <c r="B40" s="99" t="s">
        <v>35</v>
      </c>
      <c r="C40" s="100" t="s">
        <v>36</v>
      </c>
      <c r="D40" s="395">
        <v>-2537454.41</v>
      </c>
      <c r="E40" s="396">
        <v>1694288.2600000002</v>
      </c>
      <c r="G40" s="75"/>
      <c r="H40" s="162"/>
      <c r="I40" s="162"/>
      <c r="J40" s="162"/>
    </row>
    <row r="41" spans="2:10" ht="13.5" thickBot="1">
      <c r="B41" s="101" t="s">
        <v>37</v>
      </c>
      <c r="C41" s="102" t="s">
        <v>38</v>
      </c>
      <c r="D41" s="397">
        <v>11194549.689999998</v>
      </c>
      <c r="E41" s="389">
        <f>E26+E27+E40</f>
        <v>12962977.66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417">
        <v>73288.355800000005</v>
      </c>
      <c r="E47" s="283">
        <v>69451.827000000005</v>
      </c>
      <c r="G47" s="73"/>
    </row>
    <row r="48" spans="2:10">
      <c r="B48" s="195" t="s">
        <v>6</v>
      </c>
      <c r="C48" s="196" t="s">
        <v>41</v>
      </c>
      <c r="D48" s="417">
        <v>71233.569199999998</v>
      </c>
      <c r="E48" s="327">
        <v>67206.401500000007</v>
      </c>
      <c r="G48" s="203"/>
      <c r="J48" s="161"/>
    </row>
    <row r="49" spans="2:7">
      <c r="B49" s="122" t="s">
        <v>23</v>
      </c>
      <c r="C49" s="126" t="s">
        <v>110</v>
      </c>
      <c r="D49" s="419"/>
      <c r="E49" s="127"/>
    </row>
    <row r="50" spans="2:7">
      <c r="B50" s="193" t="s">
        <v>4</v>
      </c>
      <c r="C50" s="194" t="s">
        <v>40</v>
      </c>
      <c r="D50" s="417">
        <v>192.1163</v>
      </c>
      <c r="E50" s="283">
        <v>168.0658</v>
      </c>
      <c r="G50" s="181"/>
    </row>
    <row r="51" spans="2:7">
      <c r="B51" s="193" t="s">
        <v>6</v>
      </c>
      <c r="C51" s="194" t="s">
        <v>111</v>
      </c>
      <c r="D51" s="417">
        <v>154.50830000000002</v>
      </c>
      <c r="E51" s="283">
        <v>168.0658</v>
      </c>
      <c r="G51" s="181"/>
    </row>
    <row r="52" spans="2:7" ht="12.75" customHeight="1">
      <c r="B52" s="193" t="s">
        <v>8</v>
      </c>
      <c r="C52" s="194" t="s">
        <v>112</v>
      </c>
      <c r="D52" s="417">
        <v>194.36100000000002</v>
      </c>
      <c r="E52" s="283">
        <v>192.88310000000001</v>
      </c>
    </row>
    <row r="53" spans="2:7" ht="13.5" thickBot="1">
      <c r="B53" s="197" t="s">
        <v>9</v>
      </c>
      <c r="C53" s="198" t="s">
        <v>41</v>
      </c>
      <c r="D53" s="308">
        <v>157.15270000000001</v>
      </c>
      <c r="E53" s="267">
        <v>192.88310000000001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7.2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12967134.900000002</v>
      </c>
      <c r="E58" s="31">
        <f>D58/E21</f>
        <v>1.000320701007827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E12-568002.97</f>
        <v>12399131.930000002</v>
      </c>
      <c r="E64" s="82">
        <f>D64/E21</f>
        <v>0.95650337871522639</v>
      </c>
    </row>
    <row r="65" spans="2:7">
      <c r="B65" s="285" t="s">
        <v>33</v>
      </c>
      <c r="C65" s="196" t="s">
        <v>115</v>
      </c>
      <c r="D65" s="81">
        <v>0</v>
      </c>
      <c r="E65" s="82">
        <v>0</v>
      </c>
    </row>
    <row r="66" spans="2:7">
      <c r="B66" s="285" t="s">
        <v>50</v>
      </c>
      <c r="C66" s="196" t="s">
        <v>51</v>
      </c>
      <c r="D66" s="81">
        <v>0</v>
      </c>
      <c r="E66" s="82">
        <v>0</v>
      </c>
      <c r="G66" s="73"/>
    </row>
    <row r="67" spans="2:7">
      <c r="B67" s="286" t="s">
        <v>52</v>
      </c>
      <c r="C67" s="194" t="s">
        <v>53</v>
      </c>
      <c r="D67" s="79">
        <v>0</v>
      </c>
      <c r="E67" s="80">
        <v>0</v>
      </c>
    </row>
    <row r="68" spans="2:7">
      <c r="B68" s="286" t="s">
        <v>54</v>
      </c>
      <c r="C68" s="194" t="s">
        <v>55</v>
      </c>
      <c r="D68" s="79">
        <v>0</v>
      </c>
      <c r="E68" s="80">
        <v>0</v>
      </c>
    </row>
    <row r="69" spans="2:7">
      <c r="B69" s="286" t="s">
        <v>56</v>
      </c>
      <c r="C69" s="194" t="s">
        <v>57</v>
      </c>
      <c r="D69" s="309">
        <v>568002.97</v>
      </c>
      <c r="E69" s="80">
        <f>D69/E21</f>
        <v>4.381732229260047E-2</v>
      </c>
    </row>
    <row r="70" spans="2:7">
      <c r="B70" s="287" t="s">
        <v>58</v>
      </c>
      <c r="C70" s="23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8180.81</v>
      </c>
      <c r="E72" s="121">
        <f>D72/E21</f>
        <v>6.3109034163065893E-4</v>
      </c>
    </row>
    <row r="73" spans="2:7">
      <c r="B73" s="23" t="s">
        <v>62</v>
      </c>
      <c r="C73" s="24" t="s">
        <v>65</v>
      </c>
      <c r="D73" s="25">
        <f>E17</f>
        <v>12338.05</v>
      </c>
      <c r="E73" s="26">
        <f>D73/E21</f>
        <v>9.5179134945759037E-4</v>
      </c>
    </row>
    <row r="74" spans="2:7">
      <c r="B74" s="122" t="s">
        <v>64</v>
      </c>
      <c r="C74" s="123" t="s">
        <v>66</v>
      </c>
      <c r="D74" s="124">
        <f>D58+D71+D72-D73</f>
        <v>12962977.660000002</v>
      </c>
      <c r="E74" s="67">
        <f>E58+E71+E72-E73</f>
        <v>1</v>
      </c>
    </row>
    <row r="75" spans="2:7">
      <c r="B75" s="286" t="s">
        <v>4</v>
      </c>
      <c r="C75" s="194" t="s">
        <v>67</v>
      </c>
      <c r="D75" s="79">
        <f>D74</f>
        <v>12962977.660000002</v>
      </c>
      <c r="E75" s="80">
        <f>E74</f>
        <v>1</v>
      </c>
    </row>
    <row r="76" spans="2:7">
      <c r="B76" s="286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570312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140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8652682.7200000007</v>
      </c>
      <c r="E11" s="377">
        <f>SUM(E12:E14)</f>
        <v>9741827.8999999985</v>
      </c>
      <c r="H11" s="73"/>
    </row>
    <row r="12" spans="2:12">
      <c r="B12" s="182" t="s">
        <v>4</v>
      </c>
      <c r="C12" s="240" t="s">
        <v>5</v>
      </c>
      <c r="D12" s="378">
        <v>8185513.6299999999</v>
      </c>
      <c r="E12" s="379">
        <f>9313949.62+420871.02-269.64</f>
        <v>9734550.9999999981</v>
      </c>
      <c r="H12" s="73"/>
    </row>
    <row r="13" spans="2:12">
      <c r="B13" s="182" t="s">
        <v>6</v>
      </c>
      <c r="C13" s="240" t="s">
        <v>7</v>
      </c>
      <c r="D13" s="380">
        <v>460900.37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6268.72</v>
      </c>
      <c r="E14" s="381">
        <f>E15</f>
        <v>7276.9</v>
      </c>
      <c r="H14" s="73"/>
    </row>
    <row r="15" spans="2:12">
      <c r="B15" s="182" t="s">
        <v>103</v>
      </c>
      <c r="C15" s="240" t="s">
        <v>11</v>
      </c>
      <c r="D15" s="380">
        <v>6268.72</v>
      </c>
      <c r="E15" s="381">
        <v>7276.9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4268.75</v>
      </c>
      <c r="E17" s="385">
        <f>E18</f>
        <v>11547.81</v>
      </c>
    </row>
    <row r="18" spans="2:11">
      <c r="B18" s="182" t="s">
        <v>4</v>
      </c>
      <c r="C18" s="240" t="s">
        <v>11</v>
      </c>
      <c r="D18" s="382">
        <v>4268.75</v>
      </c>
      <c r="E18" s="383">
        <v>11547.81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8648413.9700000007</v>
      </c>
      <c r="E21" s="389">
        <f>E11-E17</f>
        <v>9730280.089999998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8" customHeight="1" thickBot="1">
      <c r="B24" s="459" t="s">
        <v>102</v>
      </c>
      <c r="C24" s="471"/>
      <c r="D24" s="471"/>
      <c r="E24" s="471"/>
      <c r="K24" s="18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11850046.550000001</v>
      </c>
      <c r="E26" s="391">
        <f>D21</f>
        <v>8648413.9700000007</v>
      </c>
      <c r="G26" s="75"/>
    </row>
    <row r="27" spans="2:11">
      <c r="B27" s="9" t="s">
        <v>17</v>
      </c>
      <c r="C27" s="10" t="s">
        <v>108</v>
      </c>
      <c r="D27" s="392">
        <v>-602667.64999999991</v>
      </c>
      <c r="E27" s="365">
        <v>-352533.31000000006</v>
      </c>
      <c r="F27" s="73"/>
      <c r="G27" s="155"/>
      <c r="H27" s="277"/>
      <c r="I27" s="276"/>
      <c r="J27" s="216"/>
    </row>
    <row r="28" spans="2:11">
      <c r="B28" s="9" t="s">
        <v>18</v>
      </c>
      <c r="C28" s="10" t="s">
        <v>19</v>
      </c>
      <c r="D28" s="392">
        <v>382461.43000000005</v>
      </c>
      <c r="E28" s="366">
        <v>419222.31000000006</v>
      </c>
      <c r="F28" s="73"/>
      <c r="G28" s="155"/>
      <c r="H28" s="276"/>
      <c r="I28" s="276"/>
      <c r="J28" s="216"/>
    </row>
    <row r="29" spans="2:11">
      <c r="B29" s="190" t="s">
        <v>4</v>
      </c>
      <c r="C29" s="183" t="s">
        <v>20</v>
      </c>
      <c r="D29" s="393">
        <v>377317.72000000003</v>
      </c>
      <c r="E29" s="367">
        <v>341647.15</v>
      </c>
      <c r="F29" s="73"/>
      <c r="G29" s="155"/>
      <c r="H29" s="276"/>
      <c r="I29" s="276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76"/>
      <c r="I30" s="276"/>
      <c r="J30" s="216"/>
    </row>
    <row r="31" spans="2:11">
      <c r="B31" s="190" t="s">
        <v>8</v>
      </c>
      <c r="C31" s="183" t="s">
        <v>22</v>
      </c>
      <c r="D31" s="393">
        <v>5143.7099999999991</v>
      </c>
      <c r="E31" s="367">
        <v>77575.16</v>
      </c>
      <c r="F31" s="73"/>
      <c r="G31" s="155"/>
      <c r="H31" s="276"/>
      <c r="I31" s="276"/>
      <c r="J31" s="216"/>
    </row>
    <row r="32" spans="2:11">
      <c r="B32" s="94" t="s">
        <v>23</v>
      </c>
      <c r="C32" s="11" t="s">
        <v>24</v>
      </c>
      <c r="D32" s="392">
        <v>985129.08</v>
      </c>
      <c r="E32" s="366">
        <v>771755.62000000011</v>
      </c>
      <c r="F32" s="73"/>
      <c r="G32" s="155"/>
      <c r="H32" s="276"/>
      <c r="I32" s="276"/>
      <c r="J32" s="216"/>
    </row>
    <row r="33" spans="2:10">
      <c r="B33" s="190" t="s">
        <v>4</v>
      </c>
      <c r="C33" s="183" t="s">
        <v>25</v>
      </c>
      <c r="D33" s="393">
        <v>834743.09</v>
      </c>
      <c r="E33" s="367">
        <v>596353.32000000007</v>
      </c>
      <c r="F33" s="73"/>
      <c r="G33" s="155"/>
      <c r="H33" s="276"/>
      <c r="I33" s="276"/>
      <c r="J33" s="216"/>
    </row>
    <row r="34" spans="2:10">
      <c r="B34" s="190" t="s">
        <v>6</v>
      </c>
      <c r="C34" s="183" t="s">
        <v>26</v>
      </c>
      <c r="D34" s="393">
        <v>20708.09</v>
      </c>
      <c r="E34" s="367">
        <v>63964.43</v>
      </c>
      <c r="F34" s="73"/>
      <c r="G34" s="155"/>
      <c r="H34" s="276"/>
      <c r="I34" s="276"/>
      <c r="J34" s="216"/>
    </row>
    <row r="35" spans="2:10">
      <c r="B35" s="190" t="s">
        <v>8</v>
      </c>
      <c r="C35" s="183" t="s">
        <v>27</v>
      </c>
      <c r="D35" s="393">
        <v>42487.15</v>
      </c>
      <c r="E35" s="367">
        <v>41269.629999999997</v>
      </c>
      <c r="F35" s="73"/>
      <c r="G35" s="155"/>
      <c r="H35" s="276"/>
      <c r="I35" s="276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76"/>
      <c r="I36" s="276"/>
      <c r="J36" s="216"/>
    </row>
    <row r="37" spans="2:10" ht="25.5">
      <c r="B37" s="190" t="s">
        <v>29</v>
      </c>
      <c r="C37" s="183" t="s">
        <v>30</v>
      </c>
      <c r="D37" s="393">
        <v>69845.17</v>
      </c>
      <c r="E37" s="367">
        <v>62863.65</v>
      </c>
      <c r="F37" s="73"/>
      <c r="G37" s="155"/>
      <c r="H37" s="276"/>
      <c r="I37" s="276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76"/>
      <c r="I38" s="276"/>
      <c r="J38" s="216"/>
    </row>
    <row r="39" spans="2:10">
      <c r="B39" s="191" t="s">
        <v>33</v>
      </c>
      <c r="C39" s="192" t="s">
        <v>34</v>
      </c>
      <c r="D39" s="394">
        <v>17345.580000000002</v>
      </c>
      <c r="E39" s="368">
        <v>7304.59</v>
      </c>
      <c r="F39" s="73"/>
      <c r="G39" s="155"/>
      <c r="H39" s="276"/>
      <c r="I39" s="276"/>
      <c r="J39" s="216"/>
    </row>
    <row r="40" spans="2:10" ht="13.5" thickBot="1">
      <c r="B40" s="99" t="s">
        <v>35</v>
      </c>
      <c r="C40" s="100" t="s">
        <v>36</v>
      </c>
      <c r="D40" s="395">
        <v>-2867311.66</v>
      </c>
      <c r="E40" s="396">
        <v>1434399.43</v>
      </c>
      <c r="G40" s="155"/>
      <c r="H40" s="181"/>
      <c r="I40" s="181"/>
      <c r="J40" s="181"/>
    </row>
    <row r="41" spans="2:10" ht="13.5" thickBot="1">
      <c r="B41" s="101" t="s">
        <v>37</v>
      </c>
      <c r="C41" s="102" t="s">
        <v>38</v>
      </c>
      <c r="D41" s="397">
        <v>8380067.2400000002</v>
      </c>
      <c r="E41" s="389">
        <f>E26+E27+E40</f>
        <v>9730280.0899999999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63124.953099999999</v>
      </c>
      <c r="E47" s="283">
        <v>57567.309300000001</v>
      </c>
      <c r="G47" s="73"/>
    </row>
    <row r="48" spans="2:10">
      <c r="B48" s="195" t="s">
        <v>6</v>
      </c>
      <c r="C48" s="196" t="s">
        <v>41</v>
      </c>
      <c r="D48" s="310">
        <v>59451.961599999995</v>
      </c>
      <c r="E48" s="327">
        <v>55456.090400000001</v>
      </c>
      <c r="G48" s="203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187.7236</v>
      </c>
      <c r="E50" s="283">
        <v>150.2313</v>
      </c>
      <c r="G50" s="181"/>
    </row>
    <row r="51" spans="2:7">
      <c r="B51" s="193" t="s">
        <v>6</v>
      </c>
      <c r="C51" s="194" t="s">
        <v>111</v>
      </c>
      <c r="D51" s="310">
        <v>139.1422</v>
      </c>
      <c r="E51" s="283">
        <v>150.2313</v>
      </c>
      <c r="G51" s="181"/>
    </row>
    <row r="52" spans="2:7" ht="12.75" customHeight="1">
      <c r="B52" s="193" t="s">
        <v>8</v>
      </c>
      <c r="C52" s="194" t="s">
        <v>112</v>
      </c>
      <c r="D52" s="310">
        <v>188.96900000000002</v>
      </c>
      <c r="E52" s="283">
        <v>175.68530000000001</v>
      </c>
    </row>
    <row r="53" spans="2:7" ht="13.5" thickBot="1">
      <c r="B53" s="197" t="s">
        <v>9</v>
      </c>
      <c r="C53" s="198" t="s">
        <v>41</v>
      </c>
      <c r="D53" s="308">
        <v>140.95529999999999</v>
      </c>
      <c r="E53" s="267">
        <v>175.45920000000001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9734550.9999999981</v>
      </c>
      <c r="E58" s="31">
        <f>D58/E21</f>
        <v>1.0004389298109095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E12-420871.02</f>
        <v>9313679.9799999986</v>
      </c>
      <c r="E64" s="82">
        <f>D64/E21</f>
        <v>0.9571851882837219</v>
      </c>
    </row>
    <row r="65" spans="2:7">
      <c r="B65" s="21" t="s">
        <v>33</v>
      </c>
      <c r="C65" s="22" t="s">
        <v>115</v>
      </c>
      <c r="D65" s="81">
        <v>0</v>
      </c>
      <c r="E65" s="82">
        <v>0</v>
      </c>
      <c r="G65" s="73"/>
    </row>
    <row r="66" spans="2:7">
      <c r="B66" s="21" t="s">
        <v>50</v>
      </c>
      <c r="C66" s="22" t="s">
        <v>51</v>
      </c>
      <c r="D66" s="81">
        <v>0</v>
      </c>
      <c r="E66" s="82">
        <v>0</v>
      </c>
    </row>
    <row r="67" spans="2:7">
      <c r="B67" s="14" t="s">
        <v>52</v>
      </c>
      <c r="C67" s="15" t="s">
        <v>53</v>
      </c>
      <c r="D67" s="79">
        <v>0</v>
      </c>
      <c r="E67" s="80">
        <v>0</v>
      </c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09">
        <v>420871.02</v>
      </c>
      <c r="E69" s="80">
        <f>D69/E21</f>
        <v>4.3253741527187639E-2</v>
      </c>
    </row>
    <row r="70" spans="2:7">
      <c r="B70" s="114" t="s">
        <v>58</v>
      </c>
      <c r="C70" s="11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7276.9</v>
      </c>
      <c r="E72" s="121">
        <f>D72/E21</f>
        <v>7.4786130848161444E-4</v>
      </c>
    </row>
    <row r="73" spans="2:7">
      <c r="B73" s="23" t="s">
        <v>62</v>
      </c>
      <c r="C73" s="24" t="s">
        <v>65</v>
      </c>
      <c r="D73" s="25">
        <f>E17</f>
        <v>11547.81</v>
      </c>
      <c r="E73" s="26">
        <f>D73/E21</f>
        <v>1.1867911193910968E-3</v>
      </c>
    </row>
    <row r="74" spans="2:7">
      <c r="B74" s="122" t="s">
        <v>64</v>
      </c>
      <c r="C74" s="123" t="s">
        <v>66</v>
      </c>
      <c r="D74" s="124">
        <f>D58+D71+D72-D73</f>
        <v>9730280.089999998</v>
      </c>
      <c r="E74" s="67">
        <f>E58+E71+E72-E73</f>
        <v>1.0000000000000002</v>
      </c>
    </row>
    <row r="75" spans="2:7">
      <c r="B75" s="14" t="s">
        <v>4</v>
      </c>
      <c r="C75" s="15" t="s">
        <v>67</v>
      </c>
      <c r="D75" s="79">
        <f>D74</f>
        <v>9730280.089999998</v>
      </c>
      <c r="E75" s="80">
        <f>E74</f>
        <v>1.0000000000000002</v>
      </c>
    </row>
    <row r="76" spans="2:7">
      <c r="B76" s="14" t="s">
        <v>6</v>
      </c>
      <c r="C76" s="15" t="s">
        <v>116</v>
      </c>
      <c r="D76" s="79">
        <v>0</v>
      </c>
      <c r="E76" s="80">
        <v>0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Q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20.2851562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124</v>
      </c>
      <c r="C5" s="457"/>
      <c r="D5" s="457"/>
      <c r="E5" s="457"/>
    </row>
    <row r="6" spans="2:12" ht="14.25">
      <c r="B6" s="458" t="s">
        <v>141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125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126</v>
      </c>
      <c r="C11" s="204" t="s">
        <v>106</v>
      </c>
      <c r="D11" s="376">
        <v>11069509.68</v>
      </c>
      <c r="E11" s="377">
        <f>SUM(E12:E14)</f>
        <v>11023755.560000001</v>
      </c>
    </row>
    <row r="12" spans="2:12">
      <c r="B12" s="182">
        <v>1</v>
      </c>
      <c r="C12" s="240" t="s">
        <v>5</v>
      </c>
      <c r="D12" s="378">
        <v>10634643.17</v>
      </c>
      <c r="E12" s="379">
        <f>10832256.16+181955.23-499.1</f>
        <v>11013712.290000001</v>
      </c>
      <c r="H12" s="73"/>
    </row>
    <row r="13" spans="2:12">
      <c r="B13" s="182">
        <v>2</v>
      </c>
      <c r="C13" s="240" t="s">
        <v>7</v>
      </c>
      <c r="D13" s="380">
        <v>427043.93</v>
      </c>
      <c r="E13" s="381">
        <v>0</v>
      </c>
      <c r="H13" s="73"/>
    </row>
    <row r="14" spans="2:12">
      <c r="B14" s="182">
        <v>3</v>
      </c>
      <c r="C14" s="240" t="s">
        <v>10</v>
      </c>
      <c r="D14" s="380">
        <v>7822.58</v>
      </c>
      <c r="E14" s="381">
        <f>E15</f>
        <v>10043.27</v>
      </c>
      <c r="H14" s="73"/>
    </row>
    <row r="15" spans="2:12">
      <c r="B15" s="182">
        <v>31</v>
      </c>
      <c r="C15" s="240" t="s">
        <v>11</v>
      </c>
      <c r="D15" s="380">
        <v>7822.58</v>
      </c>
      <c r="E15" s="381">
        <v>10043.27</v>
      </c>
      <c r="H15" s="73"/>
    </row>
    <row r="16" spans="2:12">
      <c r="B16" s="185">
        <v>32</v>
      </c>
      <c r="C16" s="241" t="s">
        <v>12</v>
      </c>
      <c r="D16" s="382">
        <v>0</v>
      </c>
      <c r="E16" s="383">
        <v>0</v>
      </c>
      <c r="H16" s="73"/>
    </row>
    <row r="17" spans="2:17">
      <c r="B17" s="9" t="s">
        <v>127</v>
      </c>
      <c r="C17" s="207" t="s">
        <v>65</v>
      </c>
      <c r="D17" s="384">
        <v>5081.8</v>
      </c>
      <c r="E17" s="385">
        <f>E18</f>
        <v>5957.27</v>
      </c>
      <c r="H17" s="73"/>
    </row>
    <row r="18" spans="2:17">
      <c r="B18" s="182">
        <v>1</v>
      </c>
      <c r="C18" s="240" t="s">
        <v>11</v>
      </c>
      <c r="D18" s="382">
        <v>5081.8</v>
      </c>
      <c r="E18" s="383">
        <v>5957.27</v>
      </c>
    </row>
    <row r="19" spans="2:17" ht="15" customHeight="1">
      <c r="B19" s="182">
        <v>2</v>
      </c>
      <c r="C19" s="240" t="s">
        <v>105</v>
      </c>
      <c r="D19" s="380">
        <v>0</v>
      </c>
      <c r="E19" s="381">
        <v>0</v>
      </c>
    </row>
    <row r="20" spans="2:17" ht="13.5" thickBot="1">
      <c r="B20" s="187">
        <v>3</v>
      </c>
      <c r="C20" s="188" t="s">
        <v>14</v>
      </c>
      <c r="D20" s="386">
        <v>0</v>
      </c>
      <c r="E20" s="387">
        <v>0</v>
      </c>
    </row>
    <row r="21" spans="2:17" ht="13.5" thickBot="1">
      <c r="B21" s="468" t="s">
        <v>128</v>
      </c>
      <c r="C21" s="469"/>
      <c r="D21" s="388">
        <v>11064427.879999999</v>
      </c>
      <c r="E21" s="389">
        <f>E11-E17</f>
        <v>11017798.290000001</v>
      </c>
      <c r="F21" s="78"/>
      <c r="G21" s="78"/>
      <c r="H21" s="169"/>
      <c r="J21" s="227"/>
      <c r="K21" s="169"/>
    </row>
    <row r="22" spans="2:17">
      <c r="B22" s="4"/>
      <c r="C22" s="7"/>
      <c r="D22" s="406"/>
      <c r="E22" s="407"/>
      <c r="G22" s="73"/>
      <c r="Q22" s="181"/>
    </row>
    <row r="23" spans="2:17" ht="13.5">
      <c r="B23" s="460" t="s">
        <v>129</v>
      </c>
      <c r="C23" s="470"/>
      <c r="D23" s="470"/>
      <c r="E23" s="470"/>
      <c r="G23" s="73"/>
    </row>
    <row r="24" spans="2:17" ht="15.75" customHeight="1" thickBot="1">
      <c r="B24" s="459" t="s">
        <v>102</v>
      </c>
      <c r="C24" s="471"/>
      <c r="D24" s="471"/>
      <c r="E24" s="471"/>
      <c r="K24" s="181"/>
    </row>
    <row r="25" spans="2:17" ht="13.5" thickBot="1">
      <c r="B25" s="323"/>
      <c r="C25" s="189" t="s">
        <v>2</v>
      </c>
      <c r="D25" s="274" t="s">
        <v>243</v>
      </c>
      <c r="E25" s="246" t="s">
        <v>242</v>
      </c>
    </row>
    <row r="26" spans="2:17">
      <c r="B26" s="97" t="s">
        <v>130</v>
      </c>
      <c r="C26" s="98" t="s">
        <v>16</v>
      </c>
      <c r="D26" s="408">
        <v>16742832.59</v>
      </c>
      <c r="E26" s="391">
        <f>D21</f>
        <v>11064427.879999999</v>
      </c>
      <c r="G26" s="75"/>
    </row>
    <row r="27" spans="2:17">
      <c r="B27" s="9" t="s">
        <v>131</v>
      </c>
      <c r="C27" s="10" t="s">
        <v>108</v>
      </c>
      <c r="D27" s="409">
        <v>-651246.6</v>
      </c>
      <c r="E27" s="365">
        <v>-1107234.19</v>
      </c>
      <c r="F27" s="73"/>
      <c r="G27" s="155"/>
      <c r="H27" s="276"/>
      <c r="I27" s="276"/>
      <c r="J27" s="216"/>
    </row>
    <row r="28" spans="2:17">
      <c r="B28" s="9" t="s">
        <v>125</v>
      </c>
      <c r="C28" s="10" t="s">
        <v>19</v>
      </c>
      <c r="D28" s="409">
        <v>449173.88</v>
      </c>
      <c r="E28" s="366">
        <v>405884.96</v>
      </c>
      <c r="F28" s="73"/>
      <c r="G28" s="155"/>
      <c r="H28" s="276"/>
      <c r="I28" s="276"/>
      <c r="J28" s="216"/>
    </row>
    <row r="29" spans="2:17">
      <c r="B29" s="190">
        <v>1</v>
      </c>
      <c r="C29" s="183" t="s">
        <v>20</v>
      </c>
      <c r="D29" s="378">
        <v>449173.88</v>
      </c>
      <c r="E29" s="367">
        <v>405884.96</v>
      </c>
      <c r="F29" s="73"/>
      <c r="G29" s="155"/>
      <c r="H29" s="276"/>
      <c r="I29" s="276"/>
      <c r="J29" s="216"/>
    </row>
    <row r="30" spans="2:17">
      <c r="B30" s="190">
        <v>2</v>
      </c>
      <c r="C30" s="183" t="s">
        <v>21</v>
      </c>
      <c r="D30" s="378">
        <v>0</v>
      </c>
      <c r="E30" s="367">
        <v>0</v>
      </c>
      <c r="F30" s="73"/>
      <c r="G30" s="155"/>
      <c r="H30" s="276"/>
      <c r="I30" s="276"/>
      <c r="J30" s="216"/>
    </row>
    <row r="31" spans="2:17">
      <c r="B31" s="190">
        <v>3</v>
      </c>
      <c r="C31" s="183" t="s">
        <v>22</v>
      </c>
      <c r="D31" s="378">
        <v>0</v>
      </c>
      <c r="E31" s="367">
        <v>0</v>
      </c>
      <c r="F31" s="73"/>
      <c r="G31" s="155"/>
      <c r="H31" s="276"/>
      <c r="I31" s="276"/>
      <c r="J31" s="216"/>
    </row>
    <row r="32" spans="2:17">
      <c r="B32" s="94" t="s">
        <v>132</v>
      </c>
      <c r="C32" s="11" t="s">
        <v>24</v>
      </c>
      <c r="D32" s="409">
        <v>1100420.48</v>
      </c>
      <c r="E32" s="366">
        <v>1513119.15</v>
      </c>
      <c r="F32" s="73"/>
      <c r="G32" s="155"/>
      <c r="H32" s="276"/>
      <c r="I32" s="276"/>
      <c r="J32" s="216"/>
    </row>
    <row r="33" spans="2:10">
      <c r="B33" s="190">
        <v>1</v>
      </c>
      <c r="C33" s="183" t="s">
        <v>25</v>
      </c>
      <c r="D33" s="378">
        <v>663439.17000000004</v>
      </c>
      <c r="E33" s="367">
        <v>1282254.51</v>
      </c>
      <c r="F33" s="73"/>
      <c r="G33" s="155"/>
      <c r="H33" s="276"/>
      <c r="I33" s="276"/>
      <c r="J33" s="216"/>
    </row>
    <row r="34" spans="2:10">
      <c r="B34" s="190">
        <v>2</v>
      </c>
      <c r="C34" s="183" t="s">
        <v>26</v>
      </c>
      <c r="D34" s="378">
        <v>285587.11</v>
      </c>
      <c r="E34" s="367">
        <v>118026.47</v>
      </c>
      <c r="F34" s="73"/>
      <c r="G34" s="155"/>
      <c r="H34" s="276"/>
      <c r="I34" s="276"/>
      <c r="J34" s="216"/>
    </row>
    <row r="35" spans="2:10">
      <c r="B35" s="190">
        <v>3</v>
      </c>
      <c r="C35" s="183" t="s">
        <v>27</v>
      </c>
      <c r="D35" s="378">
        <v>39994.520000000004</v>
      </c>
      <c r="E35" s="367">
        <v>34185.360000000001</v>
      </c>
      <c r="F35" s="73"/>
      <c r="G35" s="155"/>
      <c r="H35" s="276"/>
      <c r="I35" s="276"/>
      <c r="J35" s="216"/>
    </row>
    <row r="36" spans="2:10">
      <c r="B36" s="190">
        <v>4</v>
      </c>
      <c r="C36" s="183" t="s">
        <v>28</v>
      </c>
      <c r="D36" s="378">
        <v>0</v>
      </c>
      <c r="E36" s="367">
        <v>0</v>
      </c>
      <c r="F36" s="73"/>
      <c r="G36" s="155"/>
      <c r="H36" s="276"/>
      <c r="I36" s="276"/>
      <c r="J36" s="216"/>
    </row>
    <row r="37" spans="2:10" ht="25.5">
      <c r="B37" s="190">
        <v>5</v>
      </c>
      <c r="C37" s="183" t="s">
        <v>30</v>
      </c>
      <c r="D37" s="378">
        <v>111397.28</v>
      </c>
      <c r="E37" s="367">
        <v>78571.62</v>
      </c>
      <c r="F37" s="73"/>
      <c r="G37" s="155"/>
      <c r="H37" s="276"/>
      <c r="I37" s="276"/>
      <c r="J37" s="216"/>
    </row>
    <row r="38" spans="2:10">
      <c r="B38" s="190">
        <v>6</v>
      </c>
      <c r="C38" s="183" t="s">
        <v>32</v>
      </c>
      <c r="D38" s="378">
        <v>0</v>
      </c>
      <c r="E38" s="367">
        <v>0</v>
      </c>
      <c r="F38" s="73"/>
      <c r="G38" s="155"/>
      <c r="H38" s="276"/>
      <c r="I38" s="276"/>
      <c r="J38" s="216"/>
    </row>
    <row r="39" spans="2:10">
      <c r="B39" s="191">
        <v>7</v>
      </c>
      <c r="C39" s="192" t="s">
        <v>34</v>
      </c>
      <c r="D39" s="410">
        <v>2.4000000000000004</v>
      </c>
      <c r="E39" s="368">
        <v>81.189999999999984</v>
      </c>
      <c r="F39" s="73"/>
      <c r="G39" s="155"/>
      <c r="H39" s="276"/>
      <c r="I39" s="276"/>
      <c r="J39" s="216"/>
    </row>
    <row r="40" spans="2:10" ht="13.5" thickBot="1">
      <c r="B40" s="99" t="s">
        <v>133</v>
      </c>
      <c r="C40" s="100" t="s">
        <v>36</v>
      </c>
      <c r="D40" s="411">
        <v>-2115028.92</v>
      </c>
      <c r="E40" s="396">
        <v>1060604.6000000001</v>
      </c>
      <c r="G40" s="75"/>
      <c r="H40" s="162"/>
      <c r="I40" s="162"/>
      <c r="J40" s="162"/>
    </row>
    <row r="41" spans="2:10" ht="13.5" thickBot="1">
      <c r="B41" s="101" t="s">
        <v>134</v>
      </c>
      <c r="C41" s="102" t="s">
        <v>38</v>
      </c>
      <c r="D41" s="388">
        <v>13976557.07</v>
      </c>
      <c r="E41" s="389">
        <f>E26+E27+E40</f>
        <v>11017798.289999999</v>
      </c>
      <c r="F41" s="78"/>
      <c r="G41" s="75"/>
      <c r="H41" s="164"/>
      <c r="I41" s="164"/>
      <c r="J41" s="164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135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125</v>
      </c>
      <c r="C46" s="30" t="s">
        <v>109</v>
      </c>
      <c r="D46" s="103"/>
      <c r="E46" s="28"/>
      <c r="G46" s="73"/>
    </row>
    <row r="47" spans="2:10">
      <c r="B47" s="193">
        <v>1</v>
      </c>
      <c r="C47" s="194" t="s">
        <v>40</v>
      </c>
      <c r="D47" s="417">
        <v>102248.519</v>
      </c>
      <c r="E47" s="283">
        <v>73981.925600000002</v>
      </c>
      <c r="G47" s="73"/>
    </row>
    <row r="48" spans="2:10">
      <c r="B48" s="195">
        <v>2</v>
      </c>
      <c r="C48" s="196" t="s">
        <v>41</v>
      </c>
      <c r="D48" s="417">
        <v>97973.590400000001</v>
      </c>
      <c r="E48" s="307">
        <v>67021.797399999996</v>
      </c>
      <c r="G48" s="203"/>
      <c r="I48" s="161"/>
    </row>
    <row r="49" spans="2:7">
      <c r="B49" s="122" t="s">
        <v>132</v>
      </c>
      <c r="C49" s="126" t="s">
        <v>110</v>
      </c>
      <c r="D49" s="418"/>
      <c r="E49" s="127"/>
    </row>
    <row r="50" spans="2:7">
      <c r="B50" s="193">
        <v>1</v>
      </c>
      <c r="C50" s="194" t="s">
        <v>40</v>
      </c>
      <c r="D50" s="417">
        <v>163.7465</v>
      </c>
      <c r="E50" s="283">
        <v>149.5558</v>
      </c>
      <c r="G50" s="181"/>
    </row>
    <row r="51" spans="2:7">
      <c r="B51" s="193">
        <v>2</v>
      </c>
      <c r="C51" s="194" t="s">
        <v>111</v>
      </c>
      <c r="D51" s="417">
        <v>140.09650000000002</v>
      </c>
      <c r="E51" s="283">
        <v>149.5558</v>
      </c>
      <c r="G51" s="181"/>
    </row>
    <row r="52" spans="2:7" ht="12.75" customHeight="1">
      <c r="B52" s="193">
        <v>3</v>
      </c>
      <c r="C52" s="194" t="s">
        <v>112</v>
      </c>
      <c r="D52" s="417">
        <v>164.4512</v>
      </c>
      <c r="E52" s="283">
        <v>164.3913</v>
      </c>
    </row>
    <row r="53" spans="2:7" ht="13.5" thickBot="1">
      <c r="B53" s="197">
        <v>4</v>
      </c>
      <c r="C53" s="198" t="s">
        <v>41</v>
      </c>
      <c r="D53" s="308">
        <v>142.65640000000002</v>
      </c>
      <c r="E53" s="267">
        <v>164.3913</v>
      </c>
    </row>
    <row r="54" spans="2:7">
      <c r="B54" s="111"/>
      <c r="C54" s="112"/>
      <c r="D54" s="113"/>
      <c r="E54" s="113"/>
    </row>
    <row r="55" spans="2:7" ht="13.5">
      <c r="B55" s="461" t="s">
        <v>136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125</v>
      </c>
      <c r="C58" s="128" t="s">
        <v>43</v>
      </c>
      <c r="D58" s="129">
        <f>SUM(D59:D70)</f>
        <v>11013712.290000001</v>
      </c>
      <c r="E58" s="31">
        <f>D58/E21</f>
        <v>0.99962914550689241</v>
      </c>
    </row>
    <row r="59" spans="2:7" ht="25.5">
      <c r="B59" s="21">
        <v>1</v>
      </c>
      <c r="C59" s="22" t="s">
        <v>44</v>
      </c>
      <c r="D59" s="81">
        <v>0</v>
      </c>
      <c r="E59" s="82">
        <v>0</v>
      </c>
    </row>
    <row r="60" spans="2:7" ht="24" customHeight="1">
      <c r="B60" s="14">
        <v>2</v>
      </c>
      <c r="C60" s="15" t="s">
        <v>45</v>
      </c>
      <c r="D60" s="79">
        <v>0</v>
      </c>
      <c r="E60" s="80">
        <v>0</v>
      </c>
    </row>
    <row r="61" spans="2:7">
      <c r="B61" s="14">
        <v>3</v>
      </c>
      <c r="C61" s="15" t="s">
        <v>46</v>
      </c>
      <c r="D61" s="79">
        <v>0</v>
      </c>
      <c r="E61" s="80">
        <v>0</v>
      </c>
    </row>
    <row r="62" spans="2:7">
      <c r="B62" s="14">
        <v>4</v>
      </c>
      <c r="C62" s="15" t="s">
        <v>47</v>
      </c>
      <c r="D62" s="79">
        <v>0</v>
      </c>
      <c r="E62" s="80">
        <v>0</v>
      </c>
    </row>
    <row r="63" spans="2:7">
      <c r="B63" s="14">
        <v>5</v>
      </c>
      <c r="C63" s="15" t="s">
        <v>48</v>
      </c>
      <c r="D63" s="79">
        <v>0</v>
      </c>
      <c r="E63" s="80">
        <v>0</v>
      </c>
    </row>
    <row r="64" spans="2:7">
      <c r="B64" s="21">
        <v>6</v>
      </c>
      <c r="C64" s="22" t="s">
        <v>49</v>
      </c>
      <c r="D64" s="314">
        <f>E12-181955.23</f>
        <v>10831757.060000001</v>
      </c>
      <c r="E64" s="82">
        <f>D64/E21</f>
        <v>0.98311448212218089</v>
      </c>
    </row>
    <row r="65" spans="2:7">
      <c r="B65" s="21">
        <v>7</v>
      </c>
      <c r="C65" s="22" t="s">
        <v>115</v>
      </c>
      <c r="D65" s="81">
        <v>0</v>
      </c>
      <c r="E65" s="82">
        <v>0</v>
      </c>
    </row>
    <row r="66" spans="2:7">
      <c r="B66" s="21">
        <v>8</v>
      </c>
      <c r="C66" s="22" t="s">
        <v>51</v>
      </c>
      <c r="D66" s="81">
        <v>0</v>
      </c>
      <c r="E66" s="82">
        <v>0</v>
      </c>
    </row>
    <row r="67" spans="2:7">
      <c r="B67" s="14">
        <v>9</v>
      </c>
      <c r="C67" s="15" t="s">
        <v>53</v>
      </c>
      <c r="D67" s="79">
        <v>0</v>
      </c>
      <c r="E67" s="80">
        <v>0</v>
      </c>
      <c r="G67" s="73"/>
    </row>
    <row r="68" spans="2:7">
      <c r="B68" s="14">
        <v>10</v>
      </c>
      <c r="C68" s="15" t="s">
        <v>55</v>
      </c>
      <c r="D68" s="79">
        <v>0</v>
      </c>
      <c r="E68" s="80">
        <v>0</v>
      </c>
    </row>
    <row r="69" spans="2:7">
      <c r="B69" s="14">
        <v>11</v>
      </c>
      <c r="C69" s="15" t="s">
        <v>57</v>
      </c>
      <c r="D69" s="309">
        <v>181955.23</v>
      </c>
      <c r="E69" s="80">
        <f>D69/E21</f>
        <v>1.6514663384711501E-2</v>
      </c>
    </row>
    <row r="70" spans="2:7">
      <c r="B70" s="114">
        <v>12</v>
      </c>
      <c r="C70" s="115" t="s">
        <v>59</v>
      </c>
      <c r="D70" s="116">
        <v>0</v>
      </c>
      <c r="E70" s="117">
        <v>0</v>
      </c>
    </row>
    <row r="71" spans="2:7">
      <c r="B71" s="122" t="s">
        <v>132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135</v>
      </c>
      <c r="C72" s="119" t="s">
        <v>63</v>
      </c>
      <c r="D72" s="120">
        <f>E14</f>
        <v>10043.27</v>
      </c>
      <c r="E72" s="121">
        <f>D72/E21</f>
        <v>9.1154963411478466E-4</v>
      </c>
    </row>
    <row r="73" spans="2:7">
      <c r="B73" s="23" t="s">
        <v>136</v>
      </c>
      <c r="C73" s="24" t="s">
        <v>65</v>
      </c>
      <c r="D73" s="25">
        <f>E17</f>
        <v>5957.27</v>
      </c>
      <c r="E73" s="26">
        <f>D73/E21</f>
        <v>5.4069514100716037E-4</v>
      </c>
    </row>
    <row r="74" spans="2:7">
      <c r="B74" s="122" t="s">
        <v>137</v>
      </c>
      <c r="C74" s="123" t="s">
        <v>66</v>
      </c>
      <c r="D74" s="124">
        <f>D58+D71+D72-D73</f>
        <v>11017798.290000001</v>
      </c>
      <c r="E74" s="67">
        <f>E58+E71+E72-E73</f>
        <v>1</v>
      </c>
    </row>
    <row r="75" spans="2:7">
      <c r="B75" s="14">
        <v>1</v>
      </c>
      <c r="C75" s="15" t="s">
        <v>67</v>
      </c>
      <c r="D75" s="79">
        <f>D74</f>
        <v>11017798.290000001</v>
      </c>
      <c r="E75" s="80">
        <f>E74</f>
        <v>1</v>
      </c>
    </row>
    <row r="76" spans="2:7">
      <c r="B76" s="14">
        <v>2</v>
      </c>
      <c r="C76" s="15" t="s">
        <v>116</v>
      </c>
      <c r="D76" s="79">
        <v>0</v>
      </c>
      <c r="E76" s="80">
        <v>0</v>
      </c>
    </row>
    <row r="77" spans="2:7" ht="13.5" thickBot="1">
      <c r="B77" s="16">
        <v>3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M81"/>
  <sheetViews>
    <sheetView topLeftCell="A4" zoomScale="80" zoomScaleNormal="80" workbookViewId="0">
      <selection activeCell="G4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7.42578125" customWidth="1"/>
    <col min="11" max="11" width="16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142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6907608.2199999997</v>
      </c>
      <c r="E11" s="377">
        <f>SUM(E12:E14)</f>
        <v>7187463.8100000005</v>
      </c>
      <c r="H11" s="73"/>
    </row>
    <row r="12" spans="2:12">
      <c r="B12" s="182" t="s">
        <v>4</v>
      </c>
      <c r="C12" s="240" t="s">
        <v>5</v>
      </c>
      <c r="D12" s="378">
        <v>6671626.1699999999</v>
      </c>
      <c r="E12" s="379">
        <f>6765803.24+421660.57</f>
        <v>7187463.8100000005</v>
      </c>
      <c r="H12" s="73"/>
    </row>
    <row r="13" spans="2:12">
      <c r="B13" s="182" t="s">
        <v>6</v>
      </c>
      <c r="C13" s="240" t="s">
        <v>7</v>
      </c>
      <c r="D13" s="380">
        <v>235982.05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0</v>
      </c>
      <c r="E14" s="381">
        <v>0</v>
      </c>
      <c r="H14" s="73"/>
    </row>
    <row r="15" spans="2:12">
      <c r="B15" s="182" t="s">
        <v>103</v>
      </c>
      <c r="C15" s="240" t="s">
        <v>11</v>
      </c>
      <c r="D15" s="380">
        <v>0</v>
      </c>
      <c r="E15" s="381">
        <v>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3">
      <c r="B17" s="9" t="s">
        <v>13</v>
      </c>
      <c r="C17" s="207" t="s">
        <v>65</v>
      </c>
      <c r="D17" s="384">
        <v>578.24</v>
      </c>
      <c r="E17" s="385">
        <f>E18</f>
        <v>607.92999999999995</v>
      </c>
    </row>
    <row r="18" spans="2:13">
      <c r="B18" s="182" t="s">
        <v>4</v>
      </c>
      <c r="C18" s="240" t="s">
        <v>11</v>
      </c>
      <c r="D18" s="382">
        <v>578.24</v>
      </c>
      <c r="E18" s="383">
        <v>607.92999999999995</v>
      </c>
    </row>
    <row r="19" spans="2:13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3" ht="13.5" thickBot="1">
      <c r="B20" s="187" t="s">
        <v>8</v>
      </c>
      <c r="C20" s="188" t="s">
        <v>14</v>
      </c>
      <c r="D20" s="386">
        <v>0</v>
      </c>
      <c r="E20" s="387">
        <v>0</v>
      </c>
      <c r="G20" s="181"/>
    </row>
    <row r="21" spans="2:13" ht="13.5" thickBot="1">
      <c r="B21" s="468" t="s">
        <v>107</v>
      </c>
      <c r="C21" s="469"/>
      <c r="D21" s="388">
        <v>6907029.9799999995</v>
      </c>
      <c r="E21" s="389">
        <f>E11-E17</f>
        <v>7186855.8800000008</v>
      </c>
      <c r="F21" s="78"/>
      <c r="G21" s="78"/>
      <c r="H21" s="169"/>
      <c r="J21" s="227"/>
      <c r="K21" s="169"/>
      <c r="M21" s="181"/>
    </row>
    <row r="22" spans="2:13">
      <c r="B22" s="4"/>
      <c r="C22" s="7"/>
      <c r="D22" s="8"/>
      <c r="E22" s="8"/>
      <c r="G22" s="73"/>
    </row>
    <row r="23" spans="2:13" ht="13.5">
      <c r="B23" s="460" t="s">
        <v>101</v>
      </c>
      <c r="C23" s="470"/>
      <c r="D23" s="470"/>
      <c r="E23" s="470"/>
      <c r="G23" s="73"/>
    </row>
    <row r="24" spans="2:13" ht="15.75" customHeight="1" thickBot="1">
      <c r="B24" s="459" t="s">
        <v>102</v>
      </c>
      <c r="C24" s="471"/>
      <c r="D24" s="471"/>
      <c r="E24" s="471"/>
    </row>
    <row r="25" spans="2:13" ht="13.5" thickBot="1">
      <c r="B25" s="323"/>
      <c r="C25" s="189" t="s">
        <v>2</v>
      </c>
      <c r="D25" s="274" t="s">
        <v>243</v>
      </c>
      <c r="E25" s="246" t="s">
        <v>242</v>
      </c>
      <c r="I25" s="181"/>
    </row>
    <row r="26" spans="2:13">
      <c r="B26" s="97" t="s">
        <v>15</v>
      </c>
      <c r="C26" s="98" t="s">
        <v>16</v>
      </c>
      <c r="D26" s="390">
        <v>10895451.970000001</v>
      </c>
      <c r="E26" s="391">
        <f>D21</f>
        <v>6907029.9799999995</v>
      </c>
      <c r="G26" s="75"/>
    </row>
    <row r="27" spans="2:13">
      <c r="B27" s="9" t="s">
        <v>17</v>
      </c>
      <c r="C27" s="10" t="s">
        <v>108</v>
      </c>
      <c r="D27" s="392">
        <v>-937151.01</v>
      </c>
      <c r="E27" s="365">
        <v>-638987.19999999995</v>
      </c>
      <c r="F27" s="73"/>
      <c r="G27" s="243"/>
      <c r="H27" s="243"/>
      <c r="I27" s="73"/>
      <c r="J27" s="75"/>
    </row>
    <row r="28" spans="2:13">
      <c r="B28" s="9" t="s">
        <v>18</v>
      </c>
      <c r="C28" s="10" t="s">
        <v>19</v>
      </c>
      <c r="D28" s="392">
        <v>0</v>
      </c>
      <c r="E28" s="366">
        <v>118.8</v>
      </c>
      <c r="F28" s="73"/>
      <c r="G28" s="243"/>
      <c r="H28" s="243"/>
      <c r="I28" s="73"/>
      <c r="J28" s="75"/>
    </row>
    <row r="29" spans="2:13">
      <c r="B29" s="190" t="s">
        <v>4</v>
      </c>
      <c r="C29" s="183" t="s">
        <v>20</v>
      </c>
      <c r="D29" s="393">
        <v>0</v>
      </c>
      <c r="E29" s="367">
        <v>118.8</v>
      </c>
      <c r="F29" s="73"/>
      <c r="G29" s="243"/>
      <c r="H29" s="243"/>
      <c r="I29" s="73"/>
      <c r="J29" s="75"/>
    </row>
    <row r="30" spans="2:13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3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3"/>
      <c r="J31" s="75"/>
    </row>
    <row r="32" spans="2:13">
      <c r="B32" s="94" t="s">
        <v>23</v>
      </c>
      <c r="C32" s="11" t="s">
        <v>24</v>
      </c>
      <c r="D32" s="392">
        <v>937151.01</v>
      </c>
      <c r="E32" s="366">
        <v>639106</v>
      </c>
      <c r="F32" s="73"/>
      <c r="G32" s="243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751626.33</v>
      </c>
      <c r="E33" s="367">
        <v>478079.12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26208.22</v>
      </c>
      <c r="E34" s="367">
        <v>68037.19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51102.18</v>
      </c>
      <c r="E35" s="367">
        <v>26736.440000000002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85266.61</v>
      </c>
      <c r="E37" s="367">
        <v>66253.25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22947.67</v>
      </c>
      <c r="E39" s="368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-2455806.64</v>
      </c>
      <c r="E40" s="396">
        <v>918813.1</v>
      </c>
      <c r="G40" s="75"/>
    </row>
    <row r="41" spans="2:10" ht="13.5" thickBot="1">
      <c r="B41" s="101" t="s">
        <v>37</v>
      </c>
      <c r="C41" s="102" t="s">
        <v>38</v>
      </c>
      <c r="D41" s="397">
        <v>7502494.3200000003</v>
      </c>
      <c r="E41" s="389">
        <f>E26+E27+E40</f>
        <v>7186855.879999999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51794.339</v>
      </c>
      <c r="E47" s="283">
        <v>42047.995900000002</v>
      </c>
      <c r="G47" s="73"/>
    </row>
    <row r="48" spans="2:10">
      <c r="B48" s="195" t="s">
        <v>6</v>
      </c>
      <c r="C48" s="196" t="s">
        <v>41</v>
      </c>
      <c r="D48" s="310">
        <v>46793.076200000003</v>
      </c>
      <c r="E48" s="327">
        <v>38432.834900000002</v>
      </c>
      <c r="G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210.35990000000001</v>
      </c>
      <c r="E50" s="283">
        <v>164.2654</v>
      </c>
      <c r="G50" s="181"/>
    </row>
    <row r="51" spans="2:7">
      <c r="B51" s="193" t="s">
        <v>6</v>
      </c>
      <c r="C51" s="194" t="s">
        <v>111</v>
      </c>
      <c r="D51" s="310">
        <v>158.01650000000001</v>
      </c>
      <c r="E51" s="283">
        <v>164.2654</v>
      </c>
      <c r="G51" s="181"/>
    </row>
    <row r="52" spans="2:7" ht="12" customHeight="1">
      <c r="B52" s="193" t="s">
        <v>8</v>
      </c>
      <c r="C52" s="194" t="s">
        <v>112</v>
      </c>
      <c r="D52" s="310">
        <v>211.2123</v>
      </c>
      <c r="E52" s="283">
        <v>189.18450000000001</v>
      </c>
    </row>
    <row r="53" spans="2:7" ht="13.5" thickBot="1">
      <c r="B53" s="197" t="s">
        <v>9</v>
      </c>
      <c r="C53" s="198" t="s">
        <v>41</v>
      </c>
      <c r="D53" s="308">
        <v>160.33340000000001</v>
      </c>
      <c r="E53" s="267">
        <v>186.99780000000001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7187463.8100000005</v>
      </c>
      <c r="E58" s="31">
        <f>D58/E21</f>
        <v>1.000084589145817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E12-421660.57</f>
        <v>6765803.2400000002</v>
      </c>
      <c r="E64" s="82">
        <f>D64/E21</f>
        <v>0.9414135128030422</v>
      </c>
    </row>
    <row r="65" spans="2:7">
      <c r="B65" s="21" t="s">
        <v>33</v>
      </c>
      <c r="C65" s="22" t="s">
        <v>115</v>
      </c>
      <c r="D65" s="81">
        <v>0</v>
      </c>
      <c r="E65" s="82">
        <v>0</v>
      </c>
    </row>
    <row r="66" spans="2:7">
      <c r="B66" s="21" t="s">
        <v>50</v>
      </c>
      <c r="C66" s="22" t="s">
        <v>51</v>
      </c>
      <c r="D66" s="81">
        <v>0</v>
      </c>
      <c r="E66" s="82">
        <v>0</v>
      </c>
    </row>
    <row r="67" spans="2:7">
      <c r="B67" s="14" t="s">
        <v>52</v>
      </c>
      <c r="C67" s="15" t="s">
        <v>53</v>
      </c>
      <c r="D67" s="79">
        <v>0</v>
      </c>
      <c r="E67" s="80">
        <v>0</v>
      </c>
      <c r="G67" s="73"/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15">
        <v>421660.57</v>
      </c>
      <c r="E69" s="80">
        <f>D69/E21</f>
        <v>5.8671076342774797E-2</v>
      </c>
    </row>
    <row r="70" spans="2:7">
      <c r="B70" s="114" t="s">
        <v>58</v>
      </c>
      <c r="C70" s="115" t="s">
        <v>59</v>
      </c>
      <c r="D70" s="79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7">
      <c r="B73" s="23" t="s">
        <v>62</v>
      </c>
      <c r="C73" s="24" t="s">
        <v>65</v>
      </c>
      <c r="D73" s="25">
        <f>E17</f>
        <v>607.92999999999995</v>
      </c>
      <c r="E73" s="26">
        <f>D73/E21</f>
        <v>8.4589145817127456E-5</v>
      </c>
    </row>
    <row r="74" spans="2:7">
      <c r="B74" s="122" t="s">
        <v>64</v>
      </c>
      <c r="C74" s="123" t="s">
        <v>66</v>
      </c>
      <c r="D74" s="124">
        <f>D58+D71+D72-D73</f>
        <v>7186855.8800000008</v>
      </c>
      <c r="E74" s="67">
        <f>E58+E71+E72-E73</f>
        <v>0.99999999999999989</v>
      </c>
    </row>
    <row r="75" spans="2:7">
      <c r="B75" s="14" t="s">
        <v>4</v>
      </c>
      <c r="C75" s="15" t="s">
        <v>67</v>
      </c>
      <c r="D75" s="79">
        <f>D74-D76</f>
        <v>5325881.7000000011</v>
      </c>
      <c r="E75" s="80">
        <f>D75/E21</f>
        <v>0.74105864774903496</v>
      </c>
      <c r="G75" s="181"/>
    </row>
    <row r="76" spans="2:7">
      <c r="B76" s="14" t="s">
        <v>6</v>
      </c>
      <c r="C76" s="15" t="s">
        <v>116</v>
      </c>
      <c r="D76" s="79">
        <v>1860974.18</v>
      </c>
      <c r="E76" s="80">
        <f>D76/E21</f>
        <v>0.2589413522509651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8" width="17.85546875" customWidth="1"/>
    <col min="9" max="9" width="13.28515625" customWidth="1"/>
    <col min="10" max="10" width="16.85546875" customWidth="1"/>
    <col min="11" max="11" width="18.7109375" customWidth="1"/>
    <col min="12" max="12" width="15.285156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82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  <c r="G9" s="208"/>
    </row>
    <row r="10" spans="2:12" ht="13.5" thickBot="1">
      <c r="B10" s="323"/>
      <c r="C10" s="222" t="s">
        <v>2</v>
      </c>
      <c r="D10" s="257" t="s">
        <v>236</v>
      </c>
      <c r="E10" s="256" t="s">
        <v>242</v>
      </c>
      <c r="G10" s="73"/>
    </row>
    <row r="11" spans="2:12">
      <c r="B11" s="92" t="s">
        <v>3</v>
      </c>
      <c r="C11" s="204" t="s">
        <v>106</v>
      </c>
      <c r="D11" s="376">
        <v>170646717.96000001</v>
      </c>
      <c r="E11" s="377">
        <f>SUM(E12:E14)</f>
        <v>191177454.96000001</v>
      </c>
    </row>
    <row r="12" spans="2:12">
      <c r="B12" s="182" t="s">
        <v>4</v>
      </c>
      <c r="C12" s="240" t="s">
        <v>5</v>
      </c>
      <c r="D12" s="378">
        <v>170245665.72</v>
      </c>
      <c r="E12" s="379">
        <f>195520997.61+2160.51-4345703.16</f>
        <v>191177454.96000001</v>
      </c>
      <c r="G12" s="73"/>
      <c r="H12" s="73"/>
    </row>
    <row r="13" spans="2:12">
      <c r="B13" s="182" t="s">
        <v>6</v>
      </c>
      <c r="C13" s="240" t="s">
        <v>7</v>
      </c>
      <c r="D13" s="380">
        <v>374602.87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26449.37</v>
      </c>
      <c r="E14" s="381">
        <f>E15</f>
        <v>0</v>
      </c>
    </row>
    <row r="15" spans="2:12">
      <c r="B15" s="182" t="s">
        <v>103</v>
      </c>
      <c r="C15" s="240" t="s">
        <v>11</v>
      </c>
      <c r="D15" s="380">
        <v>26449.37</v>
      </c>
      <c r="E15" s="381">
        <v>0</v>
      </c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255272</v>
      </c>
      <c r="E17" s="385">
        <f>E18</f>
        <v>433058.11</v>
      </c>
    </row>
    <row r="18" spans="2:11">
      <c r="B18" s="182" t="s">
        <v>4</v>
      </c>
      <c r="C18" s="240" t="s">
        <v>11</v>
      </c>
      <c r="D18" s="382">
        <v>255272</v>
      </c>
      <c r="E18" s="383">
        <v>433058.11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170391445.96000001</v>
      </c>
      <c r="E21" s="389">
        <f>E11-E17</f>
        <v>190744396.84999999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197826554.13000003</v>
      </c>
      <c r="E26" s="391">
        <f>D21</f>
        <v>170391445.96000001</v>
      </c>
      <c r="I26" s="162"/>
    </row>
    <row r="27" spans="2:11">
      <c r="B27" s="9" t="s">
        <v>17</v>
      </c>
      <c r="C27" s="10" t="s">
        <v>108</v>
      </c>
      <c r="D27" s="392">
        <v>-2305673.8900000006</v>
      </c>
      <c r="E27" s="365">
        <v>-5851080.4799999893</v>
      </c>
      <c r="F27" s="73"/>
      <c r="G27" s="243"/>
      <c r="H27" s="243"/>
      <c r="I27" s="216"/>
    </row>
    <row r="28" spans="2:11">
      <c r="B28" s="9" t="s">
        <v>18</v>
      </c>
      <c r="C28" s="10" t="s">
        <v>19</v>
      </c>
      <c r="D28" s="392">
        <v>10661039.459999999</v>
      </c>
      <c r="E28" s="366">
        <v>9828128.4200000111</v>
      </c>
      <c r="F28" s="73"/>
      <c r="G28" s="243"/>
      <c r="H28" s="243"/>
      <c r="I28" s="216"/>
    </row>
    <row r="29" spans="2:11">
      <c r="B29" s="190" t="s">
        <v>4</v>
      </c>
      <c r="C29" s="183" t="s">
        <v>20</v>
      </c>
      <c r="D29" s="393">
        <v>9925953.1899999995</v>
      </c>
      <c r="E29" s="367">
        <v>9156937.7799999993</v>
      </c>
      <c r="F29" s="73"/>
      <c r="G29" s="243"/>
      <c r="H29" s="243"/>
      <c r="I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216"/>
    </row>
    <row r="31" spans="2:11">
      <c r="B31" s="190" t="s">
        <v>8</v>
      </c>
      <c r="C31" s="183" t="s">
        <v>22</v>
      </c>
      <c r="D31" s="393">
        <v>735086.27000000014</v>
      </c>
      <c r="E31" s="367">
        <v>671190.64000001166</v>
      </c>
      <c r="F31" s="73"/>
      <c r="G31" s="243"/>
      <c r="H31" s="243"/>
      <c r="I31" s="216"/>
    </row>
    <row r="32" spans="2:11">
      <c r="B32" s="94" t="s">
        <v>23</v>
      </c>
      <c r="C32" s="11" t="s">
        <v>24</v>
      </c>
      <c r="D32" s="392">
        <v>12966713.35</v>
      </c>
      <c r="E32" s="366">
        <v>15679208.9</v>
      </c>
      <c r="F32" s="73"/>
      <c r="G32" s="243"/>
      <c r="H32" s="243"/>
      <c r="I32" s="216"/>
    </row>
    <row r="33" spans="2:10">
      <c r="B33" s="190" t="s">
        <v>4</v>
      </c>
      <c r="C33" s="183" t="s">
        <v>25</v>
      </c>
      <c r="D33" s="393">
        <v>10124892.380000001</v>
      </c>
      <c r="E33" s="367">
        <v>13537264.75</v>
      </c>
      <c r="F33" s="73"/>
      <c r="G33" s="243"/>
      <c r="H33" s="243"/>
      <c r="I33" s="216"/>
    </row>
    <row r="34" spans="2:10">
      <c r="B34" s="190" t="s">
        <v>6</v>
      </c>
      <c r="C34" s="183" t="s">
        <v>26</v>
      </c>
      <c r="D34" s="393">
        <v>268712.61</v>
      </c>
      <c r="E34" s="367">
        <v>250860.82</v>
      </c>
      <c r="F34" s="73"/>
      <c r="G34" s="243"/>
      <c r="H34" s="243"/>
      <c r="I34" s="216"/>
    </row>
    <row r="35" spans="2:10">
      <c r="B35" s="190" t="s">
        <v>8</v>
      </c>
      <c r="C35" s="183" t="s">
        <v>27</v>
      </c>
      <c r="D35" s="393">
        <v>1796218.51</v>
      </c>
      <c r="E35" s="367">
        <v>1809740.9100000001</v>
      </c>
      <c r="F35" s="73"/>
      <c r="G35" s="243"/>
      <c r="H35" s="243"/>
      <c r="I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216"/>
    </row>
    <row r="39" spans="2:10">
      <c r="B39" s="191" t="s">
        <v>33</v>
      </c>
      <c r="C39" s="192" t="s">
        <v>34</v>
      </c>
      <c r="D39" s="394">
        <v>776889.85</v>
      </c>
      <c r="E39" s="368">
        <v>81342.420000000013</v>
      </c>
      <c r="F39" s="73"/>
      <c r="G39" s="243"/>
      <c r="H39" s="243"/>
      <c r="I39" s="216"/>
    </row>
    <row r="40" spans="2:10" ht="13.5" thickBot="1">
      <c r="B40" s="99" t="s">
        <v>35</v>
      </c>
      <c r="C40" s="100" t="s">
        <v>36</v>
      </c>
      <c r="D40" s="395">
        <v>-30399546.710000001</v>
      </c>
      <c r="E40" s="396">
        <v>26204031.369999997</v>
      </c>
      <c r="I40" s="162"/>
    </row>
    <row r="41" spans="2:10" ht="13.5" thickBot="1">
      <c r="B41" s="101" t="s">
        <v>37</v>
      </c>
      <c r="C41" s="102" t="s">
        <v>38</v>
      </c>
      <c r="D41" s="397">
        <v>165121333.53</v>
      </c>
      <c r="E41" s="389">
        <f>E26+E27+E40</f>
        <v>190744396.85000002</v>
      </c>
      <c r="F41" s="78"/>
      <c r="G41" s="68"/>
      <c r="I41" s="162"/>
    </row>
    <row r="42" spans="2:10">
      <c r="B42" s="95"/>
      <c r="C42" s="95"/>
      <c r="D42" s="96"/>
      <c r="E42" s="96"/>
      <c r="F42" s="78"/>
    </row>
    <row r="43" spans="2:10" ht="13.5">
      <c r="B43" s="461" t="s">
        <v>60</v>
      </c>
      <c r="C43" s="462"/>
      <c r="D43" s="462"/>
      <c r="E43" s="462"/>
    </row>
    <row r="44" spans="2:10" ht="15.75" customHeight="1" thickBot="1">
      <c r="B44" s="459" t="s">
        <v>118</v>
      </c>
      <c r="C44" s="463"/>
      <c r="D44" s="463"/>
      <c r="E44" s="46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</row>
    <row r="46" spans="2:10">
      <c r="B46" s="13" t="s">
        <v>18</v>
      </c>
      <c r="C46" s="30" t="s">
        <v>109</v>
      </c>
      <c r="D46" s="103"/>
      <c r="E46" s="28"/>
    </row>
    <row r="47" spans="2:10">
      <c r="B47" s="193" t="s">
        <v>4</v>
      </c>
      <c r="C47" s="194" t="s">
        <v>40</v>
      </c>
      <c r="D47" s="417">
        <v>8574667.7223000005</v>
      </c>
      <c r="E47" s="307">
        <v>8369120.7412</v>
      </c>
      <c r="G47" s="154"/>
    </row>
    <row r="48" spans="2:10">
      <c r="B48" s="195" t="s">
        <v>6</v>
      </c>
      <c r="C48" s="196" t="s">
        <v>41</v>
      </c>
      <c r="D48" s="417">
        <v>8418763.0724999998</v>
      </c>
      <c r="E48" s="307">
        <v>8126719.8606000002</v>
      </c>
      <c r="J48" s="161"/>
    </row>
    <row r="49" spans="2:7">
      <c r="B49" s="122" t="s">
        <v>23</v>
      </c>
      <c r="C49" s="126" t="s">
        <v>110</v>
      </c>
      <c r="D49" s="418"/>
      <c r="E49" s="280"/>
    </row>
    <row r="50" spans="2:7">
      <c r="B50" s="193" t="s">
        <v>4</v>
      </c>
      <c r="C50" s="194" t="s">
        <v>40</v>
      </c>
      <c r="D50" s="417">
        <v>23.071000000000002</v>
      </c>
      <c r="E50" s="281">
        <v>20.359500000000001</v>
      </c>
      <c r="G50" s="181"/>
    </row>
    <row r="51" spans="2:7">
      <c r="B51" s="193" t="s">
        <v>6</v>
      </c>
      <c r="C51" s="194" t="s">
        <v>111</v>
      </c>
      <c r="D51" s="417">
        <v>18.942399999999999</v>
      </c>
      <c r="E51" s="281">
        <v>20.359500000000001</v>
      </c>
      <c r="G51" s="181"/>
    </row>
    <row r="52" spans="2:7">
      <c r="B52" s="193" t="s">
        <v>8</v>
      </c>
      <c r="C52" s="194" t="s">
        <v>112</v>
      </c>
      <c r="D52" s="417">
        <v>23.348700000000001</v>
      </c>
      <c r="E52" s="281">
        <v>23.471299999999999</v>
      </c>
    </row>
    <row r="53" spans="2:7" ht="13.5" thickBot="1">
      <c r="B53" s="197" t="s">
        <v>9</v>
      </c>
      <c r="C53" s="198" t="s">
        <v>41</v>
      </c>
      <c r="D53" s="308">
        <v>19.613500000000002</v>
      </c>
      <c r="E53" s="267">
        <v>23.471299999999999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191177454.96000001</v>
      </c>
      <c r="E58" s="31">
        <f>D58/E21</f>
        <v>1.0022703582236314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5.5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81">
        <f>E12-2160.51</f>
        <v>191175294.45000002</v>
      </c>
      <c r="E64" s="82">
        <f>D64/E21</f>
        <v>1.0022590314951105</v>
      </c>
      <c r="G64" s="73"/>
    </row>
    <row r="65" spans="2:7">
      <c r="B65" s="21" t="s">
        <v>33</v>
      </c>
      <c r="C65" s="22" t="s">
        <v>115</v>
      </c>
      <c r="D65" s="81">
        <v>0</v>
      </c>
      <c r="E65" s="82">
        <v>0</v>
      </c>
      <c r="G65" s="73"/>
    </row>
    <row r="66" spans="2:7">
      <c r="B66" s="21" t="s">
        <v>50</v>
      </c>
      <c r="C66" s="22" t="s">
        <v>51</v>
      </c>
      <c r="D66" s="81">
        <v>0</v>
      </c>
      <c r="E66" s="82">
        <v>0</v>
      </c>
    </row>
    <row r="67" spans="2:7">
      <c r="B67" s="14" t="s">
        <v>52</v>
      </c>
      <c r="C67" s="15" t="s">
        <v>53</v>
      </c>
      <c r="D67" s="79">
        <v>0</v>
      </c>
      <c r="E67" s="80">
        <v>0</v>
      </c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09">
        <v>2160.5100000000002</v>
      </c>
      <c r="E69" s="80">
        <f>D69/E21</f>
        <v>1.1326728520885516E-5</v>
      </c>
    </row>
    <row r="70" spans="2:7">
      <c r="B70" s="114" t="s">
        <v>58</v>
      </c>
      <c r="C70" s="11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82">
        <f>D71/E21</f>
        <v>0</v>
      </c>
    </row>
    <row r="72" spans="2:7">
      <c r="B72" s="118" t="s">
        <v>60</v>
      </c>
      <c r="C72" s="119" t="s">
        <v>63</v>
      </c>
      <c r="D72" s="120">
        <f>E14</f>
        <v>0</v>
      </c>
      <c r="E72" s="349">
        <f>D72/E21</f>
        <v>0</v>
      </c>
    </row>
    <row r="73" spans="2:7">
      <c r="B73" s="23" t="s">
        <v>62</v>
      </c>
      <c r="C73" s="24" t="s">
        <v>65</v>
      </c>
      <c r="D73" s="25">
        <f>E17</f>
        <v>433058.11</v>
      </c>
      <c r="E73" s="26">
        <f>D73/E21</f>
        <v>2.270358223631354E-3</v>
      </c>
    </row>
    <row r="74" spans="2:7">
      <c r="B74" s="122" t="s">
        <v>64</v>
      </c>
      <c r="C74" s="123" t="s">
        <v>66</v>
      </c>
      <c r="D74" s="124">
        <f>D58+D71+D72-D73</f>
        <v>190744396.84999999</v>
      </c>
      <c r="E74" s="67">
        <f>E58+E71+E72-E73</f>
        <v>1</v>
      </c>
    </row>
    <row r="75" spans="2:7">
      <c r="B75" s="14" t="s">
        <v>4</v>
      </c>
      <c r="C75" s="15" t="s">
        <v>67</v>
      </c>
      <c r="D75" s="79">
        <f>D74</f>
        <v>190744396.84999999</v>
      </c>
      <c r="E75" s="80">
        <f>E74</f>
        <v>1</v>
      </c>
    </row>
    <row r="76" spans="2:7">
      <c r="B76" s="14" t="s">
        <v>6</v>
      </c>
      <c r="C76" s="15" t="s">
        <v>116</v>
      </c>
      <c r="D76" s="79">
        <v>0</v>
      </c>
      <c r="E76" s="80">
        <v>0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5.85546875" customWidth="1"/>
    <col min="11" max="11" width="16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143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878184.01</v>
      </c>
      <c r="E11" s="377">
        <f>SUM(E12:E14)</f>
        <v>858022.54</v>
      </c>
      <c r="H11" s="73"/>
    </row>
    <row r="12" spans="2:12">
      <c r="B12" s="182" t="s">
        <v>4</v>
      </c>
      <c r="C12" s="240" t="s">
        <v>5</v>
      </c>
      <c r="D12" s="378">
        <v>825055.83</v>
      </c>
      <c r="E12" s="379">
        <f>796993.24+61029.3</f>
        <v>858022.54</v>
      </c>
      <c r="H12" s="73"/>
    </row>
    <row r="13" spans="2:12">
      <c r="B13" s="182" t="s">
        <v>6</v>
      </c>
      <c r="C13" s="240" t="s">
        <v>7</v>
      </c>
      <c r="D13" s="380">
        <v>53128.18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0</v>
      </c>
      <c r="E14" s="381">
        <v>0</v>
      </c>
      <c r="H14" s="73"/>
    </row>
    <row r="15" spans="2:12">
      <c r="B15" s="182" t="s">
        <v>103</v>
      </c>
      <c r="C15" s="240" t="s">
        <v>11</v>
      </c>
      <c r="D15" s="380">
        <v>0</v>
      </c>
      <c r="E15" s="381">
        <v>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172.87</v>
      </c>
      <c r="E17" s="385">
        <f>E18</f>
        <v>121.55</v>
      </c>
    </row>
    <row r="18" spans="2:11">
      <c r="B18" s="182" t="s">
        <v>4</v>
      </c>
      <c r="C18" s="240" t="s">
        <v>11</v>
      </c>
      <c r="D18" s="382">
        <v>172.87</v>
      </c>
      <c r="E18" s="383">
        <v>121.55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878011.14</v>
      </c>
      <c r="E21" s="389">
        <f>E11-E17</f>
        <v>857900.99</v>
      </c>
      <c r="F21" s="78"/>
      <c r="G21" s="78"/>
      <c r="H21" s="169"/>
      <c r="J21" s="228"/>
      <c r="K21" s="68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408">
        <v>1189469.55</v>
      </c>
      <c r="E26" s="391">
        <f>D21</f>
        <v>878011.14</v>
      </c>
      <c r="G26" s="75"/>
    </row>
    <row r="27" spans="2:11">
      <c r="B27" s="9" t="s">
        <v>17</v>
      </c>
      <c r="C27" s="10" t="s">
        <v>108</v>
      </c>
      <c r="D27" s="409">
        <v>-149062.45000000001</v>
      </c>
      <c r="E27" s="365">
        <v>-82877.819999999992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9">
        <v>0</v>
      </c>
      <c r="E28" s="366">
        <v>0.04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78">
        <v>0</v>
      </c>
      <c r="E29" s="367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78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78">
        <v>0</v>
      </c>
      <c r="E31" s="367">
        <v>0.04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9">
        <v>149062.45000000001</v>
      </c>
      <c r="E32" s="366">
        <v>82877.859999999986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378">
        <v>125843.41</v>
      </c>
      <c r="E33" s="367">
        <v>54186.23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78">
        <v>10701.04</v>
      </c>
      <c r="E34" s="367">
        <v>17054.689999999999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78">
        <v>2544.04</v>
      </c>
      <c r="E35" s="367">
        <v>3431.04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78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78">
        <v>9973.9600000000009</v>
      </c>
      <c r="E37" s="367">
        <v>8205.9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78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10">
        <v>0</v>
      </c>
      <c r="E39" s="368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11">
        <v>-129392.13</v>
      </c>
      <c r="E40" s="396">
        <v>62767.669999999984</v>
      </c>
      <c r="G40" s="75"/>
      <c r="H40" s="272"/>
    </row>
    <row r="41" spans="2:10" ht="13.5" thickBot="1">
      <c r="B41" s="101" t="s">
        <v>37</v>
      </c>
      <c r="C41" s="102" t="s">
        <v>38</v>
      </c>
      <c r="D41" s="388">
        <v>911014.97000000009</v>
      </c>
      <c r="E41" s="389">
        <f>E26+E27+E40</f>
        <v>857900.99</v>
      </c>
      <c r="F41" s="78"/>
      <c r="G41" s="75"/>
      <c r="H41" s="243"/>
      <c r="I41" s="73"/>
      <c r="J41" s="73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448">
        <v>8903.0152999999991</v>
      </c>
      <c r="E47" s="1">
        <v>7330.6455999999998</v>
      </c>
      <c r="G47" s="73"/>
    </row>
    <row r="48" spans="2:10">
      <c r="B48" s="195" t="s">
        <v>6</v>
      </c>
      <c r="C48" s="196" t="s">
        <v>41</v>
      </c>
      <c r="D48" s="449">
        <v>7740.0979000000007</v>
      </c>
      <c r="E48" s="447">
        <v>6661.5419000000002</v>
      </c>
      <c r="G48" s="161"/>
    </row>
    <row r="49" spans="2:7">
      <c r="B49" s="122" t="s">
        <v>23</v>
      </c>
      <c r="C49" s="126" t="s">
        <v>110</v>
      </c>
      <c r="D49" s="418"/>
      <c r="E49" s="127"/>
    </row>
    <row r="50" spans="2:7">
      <c r="B50" s="193" t="s">
        <v>4</v>
      </c>
      <c r="C50" s="194" t="s">
        <v>40</v>
      </c>
      <c r="D50" s="448">
        <v>133.60300000000001</v>
      </c>
      <c r="E50" s="283">
        <v>119.7727</v>
      </c>
      <c r="G50" s="181"/>
    </row>
    <row r="51" spans="2:7">
      <c r="B51" s="193" t="s">
        <v>6</v>
      </c>
      <c r="C51" s="194" t="s">
        <v>111</v>
      </c>
      <c r="D51" s="448">
        <v>116.3219</v>
      </c>
      <c r="E51" s="283">
        <v>118.5517</v>
      </c>
      <c r="G51" s="181"/>
    </row>
    <row r="52" spans="2:7">
      <c r="B52" s="193" t="s">
        <v>8</v>
      </c>
      <c r="C52" s="194" t="s">
        <v>112</v>
      </c>
      <c r="D52" s="448">
        <v>135.12900000000002</v>
      </c>
      <c r="E52" s="283">
        <v>130.4161</v>
      </c>
    </row>
    <row r="53" spans="2:7" ht="12.75" customHeight="1" thickBot="1">
      <c r="B53" s="197" t="s">
        <v>9</v>
      </c>
      <c r="C53" s="198" t="s">
        <v>41</v>
      </c>
      <c r="D53" s="450">
        <v>117.70070000000001</v>
      </c>
      <c r="E53" s="267">
        <v>128.7841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858022.54</v>
      </c>
      <c r="E58" s="31">
        <f>D58/E21</f>
        <v>1.0001416830163583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5.5">
      <c r="B60" s="1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E12-61029.3</f>
        <v>796993.24</v>
      </c>
      <c r="E64" s="82">
        <f>D64/E21</f>
        <v>0.92900375368490951</v>
      </c>
    </row>
    <row r="65" spans="2:7">
      <c r="B65" s="21" t="s">
        <v>33</v>
      </c>
      <c r="C65" s="22" t="s">
        <v>115</v>
      </c>
      <c r="D65" s="81">
        <v>0</v>
      </c>
      <c r="E65" s="82">
        <v>0</v>
      </c>
    </row>
    <row r="66" spans="2:7">
      <c r="B66" s="21" t="s">
        <v>50</v>
      </c>
      <c r="C66" s="22" t="s">
        <v>51</v>
      </c>
      <c r="D66" s="81">
        <v>0</v>
      </c>
      <c r="E66" s="82">
        <v>0</v>
      </c>
    </row>
    <row r="67" spans="2:7">
      <c r="B67" s="14" t="s">
        <v>52</v>
      </c>
      <c r="C67" s="15" t="s">
        <v>53</v>
      </c>
      <c r="D67" s="79">
        <v>0</v>
      </c>
      <c r="E67" s="80">
        <v>0</v>
      </c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15">
        <v>61029.3</v>
      </c>
      <c r="E69" s="80">
        <f>D69/E21</f>
        <v>7.1137929331448843E-2</v>
      </c>
    </row>
    <row r="70" spans="2:7">
      <c r="B70" s="114" t="s">
        <v>58</v>
      </c>
      <c r="C70" s="11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  <c r="G71" s="73"/>
    </row>
    <row r="72" spans="2:7">
      <c r="B72" s="118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7">
      <c r="B73" s="23" t="s">
        <v>62</v>
      </c>
      <c r="C73" s="24" t="s">
        <v>65</v>
      </c>
      <c r="D73" s="25">
        <f>E17</f>
        <v>121.55</v>
      </c>
      <c r="E73" s="26">
        <f>D73/E21</f>
        <v>1.4168301635833291E-4</v>
      </c>
    </row>
    <row r="74" spans="2:7">
      <c r="B74" s="122" t="s">
        <v>64</v>
      </c>
      <c r="C74" s="123" t="s">
        <v>66</v>
      </c>
      <c r="D74" s="124">
        <f>D58-D73+D71+D72</f>
        <v>857900.99</v>
      </c>
      <c r="E74" s="67">
        <f>E58+E71+E72-E73</f>
        <v>1</v>
      </c>
    </row>
    <row r="75" spans="2:7">
      <c r="B75" s="14" t="s">
        <v>4</v>
      </c>
      <c r="C75" s="15" t="s">
        <v>67</v>
      </c>
      <c r="D75" s="79">
        <f>D74-D76</f>
        <v>534976.34</v>
      </c>
      <c r="E75" s="80">
        <f>D75/E21</f>
        <v>0.62358750745817415</v>
      </c>
      <c r="G75" s="181"/>
    </row>
    <row r="76" spans="2:7">
      <c r="B76" s="14" t="s">
        <v>6</v>
      </c>
      <c r="C76" s="15" t="s">
        <v>116</v>
      </c>
      <c r="D76" s="79">
        <v>322924.65000000002</v>
      </c>
      <c r="E76" s="80">
        <f>D76/E21</f>
        <v>0.37641249254182585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9"/>
  <dimension ref="A1:N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28515625" customWidth="1"/>
    <col min="9" max="9" width="13.28515625" customWidth="1"/>
    <col min="10" max="10" width="13.5703125" customWidth="1"/>
    <col min="11" max="11" width="15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 customHeight="1">
      <c r="B6" s="458" t="s">
        <v>144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1992477.2</v>
      </c>
      <c r="E11" s="377">
        <f>SUM(E12:E14)</f>
        <v>1781012.8800000001</v>
      </c>
      <c r="H11" s="73"/>
    </row>
    <row r="12" spans="2:12">
      <c r="B12" s="108" t="s">
        <v>4</v>
      </c>
      <c r="C12" s="205" t="s">
        <v>5</v>
      </c>
      <c r="D12" s="378">
        <v>1918135.45</v>
      </c>
      <c r="E12" s="379">
        <f>1754430.62+26582.26</f>
        <v>1781012.8800000001</v>
      </c>
      <c r="H12" s="73"/>
    </row>
    <row r="13" spans="2:12">
      <c r="B13" s="108" t="s">
        <v>6</v>
      </c>
      <c r="C13" s="205" t="s">
        <v>7</v>
      </c>
      <c r="D13" s="380">
        <v>74341.75</v>
      </c>
      <c r="E13" s="381">
        <v>0</v>
      </c>
      <c r="H13" s="73"/>
    </row>
    <row r="14" spans="2:12">
      <c r="B14" s="108" t="s">
        <v>8</v>
      </c>
      <c r="C14" s="205" t="s">
        <v>10</v>
      </c>
      <c r="D14" s="380">
        <v>0</v>
      </c>
      <c r="E14" s="381">
        <v>0</v>
      </c>
      <c r="H14" s="73"/>
    </row>
    <row r="15" spans="2:12">
      <c r="B15" s="108" t="s">
        <v>103</v>
      </c>
      <c r="C15" s="205" t="s">
        <v>11</v>
      </c>
      <c r="D15" s="380">
        <v>0</v>
      </c>
      <c r="E15" s="381">
        <v>0</v>
      </c>
      <c r="H15" s="73"/>
    </row>
    <row r="16" spans="2:12">
      <c r="B16" s="109" t="s">
        <v>104</v>
      </c>
      <c r="C16" s="206" t="s">
        <v>12</v>
      </c>
      <c r="D16" s="382">
        <v>0</v>
      </c>
      <c r="E16" s="383">
        <v>0</v>
      </c>
      <c r="H16" s="73"/>
    </row>
    <row r="17" spans="2:14">
      <c r="B17" s="9" t="s">
        <v>13</v>
      </c>
      <c r="C17" s="207" t="s">
        <v>65</v>
      </c>
      <c r="D17" s="384">
        <v>210.29</v>
      </c>
      <c r="E17" s="385">
        <f>E18</f>
        <v>248.84</v>
      </c>
    </row>
    <row r="18" spans="2:14">
      <c r="B18" s="108" t="s">
        <v>4</v>
      </c>
      <c r="C18" s="205" t="s">
        <v>11</v>
      </c>
      <c r="D18" s="382">
        <v>210.29</v>
      </c>
      <c r="E18" s="383">
        <v>248.84</v>
      </c>
    </row>
    <row r="19" spans="2:14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4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4" ht="13.5" thickBot="1">
      <c r="B21" s="468" t="s">
        <v>107</v>
      </c>
      <c r="C21" s="469"/>
      <c r="D21" s="388">
        <v>1992266.91</v>
      </c>
      <c r="E21" s="389">
        <f>E11-E17</f>
        <v>1780764.04</v>
      </c>
      <c r="F21" s="78"/>
      <c r="G21" s="78"/>
      <c r="H21" s="169"/>
      <c r="J21" s="227"/>
      <c r="K21" s="169"/>
      <c r="N21" s="181"/>
    </row>
    <row r="22" spans="2:14">
      <c r="B22" s="4"/>
      <c r="C22" s="7"/>
      <c r="D22" s="8"/>
      <c r="E22" s="8"/>
      <c r="G22" s="73"/>
    </row>
    <row r="23" spans="2:14" ht="13.5">
      <c r="B23" s="460" t="s">
        <v>101</v>
      </c>
      <c r="C23" s="472"/>
      <c r="D23" s="472"/>
      <c r="E23" s="472"/>
      <c r="G23" s="73"/>
    </row>
    <row r="24" spans="2:14" ht="15.75" customHeight="1" thickBot="1">
      <c r="B24" s="459" t="s">
        <v>102</v>
      </c>
      <c r="C24" s="473"/>
      <c r="D24" s="473"/>
      <c r="E24" s="473"/>
    </row>
    <row r="25" spans="2:14" ht="13.5" thickBot="1">
      <c r="B25" s="90"/>
      <c r="C25" s="5" t="s">
        <v>2</v>
      </c>
      <c r="D25" s="274" t="s">
        <v>243</v>
      </c>
      <c r="E25" s="246" t="s">
        <v>242</v>
      </c>
    </row>
    <row r="26" spans="2:14">
      <c r="B26" s="97" t="s">
        <v>15</v>
      </c>
      <c r="C26" s="98" t="s">
        <v>16</v>
      </c>
      <c r="D26" s="390">
        <v>3167575.9600000004</v>
      </c>
      <c r="E26" s="391">
        <f>D21</f>
        <v>1992266.91</v>
      </c>
      <c r="G26" s="75"/>
    </row>
    <row r="27" spans="2:14">
      <c r="B27" s="9" t="s">
        <v>17</v>
      </c>
      <c r="C27" s="10" t="s">
        <v>108</v>
      </c>
      <c r="D27" s="392">
        <v>-278946.23000000004</v>
      </c>
      <c r="E27" s="365">
        <v>-273707.45999999996</v>
      </c>
      <c r="F27" s="73"/>
      <c r="G27" s="243"/>
      <c r="H27" s="243"/>
      <c r="I27" s="73"/>
      <c r="J27" s="75"/>
    </row>
    <row r="28" spans="2:14">
      <c r="B28" s="9" t="s">
        <v>18</v>
      </c>
      <c r="C28" s="10" t="s">
        <v>19</v>
      </c>
      <c r="D28" s="392">
        <v>0</v>
      </c>
      <c r="E28" s="366">
        <v>5228.0200000000004</v>
      </c>
      <c r="F28" s="73"/>
      <c r="G28" s="243"/>
      <c r="H28" s="243"/>
      <c r="I28" s="73"/>
      <c r="J28" s="75"/>
    </row>
    <row r="29" spans="2:14">
      <c r="B29" s="106" t="s">
        <v>4</v>
      </c>
      <c r="C29" s="6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4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4">
      <c r="B31" s="106" t="s">
        <v>8</v>
      </c>
      <c r="C31" s="6" t="s">
        <v>22</v>
      </c>
      <c r="D31" s="393">
        <v>0</v>
      </c>
      <c r="E31" s="367">
        <v>5228.0200000000004</v>
      </c>
      <c r="F31" s="73"/>
      <c r="G31" s="243"/>
      <c r="H31" s="243"/>
      <c r="I31" s="73"/>
      <c r="J31" s="75"/>
    </row>
    <row r="32" spans="2:14">
      <c r="B32" s="94" t="s">
        <v>23</v>
      </c>
      <c r="C32" s="11" t="s">
        <v>24</v>
      </c>
      <c r="D32" s="392">
        <v>278946.23000000004</v>
      </c>
      <c r="E32" s="366">
        <v>278935.48</v>
      </c>
      <c r="F32" s="73"/>
      <c r="G32" s="243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190734.7</v>
      </c>
      <c r="E33" s="367">
        <v>246121.63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40980.82</v>
      </c>
      <c r="E34" s="367">
        <v>4712.78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20021.439999999999</v>
      </c>
      <c r="E35" s="367">
        <v>11043.08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27209.27</v>
      </c>
      <c r="E37" s="367">
        <v>17057.97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0</v>
      </c>
      <c r="E39" s="368">
        <v>0.02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-173948.95</v>
      </c>
      <c r="E40" s="396">
        <v>62204.59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2714680.7800000003</v>
      </c>
      <c r="E41" s="389">
        <f>E26+E27+E40</f>
        <v>1780764.04</v>
      </c>
      <c r="F41" s="78"/>
      <c r="G41" s="75"/>
      <c r="H41" s="24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28697.553199999998</v>
      </c>
      <c r="E47" s="283">
        <v>18592.299599999998</v>
      </c>
      <c r="G47" s="73"/>
    </row>
    <row r="48" spans="2:10">
      <c r="B48" s="125" t="s">
        <v>6</v>
      </c>
      <c r="C48" s="22" t="s">
        <v>41</v>
      </c>
      <c r="D48" s="310">
        <v>26096.403699999999</v>
      </c>
      <c r="E48" s="327">
        <v>16100.501400000001</v>
      </c>
      <c r="G48" s="161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110.3779</v>
      </c>
      <c r="E50" s="283">
        <v>107.1555</v>
      </c>
      <c r="G50" s="181"/>
    </row>
    <row r="51" spans="2:7">
      <c r="B51" s="104" t="s">
        <v>6</v>
      </c>
      <c r="C51" s="15" t="s">
        <v>111</v>
      </c>
      <c r="D51" s="310">
        <v>103.40090000000001</v>
      </c>
      <c r="E51" s="283">
        <v>107.1555</v>
      </c>
      <c r="G51" s="181"/>
    </row>
    <row r="52" spans="2:7">
      <c r="B52" s="104" t="s">
        <v>8</v>
      </c>
      <c r="C52" s="15" t="s">
        <v>112</v>
      </c>
      <c r="D52" s="310">
        <v>110.37790000000001</v>
      </c>
      <c r="E52" s="283">
        <v>111.07</v>
      </c>
    </row>
    <row r="53" spans="2:7" ht="13.5" customHeight="1" thickBot="1">
      <c r="B53" s="105" t="s">
        <v>9</v>
      </c>
      <c r="C53" s="17" t="s">
        <v>41</v>
      </c>
      <c r="D53" s="308">
        <v>104.02510000000001</v>
      </c>
      <c r="E53" s="267">
        <v>110.60300000000001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1781012.8800000001</v>
      </c>
      <c r="E58" s="31">
        <f>D58/E21</f>
        <v>1.0001397377723329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314">
        <f>E12-26582.26</f>
        <v>1754430.62</v>
      </c>
      <c r="E64" s="82">
        <f>D64/E21</f>
        <v>0.98521229123651899</v>
      </c>
    </row>
    <row r="65" spans="2:7">
      <c r="B65" s="125" t="s">
        <v>33</v>
      </c>
      <c r="C65" s="22" t="s">
        <v>115</v>
      </c>
      <c r="D65" s="81">
        <v>0</v>
      </c>
      <c r="E65" s="82">
        <v>0</v>
      </c>
      <c r="G65" s="73"/>
    </row>
    <row r="66" spans="2:7">
      <c r="B66" s="125" t="s">
        <v>50</v>
      </c>
      <c r="C66" s="22" t="s">
        <v>51</v>
      </c>
      <c r="D66" s="81">
        <v>0</v>
      </c>
      <c r="E66" s="82">
        <v>0</v>
      </c>
    </row>
    <row r="67" spans="2:7">
      <c r="B67" s="104" t="s">
        <v>52</v>
      </c>
      <c r="C67" s="15" t="s">
        <v>53</v>
      </c>
      <c r="D67" s="79">
        <v>0</v>
      </c>
      <c r="E67" s="80">
        <v>0</v>
      </c>
    </row>
    <row r="68" spans="2:7">
      <c r="B68" s="104" t="s">
        <v>54</v>
      </c>
      <c r="C68" s="15" t="s">
        <v>55</v>
      </c>
      <c r="D68" s="79">
        <v>0</v>
      </c>
      <c r="E68" s="80">
        <v>0</v>
      </c>
    </row>
    <row r="69" spans="2:7">
      <c r="B69" s="104" t="s">
        <v>56</v>
      </c>
      <c r="C69" s="15" t="s">
        <v>57</v>
      </c>
      <c r="D69" s="315">
        <v>26582.26</v>
      </c>
      <c r="E69" s="80">
        <f>D69/E21</f>
        <v>1.4927446535813918E-2</v>
      </c>
    </row>
    <row r="70" spans="2:7">
      <c r="B70" s="131" t="s">
        <v>58</v>
      </c>
      <c r="C70" s="115" t="s">
        <v>59</v>
      </c>
      <c r="D70" s="239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33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7">
      <c r="B73" s="134" t="s">
        <v>62</v>
      </c>
      <c r="C73" s="24" t="s">
        <v>65</v>
      </c>
      <c r="D73" s="25">
        <f>E17</f>
        <v>248.84</v>
      </c>
      <c r="E73" s="26">
        <f>D73/E21</f>
        <v>1.3973777233282407E-4</v>
      </c>
    </row>
    <row r="74" spans="2:7">
      <c r="B74" s="132" t="s">
        <v>64</v>
      </c>
      <c r="C74" s="123" t="s">
        <v>66</v>
      </c>
      <c r="D74" s="124">
        <f>D58-D73+D71+D72</f>
        <v>1780764.04</v>
      </c>
      <c r="E74" s="67">
        <f>E58+E72-E73+E71</f>
        <v>1</v>
      </c>
    </row>
    <row r="75" spans="2:7">
      <c r="B75" s="104" t="s">
        <v>4</v>
      </c>
      <c r="C75" s="15" t="s">
        <v>67</v>
      </c>
      <c r="D75" s="79">
        <f>D74</f>
        <v>1780764.04</v>
      </c>
      <c r="E75" s="80">
        <f>D75/E21</f>
        <v>1</v>
      </c>
    </row>
    <row r="76" spans="2:7">
      <c r="B76" s="104" t="s">
        <v>6</v>
      </c>
      <c r="C76" s="15" t="s">
        <v>116</v>
      </c>
      <c r="D76" s="79">
        <v>0</v>
      </c>
      <c r="E76" s="80">
        <f>D76/E21</f>
        <v>0</v>
      </c>
    </row>
    <row r="77" spans="2:7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21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4.7109375" customWidth="1"/>
    <col min="10" max="10" width="13.5703125" customWidth="1"/>
    <col min="11" max="11" width="15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145</v>
      </c>
      <c r="C6" s="458"/>
      <c r="D6" s="458"/>
      <c r="E6" s="458"/>
    </row>
    <row r="7" spans="2:12" ht="14.25">
      <c r="B7" s="174"/>
      <c r="C7" s="174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5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7594.64</v>
      </c>
      <c r="E11" s="377">
        <f>SUM(E12:E14)</f>
        <v>7880.85</v>
      </c>
    </row>
    <row r="12" spans="2:12">
      <c r="B12" s="108" t="s">
        <v>4</v>
      </c>
      <c r="C12" s="205" t="s">
        <v>5</v>
      </c>
      <c r="D12" s="378">
        <v>6225.5300000000007</v>
      </c>
      <c r="E12" s="379">
        <f>7880.85</f>
        <v>7880.85</v>
      </c>
      <c r="G12" s="181"/>
      <c r="H12" s="73"/>
    </row>
    <row r="13" spans="2:12">
      <c r="B13" s="108" t="s">
        <v>6</v>
      </c>
      <c r="C13" s="205" t="s">
        <v>7</v>
      </c>
      <c r="D13" s="380">
        <v>1369.11</v>
      </c>
      <c r="E13" s="381">
        <v>0</v>
      </c>
      <c r="H13" s="73"/>
    </row>
    <row r="14" spans="2:12">
      <c r="B14" s="108" t="s">
        <v>8</v>
      </c>
      <c r="C14" s="205" t="s">
        <v>10</v>
      </c>
      <c r="D14" s="380">
        <v>0</v>
      </c>
      <c r="E14" s="381">
        <v>0</v>
      </c>
      <c r="H14" s="73"/>
    </row>
    <row r="15" spans="2:12">
      <c r="B15" s="108" t="s">
        <v>103</v>
      </c>
      <c r="C15" s="205" t="s">
        <v>11</v>
      </c>
      <c r="D15" s="380">
        <v>0</v>
      </c>
      <c r="E15" s="381">
        <v>0</v>
      </c>
      <c r="H15" s="73"/>
    </row>
    <row r="16" spans="2:12">
      <c r="B16" s="109" t="s">
        <v>104</v>
      </c>
      <c r="C16" s="206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0</v>
      </c>
      <c r="E17" s="385">
        <v>0</v>
      </c>
      <c r="H17" s="73"/>
    </row>
    <row r="18" spans="2:11">
      <c r="B18" s="108" t="s">
        <v>4</v>
      </c>
      <c r="C18" s="205" t="s">
        <v>11</v>
      </c>
      <c r="D18" s="382">
        <v>0</v>
      </c>
      <c r="E18" s="383">
        <v>0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7594.64</v>
      </c>
      <c r="E21" s="389">
        <f>E11</f>
        <v>7880.85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75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18487.990000000002</v>
      </c>
      <c r="E26" s="391">
        <f>D21</f>
        <v>7594.64</v>
      </c>
      <c r="G26" s="75"/>
    </row>
    <row r="27" spans="2:11">
      <c r="B27" s="9" t="s">
        <v>17</v>
      </c>
      <c r="C27" s="10" t="s">
        <v>108</v>
      </c>
      <c r="D27" s="392">
        <v>-8700.84</v>
      </c>
      <c r="E27" s="365">
        <v>-444.12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0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8700.84</v>
      </c>
      <c r="E32" s="366">
        <v>444.12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8563.11</v>
      </c>
      <c r="E33" s="367">
        <v>0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0</v>
      </c>
      <c r="E34" s="367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36.46</v>
      </c>
      <c r="E35" s="367">
        <v>35.130000000000003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101.27</v>
      </c>
      <c r="E37" s="367">
        <v>65.94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0</v>
      </c>
      <c r="E39" s="368">
        <v>343.05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-2268.87</v>
      </c>
      <c r="E40" s="396">
        <v>730.33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7518.2800000000016</v>
      </c>
      <c r="E41" s="389">
        <f>E26+E27+E40</f>
        <v>7880.85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75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137.92699999999999</v>
      </c>
      <c r="E47" s="283">
        <v>65.967799999999997</v>
      </c>
      <c r="G47" s="73"/>
    </row>
    <row r="48" spans="2:10">
      <c r="B48" s="195" t="s">
        <v>6</v>
      </c>
      <c r="C48" s="196" t="s">
        <v>41</v>
      </c>
      <c r="D48" s="310">
        <v>66.8352</v>
      </c>
      <c r="E48" s="327">
        <v>65.115399999999994</v>
      </c>
      <c r="G48" s="219"/>
      <c r="H48" s="181"/>
    </row>
    <row r="49" spans="2:9">
      <c r="B49" s="122" t="s">
        <v>23</v>
      </c>
      <c r="C49" s="126" t="s">
        <v>110</v>
      </c>
      <c r="D49" s="311"/>
      <c r="E49" s="127"/>
      <c r="I49" s="219"/>
    </row>
    <row r="50" spans="2:9">
      <c r="B50" s="193" t="s">
        <v>4</v>
      </c>
      <c r="C50" s="194" t="s">
        <v>40</v>
      </c>
      <c r="D50" s="310">
        <v>134.04179999999999</v>
      </c>
      <c r="E50" s="283">
        <v>115.12649999999999</v>
      </c>
      <c r="G50" s="181"/>
    </row>
    <row r="51" spans="2:9">
      <c r="B51" s="193" t="s">
        <v>6</v>
      </c>
      <c r="C51" s="194" t="s">
        <v>111</v>
      </c>
      <c r="D51" s="310">
        <v>112.0896</v>
      </c>
      <c r="E51" s="283">
        <v>115.1095</v>
      </c>
      <c r="G51" s="218"/>
    </row>
    <row r="52" spans="2:9">
      <c r="B52" s="193" t="s">
        <v>8</v>
      </c>
      <c r="C52" s="194" t="s">
        <v>112</v>
      </c>
      <c r="D52" s="310">
        <v>134.04179999999999</v>
      </c>
      <c r="E52" s="283">
        <v>121.48699999999999</v>
      </c>
    </row>
    <row r="53" spans="2:9" ht="13.5" thickBot="1">
      <c r="B53" s="197" t="s">
        <v>9</v>
      </c>
      <c r="C53" s="198" t="s">
        <v>41</v>
      </c>
      <c r="D53" s="308">
        <v>112.4898</v>
      </c>
      <c r="E53" s="329">
        <v>121.02890000000001</v>
      </c>
      <c r="G53" s="154"/>
    </row>
    <row r="54" spans="2:9">
      <c r="B54" s="199"/>
      <c r="C54" s="200"/>
      <c r="D54" s="113"/>
      <c r="E54" s="113"/>
    </row>
    <row r="55" spans="2:9" ht="13.5">
      <c r="B55" s="461" t="s">
        <v>62</v>
      </c>
      <c r="C55" s="462"/>
      <c r="D55" s="462"/>
      <c r="E55" s="462"/>
    </row>
    <row r="56" spans="2:9" ht="14.25" thickBot="1">
      <c r="B56" s="459" t="s">
        <v>113</v>
      </c>
      <c r="C56" s="463"/>
      <c r="D56" s="463"/>
      <c r="E56" s="463"/>
      <c r="G56" s="237"/>
    </row>
    <row r="57" spans="2:9" ht="23.25" thickBot="1">
      <c r="B57" s="454" t="s">
        <v>42</v>
      </c>
      <c r="C57" s="455"/>
      <c r="D57" s="18" t="s">
        <v>119</v>
      </c>
      <c r="E57" s="19" t="s">
        <v>114</v>
      </c>
    </row>
    <row r="58" spans="2:9">
      <c r="B58" s="20" t="s">
        <v>18</v>
      </c>
      <c r="C58" s="128" t="s">
        <v>43</v>
      </c>
      <c r="D58" s="129">
        <f>SUM(D59:D70)</f>
        <v>7880.85</v>
      </c>
      <c r="E58" s="31">
        <f>D58/E21</f>
        <v>1</v>
      </c>
    </row>
    <row r="59" spans="2:9" ht="25.5">
      <c r="B59" s="125" t="s">
        <v>4</v>
      </c>
      <c r="C59" s="196" t="s">
        <v>44</v>
      </c>
      <c r="D59" s="81">
        <v>0</v>
      </c>
      <c r="E59" s="82">
        <v>0</v>
      </c>
    </row>
    <row r="60" spans="2:9" ht="25.5">
      <c r="B60" s="104" t="s">
        <v>6</v>
      </c>
      <c r="C60" s="194" t="s">
        <v>45</v>
      </c>
      <c r="D60" s="79">
        <v>0</v>
      </c>
      <c r="E60" s="80">
        <v>0</v>
      </c>
    </row>
    <row r="61" spans="2:9">
      <c r="B61" s="104" t="s">
        <v>8</v>
      </c>
      <c r="C61" s="194" t="s">
        <v>46</v>
      </c>
      <c r="D61" s="79">
        <v>0</v>
      </c>
      <c r="E61" s="80">
        <v>0</v>
      </c>
    </row>
    <row r="62" spans="2:9">
      <c r="B62" s="104" t="s">
        <v>9</v>
      </c>
      <c r="C62" s="194" t="s">
        <v>47</v>
      </c>
      <c r="D62" s="79">
        <v>0</v>
      </c>
      <c r="E62" s="80">
        <v>0</v>
      </c>
    </row>
    <row r="63" spans="2:9">
      <c r="B63" s="104" t="s">
        <v>29</v>
      </c>
      <c r="C63" s="194" t="s">
        <v>48</v>
      </c>
      <c r="D63" s="79">
        <v>0</v>
      </c>
      <c r="E63" s="80">
        <v>0</v>
      </c>
    </row>
    <row r="64" spans="2:9">
      <c r="B64" s="125" t="s">
        <v>31</v>
      </c>
      <c r="C64" s="196" t="s">
        <v>49</v>
      </c>
      <c r="D64" s="314">
        <f>E12-1343.14</f>
        <v>6537.71</v>
      </c>
      <c r="E64" s="82">
        <f>D64/E21</f>
        <v>0.82956914546019778</v>
      </c>
    </row>
    <row r="65" spans="2:7">
      <c r="B65" s="125" t="s">
        <v>33</v>
      </c>
      <c r="C65" s="196" t="s">
        <v>115</v>
      </c>
      <c r="D65" s="81">
        <v>0</v>
      </c>
      <c r="E65" s="82">
        <v>0</v>
      </c>
      <c r="G65" s="73"/>
    </row>
    <row r="66" spans="2:7">
      <c r="B66" s="125" t="s">
        <v>50</v>
      </c>
      <c r="C66" s="196" t="s">
        <v>51</v>
      </c>
      <c r="D66" s="81">
        <v>0</v>
      </c>
      <c r="E66" s="82">
        <v>0</v>
      </c>
    </row>
    <row r="67" spans="2:7">
      <c r="B67" s="104" t="s">
        <v>52</v>
      </c>
      <c r="C67" s="194" t="s">
        <v>53</v>
      </c>
      <c r="D67" s="79">
        <v>0</v>
      </c>
      <c r="E67" s="80">
        <v>0</v>
      </c>
    </row>
    <row r="68" spans="2:7">
      <c r="B68" s="104" t="s">
        <v>54</v>
      </c>
      <c r="C68" s="194" t="s">
        <v>55</v>
      </c>
      <c r="D68" s="79">
        <v>0</v>
      </c>
      <c r="E68" s="80">
        <v>0</v>
      </c>
    </row>
    <row r="69" spans="2:7">
      <c r="B69" s="104" t="s">
        <v>56</v>
      </c>
      <c r="C69" s="194" t="s">
        <v>57</v>
      </c>
      <c r="D69" s="315">
        <v>1343.14</v>
      </c>
      <c r="E69" s="80">
        <f>D69/E21</f>
        <v>0.1704308545398022</v>
      </c>
    </row>
    <row r="70" spans="2:7">
      <c r="B70" s="131" t="s">
        <v>58</v>
      </c>
      <c r="C70" s="235" t="s">
        <v>59</v>
      </c>
      <c r="D70" s="116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7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7">
      <c r="B74" s="132" t="s">
        <v>64</v>
      </c>
      <c r="C74" s="123" t="s">
        <v>66</v>
      </c>
      <c r="D74" s="124">
        <f>D58-D73</f>
        <v>7880.85</v>
      </c>
      <c r="E74" s="67">
        <f>E58+E71+E72-E73</f>
        <v>1</v>
      </c>
    </row>
    <row r="75" spans="2:7">
      <c r="B75" s="104" t="s">
        <v>4</v>
      </c>
      <c r="C75" s="194" t="s">
        <v>67</v>
      </c>
      <c r="D75" s="79">
        <f>D74</f>
        <v>7880.85</v>
      </c>
      <c r="E75" s="80">
        <f>E74</f>
        <v>1</v>
      </c>
    </row>
    <row r="76" spans="2:7">
      <c r="B76" s="104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05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2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5703125" customWidth="1"/>
    <col min="9" max="9" width="13.28515625" customWidth="1"/>
    <col min="10" max="10" width="13.5703125" customWidth="1"/>
    <col min="11" max="11" width="17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68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11885923.790000001</v>
      </c>
      <c r="E11" s="377">
        <f>SUM(E12:E14)</f>
        <v>11050651.619999999</v>
      </c>
    </row>
    <row r="12" spans="2:12">
      <c r="B12" s="182" t="s">
        <v>4</v>
      </c>
      <c r="C12" s="240" t="s">
        <v>5</v>
      </c>
      <c r="D12" s="378">
        <v>11885791.880000001</v>
      </c>
      <c r="E12" s="379">
        <v>11050651.619999999</v>
      </c>
      <c r="G12" s="73"/>
    </row>
    <row r="13" spans="2:12">
      <c r="B13" s="182" t="s">
        <v>6</v>
      </c>
      <c r="C13" s="240" t="s">
        <v>7</v>
      </c>
      <c r="D13" s="380">
        <v>131.91</v>
      </c>
      <c r="E13" s="381">
        <v>0</v>
      </c>
    </row>
    <row r="14" spans="2:12">
      <c r="B14" s="182" t="s">
        <v>8</v>
      </c>
      <c r="C14" s="240" t="s">
        <v>10</v>
      </c>
      <c r="D14" s="380">
        <v>0</v>
      </c>
      <c r="E14" s="381">
        <v>0</v>
      </c>
    </row>
    <row r="15" spans="2:12">
      <c r="B15" s="182" t="s">
        <v>103</v>
      </c>
      <c r="C15" s="240" t="s">
        <v>11</v>
      </c>
      <c r="D15" s="380">
        <v>0</v>
      </c>
      <c r="E15" s="381">
        <v>0</v>
      </c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42639.03</v>
      </c>
      <c r="E17" s="385">
        <f>E18</f>
        <v>32250.39</v>
      </c>
      <c r="H17" s="68"/>
    </row>
    <row r="18" spans="2:11">
      <c r="B18" s="182" t="s">
        <v>4</v>
      </c>
      <c r="C18" s="240" t="s">
        <v>11</v>
      </c>
      <c r="D18" s="382">
        <v>42639.03</v>
      </c>
      <c r="E18" s="383">
        <v>32250.39</v>
      </c>
      <c r="H18" s="86"/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11843284.760000002</v>
      </c>
      <c r="E21" s="389">
        <f>E11-E17</f>
        <v>11018401.229999999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G25" s="73"/>
    </row>
    <row r="26" spans="2:11">
      <c r="B26" s="97" t="s">
        <v>15</v>
      </c>
      <c r="C26" s="98" t="s">
        <v>16</v>
      </c>
      <c r="D26" s="390">
        <v>13595154.220000003</v>
      </c>
      <c r="E26" s="391">
        <f>D21</f>
        <v>11843284.760000002</v>
      </c>
    </row>
    <row r="27" spans="2:11">
      <c r="B27" s="9" t="s">
        <v>17</v>
      </c>
      <c r="C27" s="10" t="s">
        <v>108</v>
      </c>
      <c r="D27" s="392">
        <v>-628673.04</v>
      </c>
      <c r="E27" s="365">
        <v>-1467730.55</v>
      </c>
      <c r="F27" s="73"/>
      <c r="G27" s="243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84512.890000000014</v>
      </c>
      <c r="E28" s="366">
        <v>48913.599999999999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2366.27</v>
      </c>
      <c r="E29" s="367">
        <v>2106.42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82146.62000000001</v>
      </c>
      <c r="E31" s="367">
        <v>46807.18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713185.93</v>
      </c>
      <c r="E32" s="366">
        <v>1516644.1500000001</v>
      </c>
      <c r="F32" s="73"/>
      <c r="G32" s="243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479670.62</v>
      </c>
      <c r="E33" s="367">
        <v>1362452.1400000001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220585.46</v>
      </c>
      <c r="E34" s="367">
        <v>131718.68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12929.85</v>
      </c>
      <c r="E35" s="367">
        <v>14821.57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7651.76</v>
      </c>
      <c r="F39" s="73"/>
      <c r="G39" s="237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-1048094.45</v>
      </c>
      <c r="E40" s="396">
        <v>642847.02</v>
      </c>
    </row>
    <row r="41" spans="2:10" ht="13.5" thickBot="1">
      <c r="B41" s="101" t="s">
        <v>37</v>
      </c>
      <c r="C41" s="102" t="s">
        <v>38</v>
      </c>
      <c r="D41" s="397">
        <v>11918386.730000004</v>
      </c>
      <c r="E41" s="389">
        <f>E26+E27+E40</f>
        <v>11018401.23</v>
      </c>
      <c r="F41" s="78"/>
      <c r="G41" s="73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1093684.8781999999</v>
      </c>
      <c r="E47" s="283">
        <v>985381.3702</v>
      </c>
      <c r="G47" s="73"/>
    </row>
    <row r="48" spans="2:10">
      <c r="B48" s="195" t="s">
        <v>6</v>
      </c>
      <c r="C48" s="196" t="s">
        <v>41</v>
      </c>
      <c r="D48" s="310">
        <v>1040881.7824</v>
      </c>
      <c r="E48" s="283">
        <v>867121.17460000003</v>
      </c>
      <c r="G48" s="161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12.4306</v>
      </c>
      <c r="E50" s="283">
        <v>12.019</v>
      </c>
      <c r="G50" s="181"/>
    </row>
    <row r="51" spans="2:7">
      <c r="B51" s="193" t="s">
        <v>6</v>
      </c>
      <c r="C51" s="194" t="s">
        <v>111</v>
      </c>
      <c r="D51" s="310">
        <v>11.2156</v>
      </c>
      <c r="E51" s="283">
        <v>12.019</v>
      </c>
      <c r="G51" s="181"/>
    </row>
    <row r="52" spans="2:7">
      <c r="B52" s="193" t="s">
        <v>8</v>
      </c>
      <c r="C52" s="194" t="s">
        <v>112</v>
      </c>
      <c r="D52" s="310">
        <v>12.464700000000001</v>
      </c>
      <c r="E52" s="283">
        <v>12.7597</v>
      </c>
    </row>
    <row r="53" spans="2:7" ht="13.5" customHeight="1" thickBot="1">
      <c r="B53" s="197" t="s">
        <v>9</v>
      </c>
      <c r="C53" s="198" t="s">
        <v>41</v>
      </c>
      <c r="D53" s="308">
        <v>11.4503</v>
      </c>
      <c r="E53" s="267">
        <v>12.706899999999999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11050651.619999999</v>
      </c>
      <c r="E58" s="31">
        <f>D58/E21</f>
        <v>1.0029269573077619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5.5">
      <c r="B60" s="193" t="s">
        <v>6</v>
      </c>
      <c r="C60" s="194" t="s">
        <v>45</v>
      </c>
      <c r="D60" s="79">
        <v>0</v>
      </c>
      <c r="E60" s="80">
        <v>0</v>
      </c>
    </row>
    <row r="61" spans="2:7" ht="12.75" customHeight="1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11050651.619999999</v>
      </c>
      <c r="E64" s="82">
        <f>D64/E21</f>
        <v>1.0029269573077619</v>
      </c>
      <c r="G64" s="73"/>
    </row>
    <row r="65" spans="2:5">
      <c r="B65" s="195" t="s">
        <v>33</v>
      </c>
      <c r="C65" s="196" t="s">
        <v>115</v>
      </c>
      <c r="D65" s="81">
        <v>0</v>
      </c>
      <c r="E65" s="82">
        <v>0</v>
      </c>
    </row>
    <row r="66" spans="2:5">
      <c r="B66" s="195" t="s">
        <v>50</v>
      </c>
      <c r="C66" s="196" t="s">
        <v>51</v>
      </c>
      <c r="D66" s="81">
        <v>0</v>
      </c>
      <c r="E66" s="82">
        <v>0</v>
      </c>
    </row>
    <row r="67" spans="2:5">
      <c r="B67" s="193" t="s">
        <v>52</v>
      </c>
      <c r="C67" s="194" t="s">
        <v>53</v>
      </c>
      <c r="D67" s="79">
        <v>0</v>
      </c>
      <c r="E67" s="80">
        <v>0</v>
      </c>
    </row>
    <row r="68" spans="2:5">
      <c r="B68" s="193" t="s">
        <v>54</v>
      </c>
      <c r="C68" s="194" t="s">
        <v>55</v>
      </c>
      <c r="D68" s="79">
        <v>0</v>
      </c>
      <c r="E68" s="80">
        <v>0</v>
      </c>
    </row>
    <row r="69" spans="2:5">
      <c r="B69" s="193" t="s">
        <v>56</v>
      </c>
      <c r="C69" s="194" t="s">
        <v>57</v>
      </c>
      <c r="D69" s="239">
        <v>0</v>
      </c>
      <c r="E69" s="80">
        <v>0</v>
      </c>
    </row>
    <row r="70" spans="2:5">
      <c r="B70" s="236" t="s">
        <v>58</v>
      </c>
      <c r="C70" s="23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32250.39</v>
      </c>
      <c r="E73" s="26">
        <f>D73/E21</f>
        <v>2.9269573077617909E-3</v>
      </c>
    </row>
    <row r="74" spans="2:5">
      <c r="B74" s="132" t="s">
        <v>64</v>
      </c>
      <c r="C74" s="123" t="s">
        <v>66</v>
      </c>
      <c r="D74" s="124">
        <f>D58+D71+D72-D73</f>
        <v>11018401.229999999</v>
      </c>
      <c r="E74" s="67">
        <f>E58+E71+E72-E73</f>
        <v>1.0000000000000002</v>
      </c>
    </row>
    <row r="75" spans="2:5">
      <c r="B75" s="193" t="s">
        <v>4</v>
      </c>
      <c r="C75" s="194" t="s">
        <v>67</v>
      </c>
      <c r="D75" s="79">
        <f>D74</f>
        <v>11018401.229999999</v>
      </c>
      <c r="E75" s="80">
        <f>E74</f>
        <v>1.0000000000000002</v>
      </c>
    </row>
    <row r="76" spans="2:5">
      <c r="B76" s="193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3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8.42578125" customWidth="1"/>
    <col min="8" max="8" width="20.5703125" customWidth="1"/>
    <col min="9" max="9" width="13.28515625" customWidth="1"/>
    <col min="10" max="10" width="13.5703125" customWidth="1"/>
    <col min="11" max="11" width="1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69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78655951.579999998</v>
      </c>
      <c r="E11" s="377">
        <f>SUM(E12:E14)</f>
        <v>82599280.510000005</v>
      </c>
    </row>
    <row r="12" spans="2:12">
      <c r="B12" s="182" t="s">
        <v>4</v>
      </c>
      <c r="C12" s="240" t="s">
        <v>5</v>
      </c>
      <c r="D12" s="378">
        <v>78655951.579999998</v>
      </c>
      <c r="E12" s="379">
        <f>82713016.7-113736.19</f>
        <v>82599280.510000005</v>
      </c>
      <c r="G12" s="73"/>
    </row>
    <row r="13" spans="2:12">
      <c r="B13" s="182" t="s">
        <v>6</v>
      </c>
      <c r="C13" s="240" t="s">
        <v>7</v>
      </c>
      <c r="D13" s="380">
        <v>0</v>
      </c>
      <c r="E13" s="381">
        <v>0</v>
      </c>
    </row>
    <row r="14" spans="2:12">
      <c r="B14" s="182" t="s">
        <v>8</v>
      </c>
      <c r="C14" s="240" t="s">
        <v>10</v>
      </c>
      <c r="D14" s="380">
        <v>0</v>
      </c>
      <c r="E14" s="381">
        <v>0</v>
      </c>
    </row>
    <row r="15" spans="2:12">
      <c r="B15" s="182" t="s">
        <v>103</v>
      </c>
      <c r="C15" s="240" t="s">
        <v>11</v>
      </c>
      <c r="D15" s="380">
        <v>0</v>
      </c>
      <c r="E15" s="381">
        <v>0</v>
      </c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290924.01</v>
      </c>
      <c r="E17" s="385">
        <f>E18</f>
        <v>288535.64</v>
      </c>
    </row>
    <row r="18" spans="2:11">
      <c r="B18" s="182" t="s">
        <v>4</v>
      </c>
      <c r="C18" s="240" t="s">
        <v>11</v>
      </c>
      <c r="D18" s="382">
        <v>290924.01</v>
      </c>
      <c r="E18" s="383">
        <v>288535.64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78365027.569999993</v>
      </c>
      <c r="E21" s="389">
        <f>E11-E17</f>
        <v>82310744.870000005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95089717.540000007</v>
      </c>
      <c r="E26" s="391">
        <f>D21</f>
        <v>78365027.569999993</v>
      </c>
      <c r="G26" s="155"/>
    </row>
    <row r="27" spans="2:11">
      <c r="B27" s="9" t="s">
        <v>17</v>
      </c>
      <c r="C27" s="10" t="s">
        <v>108</v>
      </c>
      <c r="D27" s="392">
        <v>-5018944.1599999992</v>
      </c>
      <c r="E27" s="365">
        <v>-4125477.48</v>
      </c>
      <c r="F27" s="73"/>
      <c r="G27" s="243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17831.189999999999</v>
      </c>
      <c r="E28" s="366">
        <v>19660.77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17831.189999999999</v>
      </c>
      <c r="E29" s="367">
        <v>17656.75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2004.02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5036775.3499999996</v>
      </c>
      <c r="E32" s="366">
        <v>4145138.25</v>
      </c>
      <c r="F32" s="73"/>
      <c r="G32" s="243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4127268.84</v>
      </c>
      <c r="E33" s="367">
        <v>3324773.2800000003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738995.8</v>
      </c>
      <c r="E34" s="367">
        <v>664069.55000000005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86900</v>
      </c>
      <c r="E35" s="367">
        <v>89142.23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83610.709999999992</v>
      </c>
      <c r="E39" s="368">
        <v>67153.189999999988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-13683064.300000001</v>
      </c>
      <c r="E40" s="396">
        <v>8071194.7800000021</v>
      </c>
      <c r="G40" s="75"/>
    </row>
    <row r="41" spans="2:10" ht="13.5" thickBot="1">
      <c r="B41" s="101" t="s">
        <v>37</v>
      </c>
      <c r="C41" s="102" t="s">
        <v>38</v>
      </c>
      <c r="D41" s="397">
        <v>76387709.080000013</v>
      </c>
      <c r="E41" s="389">
        <f>E26+E27+E40</f>
        <v>82310744.86999999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8897546.1162999999</v>
      </c>
      <c r="E47" s="283">
        <v>8105803.1693000002</v>
      </c>
      <c r="G47" s="73"/>
    </row>
    <row r="48" spans="2:10">
      <c r="B48" s="195" t="s">
        <v>6</v>
      </c>
      <c r="C48" s="196" t="s">
        <v>41</v>
      </c>
      <c r="D48" s="310">
        <v>8382329.6620999994</v>
      </c>
      <c r="E48" s="283">
        <v>7701580.6936999997</v>
      </c>
      <c r="G48" s="201"/>
      <c r="I48" s="161"/>
    </row>
    <row r="49" spans="2:7">
      <c r="B49" s="122" t="s">
        <v>23</v>
      </c>
      <c r="C49" s="126" t="s">
        <v>110</v>
      </c>
      <c r="D49" s="311"/>
      <c r="E49" s="283"/>
      <c r="G49" s="154"/>
    </row>
    <row r="50" spans="2:7">
      <c r="B50" s="193" t="s">
        <v>4</v>
      </c>
      <c r="C50" s="194" t="s">
        <v>40</v>
      </c>
      <c r="D50" s="310">
        <v>10.687200000000001</v>
      </c>
      <c r="E50" s="283">
        <v>9.6677999999999997</v>
      </c>
      <c r="G50" s="181"/>
    </row>
    <row r="51" spans="2:7">
      <c r="B51" s="193" t="s">
        <v>6</v>
      </c>
      <c r="C51" s="194" t="s">
        <v>111</v>
      </c>
      <c r="D51" s="310">
        <v>8.8715000000000011</v>
      </c>
      <c r="E51" s="283">
        <v>9.6593</v>
      </c>
      <c r="G51" s="181"/>
    </row>
    <row r="52" spans="2:7" ht="12.75" customHeight="1">
      <c r="B52" s="193" t="s">
        <v>8</v>
      </c>
      <c r="C52" s="194" t="s">
        <v>112</v>
      </c>
      <c r="D52" s="310">
        <v>10.996600000000001</v>
      </c>
      <c r="E52" s="283">
        <v>10.7011</v>
      </c>
    </row>
    <row r="53" spans="2:7" ht="13.5" thickBot="1">
      <c r="B53" s="197" t="s">
        <v>9</v>
      </c>
      <c r="C53" s="198" t="s">
        <v>41</v>
      </c>
      <c r="D53" s="308">
        <v>9.1128999999999998</v>
      </c>
      <c r="E53" s="267">
        <v>10.6875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82599280.510000005</v>
      </c>
      <c r="E58" s="31">
        <f>D58/E21</f>
        <v>1.0035054431891695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82599280.510000005</v>
      </c>
      <c r="E64" s="82">
        <f>D64/E21</f>
        <v>1.0035054431891695</v>
      </c>
    </row>
    <row r="65" spans="2:5">
      <c r="B65" s="195" t="s">
        <v>33</v>
      </c>
      <c r="C65" s="196" t="s">
        <v>115</v>
      </c>
      <c r="D65" s="81">
        <v>0</v>
      </c>
      <c r="E65" s="82">
        <v>0</v>
      </c>
    </row>
    <row r="66" spans="2:5">
      <c r="B66" s="195" t="s">
        <v>50</v>
      </c>
      <c r="C66" s="196" t="s">
        <v>51</v>
      </c>
      <c r="D66" s="81">
        <v>0</v>
      </c>
      <c r="E66" s="82">
        <v>0</v>
      </c>
    </row>
    <row r="67" spans="2:5">
      <c r="B67" s="193" t="s">
        <v>52</v>
      </c>
      <c r="C67" s="194" t="s">
        <v>53</v>
      </c>
      <c r="D67" s="79">
        <v>0</v>
      </c>
      <c r="E67" s="80">
        <v>0</v>
      </c>
    </row>
    <row r="68" spans="2:5">
      <c r="B68" s="193" t="s">
        <v>54</v>
      </c>
      <c r="C68" s="194" t="s">
        <v>55</v>
      </c>
      <c r="D68" s="79">
        <v>0</v>
      </c>
      <c r="E68" s="80">
        <v>0</v>
      </c>
    </row>
    <row r="69" spans="2:5">
      <c r="B69" s="193" t="s">
        <v>56</v>
      </c>
      <c r="C69" s="194" t="s">
        <v>57</v>
      </c>
      <c r="D69" s="239">
        <v>0</v>
      </c>
      <c r="E69" s="80">
        <v>0</v>
      </c>
    </row>
    <row r="70" spans="2:5">
      <c r="B70" s="236" t="s">
        <v>58</v>
      </c>
      <c r="C70" s="23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f>E13</f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288535.64</v>
      </c>
      <c r="E73" s="26">
        <f>D73/E21</f>
        <v>3.5054431891693803E-3</v>
      </c>
    </row>
    <row r="74" spans="2:5">
      <c r="B74" s="132" t="s">
        <v>64</v>
      </c>
      <c r="C74" s="123" t="s">
        <v>66</v>
      </c>
      <c r="D74" s="124">
        <f>D58+D71-D73</f>
        <v>82310744.870000005</v>
      </c>
      <c r="E74" s="67">
        <f>E58+E72-E73</f>
        <v>1</v>
      </c>
    </row>
    <row r="75" spans="2:5">
      <c r="B75" s="193" t="s">
        <v>4</v>
      </c>
      <c r="C75" s="194" t="s">
        <v>67</v>
      </c>
      <c r="D75" s="79">
        <f>D74</f>
        <v>82310744.870000005</v>
      </c>
      <c r="E75" s="80">
        <f>E74</f>
        <v>1</v>
      </c>
    </row>
    <row r="76" spans="2:5">
      <c r="B76" s="193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4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5703125" customWidth="1"/>
    <col min="9" max="9" width="13.28515625" customWidth="1"/>
    <col min="10" max="10" width="13.5703125" customWidth="1"/>
    <col min="11" max="11" width="1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70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79592256.969999999</v>
      </c>
      <c r="E11" s="377">
        <f>SUM(E12:E14)</f>
        <v>84477243.299999997</v>
      </c>
    </row>
    <row r="12" spans="2:12">
      <c r="B12" s="108" t="s">
        <v>4</v>
      </c>
      <c r="C12" s="205" t="s">
        <v>5</v>
      </c>
      <c r="D12" s="378">
        <v>79592228.340000004</v>
      </c>
      <c r="E12" s="379">
        <f>84522951.47-45708.17</f>
        <v>84477243.299999997</v>
      </c>
      <c r="G12" s="73"/>
    </row>
    <row r="13" spans="2:12">
      <c r="B13" s="108" t="s">
        <v>6</v>
      </c>
      <c r="C13" s="205" t="s">
        <v>7</v>
      </c>
      <c r="D13" s="380">
        <v>28.63</v>
      </c>
      <c r="E13" s="381">
        <v>0</v>
      </c>
    </row>
    <row r="14" spans="2:12">
      <c r="B14" s="108" t="s">
        <v>8</v>
      </c>
      <c r="C14" s="205" t="s">
        <v>10</v>
      </c>
      <c r="D14" s="380">
        <v>0</v>
      </c>
      <c r="E14" s="381">
        <v>0</v>
      </c>
    </row>
    <row r="15" spans="2:12">
      <c r="B15" s="108" t="s">
        <v>103</v>
      </c>
      <c r="C15" s="205" t="s">
        <v>11</v>
      </c>
      <c r="D15" s="380">
        <v>0</v>
      </c>
      <c r="E15" s="381">
        <v>0</v>
      </c>
    </row>
    <row r="16" spans="2:12">
      <c r="B16" s="109" t="s">
        <v>104</v>
      </c>
      <c r="C16" s="206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335877.97</v>
      </c>
      <c r="E17" s="385">
        <f>E18</f>
        <v>450105.86</v>
      </c>
    </row>
    <row r="18" spans="2:11">
      <c r="B18" s="108" t="s">
        <v>4</v>
      </c>
      <c r="C18" s="205" t="s">
        <v>11</v>
      </c>
      <c r="D18" s="382">
        <v>335877.97</v>
      </c>
      <c r="E18" s="383">
        <v>450105.86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  <c r="G19" s="73"/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79256379</v>
      </c>
      <c r="E21" s="389">
        <f>E11-E17</f>
        <v>84027137.439999998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26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101145768.61000001</v>
      </c>
      <c r="E26" s="391">
        <f>D21</f>
        <v>79256379</v>
      </c>
      <c r="G26" s="155"/>
      <c r="I26" s="68"/>
    </row>
    <row r="27" spans="2:11">
      <c r="B27" s="9" t="s">
        <v>17</v>
      </c>
      <c r="C27" s="10" t="s">
        <v>108</v>
      </c>
      <c r="D27" s="392">
        <v>-4099964.82</v>
      </c>
      <c r="E27" s="365">
        <v>-3380406.21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32198.81</v>
      </c>
      <c r="E28" s="366">
        <v>23936.660000000003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22415.170000000002</v>
      </c>
      <c r="E29" s="367">
        <v>20803.080000000002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/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9783.64</v>
      </c>
      <c r="E31" s="367">
        <v>3133.58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4132163.63</v>
      </c>
      <c r="E32" s="366">
        <v>3404342.87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3394425.23</v>
      </c>
      <c r="E33" s="367">
        <v>2687581.84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569965.02</v>
      </c>
      <c r="E34" s="367">
        <v>594655.59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80996.5</v>
      </c>
      <c r="E35" s="367">
        <v>80090.490000000005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/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/>
      <c r="E37" s="367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/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86776.88</v>
      </c>
      <c r="E39" s="368">
        <v>42014.95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-18647020.18</v>
      </c>
      <c r="E40" s="396">
        <v>8151164.6500000004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78398783.610000014</v>
      </c>
      <c r="E41" s="389">
        <f>E26+E27+E40</f>
        <v>84027137.440000013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5946694.8370000003</v>
      </c>
      <c r="E47" s="283">
        <v>5513950.3644000003</v>
      </c>
      <c r="G47" s="161"/>
    </row>
    <row r="48" spans="2:10">
      <c r="B48" s="125" t="s">
        <v>6</v>
      </c>
      <c r="C48" s="22" t="s">
        <v>41</v>
      </c>
      <c r="D48" s="310">
        <v>5677144.9320999999</v>
      </c>
      <c r="E48" s="283">
        <v>5292117.1491999999</v>
      </c>
      <c r="G48" s="202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17.008700000000001</v>
      </c>
      <c r="E50" s="283">
        <v>14.373799999999999</v>
      </c>
      <c r="G50" s="181"/>
    </row>
    <row r="51" spans="2:7">
      <c r="B51" s="104" t="s">
        <v>6</v>
      </c>
      <c r="C51" s="15" t="s">
        <v>111</v>
      </c>
      <c r="D51" s="310">
        <v>13.354000000000001</v>
      </c>
      <c r="E51" s="283">
        <v>14.307700000000001</v>
      </c>
      <c r="G51" s="181"/>
    </row>
    <row r="52" spans="2:7" ht="12.75" customHeight="1">
      <c r="B52" s="104" t="s">
        <v>8</v>
      </c>
      <c r="C52" s="15" t="s">
        <v>112</v>
      </c>
      <c r="D52" s="310">
        <v>17.351100000000002</v>
      </c>
      <c r="E52" s="283">
        <v>16.018599999999999</v>
      </c>
    </row>
    <row r="53" spans="2:7" ht="13.5" thickBot="1">
      <c r="B53" s="105" t="s">
        <v>9</v>
      </c>
      <c r="C53" s="17" t="s">
        <v>41</v>
      </c>
      <c r="D53" s="308">
        <v>13.8095</v>
      </c>
      <c r="E53" s="267">
        <v>15.877800000000001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84477243.299999997</v>
      </c>
      <c r="E58" s="31">
        <f>D58/E21</f>
        <v>1.0053566725430982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84477243.299999997</v>
      </c>
      <c r="E64" s="82">
        <f>D64/E21</f>
        <v>1.0053566725430982</v>
      </c>
    </row>
    <row r="65" spans="2:5">
      <c r="B65" s="195" t="s">
        <v>33</v>
      </c>
      <c r="C65" s="196" t="s">
        <v>115</v>
      </c>
      <c r="D65" s="81">
        <v>0</v>
      </c>
      <c r="E65" s="82">
        <v>0</v>
      </c>
    </row>
    <row r="66" spans="2:5">
      <c r="B66" s="195" t="s">
        <v>50</v>
      </c>
      <c r="C66" s="196" t="s">
        <v>51</v>
      </c>
      <c r="D66" s="81">
        <v>0</v>
      </c>
      <c r="E66" s="82">
        <v>0</v>
      </c>
    </row>
    <row r="67" spans="2:5">
      <c r="B67" s="193" t="s">
        <v>52</v>
      </c>
      <c r="C67" s="194" t="s">
        <v>53</v>
      </c>
      <c r="D67" s="79">
        <v>0</v>
      </c>
      <c r="E67" s="80">
        <v>0</v>
      </c>
    </row>
    <row r="68" spans="2:5">
      <c r="B68" s="193" t="s">
        <v>54</v>
      </c>
      <c r="C68" s="194" t="s">
        <v>55</v>
      </c>
      <c r="D68" s="79">
        <v>0</v>
      </c>
      <c r="E68" s="80">
        <v>0</v>
      </c>
    </row>
    <row r="69" spans="2:5">
      <c r="B69" s="193" t="s">
        <v>56</v>
      </c>
      <c r="C69" s="194" t="s">
        <v>57</v>
      </c>
      <c r="D69" s="239">
        <v>0</v>
      </c>
      <c r="E69" s="80">
        <v>0</v>
      </c>
    </row>
    <row r="70" spans="2:5">
      <c r="B70" s="236" t="s">
        <v>58</v>
      </c>
      <c r="C70" s="23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5">
      <c r="B73" s="134" t="s">
        <v>62</v>
      </c>
      <c r="C73" s="24" t="s">
        <v>65</v>
      </c>
      <c r="D73" s="25">
        <f>E17</f>
        <v>450105.86</v>
      </c>
      <c r="E73" s="26">
        <f>D73/E21</f>
        <v>5.3566725430983578E-3</v>
      </c>
    </row>
    <row r="74" spans="2:5">
      <c r="B74" s="132" t="s">
        <v>64</v>
      </c>
      <c r="C74" s="123" t="s">
        <v>66</v>
      </c>
      <c r="D74" s="124">
        <f>D58+D72-D73+D71</f>
        <v>84027137.439999998</v>
      </c>
      <c r="E74" s="67">
        <f>E58+E72-E73</f>
        <v>0.99999999999999989</v>
      </c>
    </row>
    <row r="75" spans="2:5">
      <c r="B75" s="193" t="s">
        <v>4</v>
      </c>
      <c r="C75" s="194" t="s">
        <v>67</v>
      </c>
      <c r="D75" s="79">
        <f>D74</f>
        <v>84027137.439999998</v>
      </c>
      <c r="E75" s="80">
        <f>E74</f>
        <v>0.99999999999999989</v>
      </c>
    </row>
    <row r="76" spans="2:5">
      <c r="B76" s="193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5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140625" customWidth="1"/>
    <col min="9" max="9" width="13.28515625" customWidth="1"/>
    <col min="10" max="10" width="13.5703125" customWidth="1"/>
    <col min="11" max="11" width="16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71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8832410.5100000016</v>
      </c>
      <c r="E11" s="377">
        <f>SUM(E12:E14)</f>
        <v>8104738.2799999993</v>
      </c>
    </row>
    <row r="12" spans="2:12">
      <c r="B12" s="108" t="s">
        <v>4</v>
      </c>
      <c r="C12" s="205" t="s">
        <v>5</v>
      </c>
      <c r="D12" s="378">
        <v>8826397.1000000015</v>
      </c>
      <c r="E12" s="379">
        <f>8112365.35-7627.07</f>
        <v>8104738.2799999993</v>
      </c>
      <c r="G12" s="73"/>
    </row>
    <row r="13" spans="2:12">
      <c r="B13" s="108" t="s">
        <v>6</v>
      </c>
      <c r="C13" s="205" t="s">
        <v>7</v>
      </c>
      <c r="D13" s="380">
        <v>6013.41</v>
      </c>
      <c r="E13" s="381">
        <v>0</v>
      </c>
    </row>
    <row r="14" spans="2:12">
      <c r="B14" s="108" t="s">
        <v>8</v>
      </c>
      <c r="C14" s="205" t="s">
        <v>10</v>
      </c>
      <c r="D14" s="380">
        <v>0</v>
      </c>
      <c r="E14" s="381">
        <v>0</v>
      </c>
    </row>
    <row r="15" spans="2:12">
      <c r="B15" s="108" t="s">
        <v>103</v>
      </c>
      <c r="C15" s="205" t="s">
        <v>11</v>
      </c>
      <c r="D15" s="380">
        <v>0</v>
      </c>
      <c r="E15" s="381">
        <v>0</v>
      </c>
    </row>
    <row r="16" spans="2:12">
      <c r="B16" s="109" t="s">
        <v>104</v>
      </c>
      <c r="C16" s="206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14442.07</v>
      </c>
      <c r="E17" s="385">
        <f>E18</f>
        <v>88247.679999999993</v>
      </c>
    </row>
    <row r="18" spans="2:11">
      <c r="B18" s="108" t="s">
        <v>4</v>
      </c>
      <c r="C18" s="205" t="s">
        <v>11</v>
      </c>
      <c r="D18" s="382">
        <v>14442.07</v>
      </c>
      <c r="E18" s="383">
        <v>88247.679999999993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8817968.4400000013</v>
      </c>
      <c r="E21" s="389">
        <f>E11-E17</f>
        <v>8016490.5999999996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12738346.980000002</v>
      </c>
      <c r="E26" s="391">
        <f>D21</f>
        <v>8817968.4400000013</v>
      </c>
      <c r="G26" s="75"/>
    </row>
    <row r="27" spans="2:11">
      <c r="B27" s="9" t="s">
        <v>17</v>
      </c>
      <c r="C27" s="10" t="s">
        <v>108</v>
      </c>
      <c r="D27" s="392">
        <v>-2330560.8699999996</v>
      </c>
      <c r="E27" s="365">
        <v>-677583.04</v>
      </c>
      <c r="F27" s="73"/>
      <c r="G27" s="243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161373.38999999998</v>
      </c>
      <c r="E28" s="366">
        <v>20759.899999999998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3599.1</v>
      </c>
      <c r="E29" s="367">
        <v>3599.1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157774.28999999998</v>
      </c>
      <c r="E31" s="367">
        <v>17160.8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2491934.2599999998</v>
      </c>
      <c r="E32" s="366">
        <v>698342.94000000006</v>
      </c>
      <c r="F32" s="73"/>
      <c r="G32" s="243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2380012.23</v>
      </c>
      <c r="E33" s="367">
        <v>552322.29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19656.39</v>
      </c>
      <c r="E34" s="367">
        <v>83020.3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10238.790000000001</v>
      </c>
      <c r="E35" s="367">
        <v>9662.3700000000008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82026.850000000006</v>
      </c>
      <c r="E39" s="368">
        <v>53337.98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-1429044.06</v>
      </c>
      <c r="E40" s="396">
        <v>-123894.79999999996</v>
      </c>
      <c r="G40" s="75"/>
    </row>
    <row r="41" spans="2:10" ht="13.5" thickBot="1">
      <c r="B41" s="101" t="s">
        <v>37</v>
      </c>
      <c r="C41" s="102" t="s">
        <v>38</v>
      </c>
      <c r="D41" s="397">
        <v>8978742.0500000026</v>
      </c>
      <c r="E41" s="389">
        <f>E26+E27+E40</f>
        <v>8016490.6000000015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626182.80649999995</v>
      </c>
      <c r="E47" s="283">
        <v>490630.5747</v>
      </c>
      <c r="G47" s="73"/>
    </row>
    <row r="48" spans="2:10">
      <c r="B48" s="125" t="s">
        <v>6</v>
      </c>
      <c r="C48" s="22" t="s">
        <v>41</v>
      </c>
      <c r="D48" s="310">
        <v>501322.88809999998</v>
      </c>
      <c r="E48" s="283">
        <v>453022.16769999999</v>
      </c>
      <c r="G48" s="161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20.3429</v>
      </c>
      <c r="E50" s="283">
        <v>17.9727</v>
      </c>
      <c r="G50" s="181"/>
    </row>
    <row r="51" spans="2:7">
      <c r="B51" s="104" t="s">
        <v>6</v>
      </c>
      <c r="C51" s="15" t="s">
        <v>111</v>
      </c>
      <c r="D51" s="310">
        <v>17.585000000000001</v>
      </c>
      <c r="E51" s="283">
        <v>17.475899999999999</v>
      </c>
      <c r="G51" s="181"/>
    </row>
    <row r="52" spans="2:7" ht="12.75" customHeight="1">
      <c r="B52" s="104" t="s">
        <v>8</v>
      </c>
      <c r="C52" s="15" t="s">
        <v>112</v>
      </c>
      <c r="D52" s="310">
        <v>20.3429</v>
      </c>
      <c r="E52" s="283">
        <v>19.2182</v>
      </c>
    </row>
    <row r="53" spans="2:7" ht="13.5" thickBot="1">
      <c r="B53" s="105" t="s">
        <v>9</v>
      </c>
      <c r="C53" s="17" t="s">
        <v>41</v>
      </c>
      <c r="D53" s="308">
        <v>17.9101</v>
      </c>
      <c r="E53" s="267">
        <v>17.695599999999999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8104738.2799999993</v>
      </c>
      <c r="E58" s="31">
        <f>D58/E21</f>
        <v>1.0110082683811792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8104738.2799999993</v>
      </c>
      <c r="E64" s="82">
        <f>D64/E21</f>
        <v>1.0110082683811792</v>
      </c>
    </row>
    <row r="65" spans="2:5">
      <c r="B65" s="195" t="s">
        <v>33</v>
      </c>
      <c r="C65" s="196" t="s">
        <v>115</v>
      </c>
      <c r="D65" s="81">
        <v>0</v>
      </c>
      <c r="E65" s="82">
        <v>0</v>
      </c>
    </row>
    <row r="66" spans="2:5">
      <c r="B66" s="195" t="s">
        <v>50</v>
      </c>
      <c r="C66" s="196" t="s">
        <v>51</v>
      </c>
      <c r="D66" s="81">
        <v>0</v>
      </c>
      <c r="E66" s="82">
        <v>0</v>
      </c>
    </row>
    <row r="67" spans="2:5">
      <c r="B67" s="193" t="s">
        <v>52</v>
      </c>
      <c r="C67" s="194" t="s">
        <v>53</v>
      </c>
      <c r="D67" s="79">
        <v>0</v>
      </c>
      <c r="E67" s="80">
        <v>0</v>
      </c>
    </row>
    <row r="68" spans="2:5">
      <c r="B68" s="193" t="s">
        <v>54</v>
      </c>
      <c r="C68" s="194" t="s">
        <v>55</v>
      </c>
      <c r="D68" s="79">
        <v>0</v>
      </c>
      <c r="E68" s="80">
        <v>0</v>
      </c>
    </row>
    <row r="69" spans="2:5">
      <c r="B69" s="193" t="s">
        <v>56</v>
      </c>
      <c r="C69" s="194" t="s">
        <v>57</v>
      </c>
      <c r="D69" s="239">
        <v>0</v>
      </c>
      <c r="E69" s="80">
        <v>0</v>
      </c>
    </row>
    <row r="70" spans="2:5">
      <c r="B70" s="236" t="s">
        <v>58</v>
      </c>
      <c r="C70" s="23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88247.679999999993</v>
      </c>
      <c r="E73" s="26">
        <f>D73/E21</f>
        <v>1.1008268381179166E-2</v>
      </c>
    </row>
    <row r="74" spans="2:5">
      <c r="B74" s="132" t="s">
        <v>64</v>
      </c>
      <c r="C74" s="123" t="s">
        <v>66</v>
      </c>
      <c r="D74" s="124">
        <f>D58+D72-D73+D71</f>
        <v>8016490.5999999996</v>
      </c>
      <c r="E74" s="67">
        <f>E58+E71+E72-E73</f>
        <v>1</v>
      </c>
    </row>
    <row r="75" spans="2:5">
      <c r="B75" s="193" t="s">
        <v>4</v>
      </c>
      <c r="C75" s="194" t="s">
        <v>67</v>
      </c>
      <c r="D75" s="79">
        <f>D74</f>
        <v>8016490.5999999996</v>
      </c>
      <c r="E75" s="80">
        <f>E74</f>
        <v>1</v>
      </c>
    </row>
    <row r="76" spans="2:5">
      <c r="B76" s="193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3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72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7104796.8099999996</v>
      </c>
      <c r="E11" s="377">
        <f>SUM(E12:E14)</f>
        <v>6444391.7800000003</v>
      </c>
      <c r="J11" s="68"/>
    </row>
    <row r="12" spans="2:12">
      <c r="B12" s="108" t="s">
        <v>4</v>
      </c>
      <c r="C12" s="205" t="s">
        <v>5</v>
      </c>
      <c r="D12" s="378">
        <v>7104796.8099999996</v>
      </c>
      <c r="E12" s="379">
        <v>6444391.7800000003</v>
      </c>
      <c r="G12" s="73"/>
    </row>
    <row r="13" spans="2:12">
      <c r="B13" s="108" t="s">
        <v>6</v>
      </c>
      <c r="C13" s="205" t="s">
        <v>7</v>
      </c>
      <c r="D13" s="380">
        <v>0</v>
      </c>
      <c r="E13" s="381">
        <v>0</v>
      </c>
    </row>
    <row r="14" spans="2:12">
      <c r="B14" s="108" t="s">
        <v>8</v>
      </c>
      <c r="C14" s="205" t="s">
        <v>10</v>
      </c>
      <c r="D14" s="380">
        <v>0</v>
      </c>
      <c r="E14" s="381">
        <v>0</v>
      </c>
    </row>
    <row r="15" spans="2:12">
      <c r="B15" s="108" t="s">
        <v>103</v>
      </c>
      <c r="C15" s="205" t="s">
        <v>11</v>
      </c>
      <c r="D15" s="380">
        <v>0</v>
      </c>
      <c r="E15" s="381">
        <v>0</v>
      </c>
    </row>
    <row r="16" spans="2:12">
      <c r="B16" s="109" t="s">
        <v>104</v>
      </c>
      <c r="C16" s="206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23668.38</v>
      </c>
      <c r="E17" s="385">
        <f>E18</f>
        <v>31601.759999999998</v>
      </c>
    </row>
    <row r="18" spans="2:11">
      <c r="B18" s="108" t="s">
        <v>4</v>
      </c>
      <c r="C18" s="205" t="s">
        <v>11</v>
      </c>
      <c r="D18" s="382">
        <v>23668.38</v>
      </c>
      <c r="E18" s="383">
        <v>31601.759999999998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7081128.4299999997</v>
      </c>
      <c r="E21" s="389">
        <f>E11-E17</f>
        <v>6412790.0200000005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9328601.2599999998</v>
      </c>
      <c r="E26" s="391">
        <f>D21</f>
        <v>7081128.4299999997</v>
      </c>
      <c r="G26" s="75"/>
    </row>
    <row r="27" spans="2:11">
      <c r="B27" s="9" t="s">
        <v>17</v>
      </c>
      <c r="C27" s="10" t="s">
        <v>108</v>
      </c>
      <c r="D27" s="392">
        <v>-260851.75</v>
      </c>
      <c r="E27" s="365">
        <v>-325826.18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82.570000000000007</v>
      </c>
      <c r="E28" s="366">
        <v>0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82.570000000000007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260934.32</v>
      </c>
      <c r="E32" s="366">
        <v>325826.18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207441.42</v>
      </c>
      <c r="E33" s="367">
        <v>229445.76000000001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46152.15</v>
      </c>
      <c r="E34" s="367">
        <v>89603.8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7340.75</v>
      </c>
      <c r="E35" s="367">
        <v>6776.58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0</v>
      </c>
      <c r="E39" s="368">
        <v>0.04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-1565306.78</v>
      </c>
      <c r="E40" s="396">
        <v>-342512.23</v>
      </c>
      <c r="G40" s="75"/>
    </row>
    <row r="41" spans="2:10" ht="13.5" thickBot="1">
      <c r="B41" s="101" t="s">
        <v>37</v>
      </c>
      <c r="C41" s="102" t="s">
        <v>38</v>
      </c>
      <c r="D41" s="397">
        <v>7502442.7299999995</v>
      </c>
      <c r="E41" s="389">
        <f>E26+E27+E40</f>
        <v>6412790.0199999996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792312.96759999997</v>
      </c>
      <c r="E47" s="283">
        <v>744492.00490000006</v>
      </c>
      <c r="G47" s="73"/>
    </row>
    <row r="48" spans="2:10">
      <c r="B48" s="125" t="s">
        <v>6</v>
      </c>
      <c r="C48" s="22" t="s">
        <v>41</v>
      </c>
      <c r="D48" s="310">
        <v>767111.39260000002</v>
      </c>
      <c r="E48" s="283">
        <v>709744.83039999998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11.773899999999999</v>
      </c>
      <c r="E50" s="283">
        <v>9.5114000000000001</v>
      </c>
      <c r="G50" s="181"/>
    </row>
    <row r="51" spans="2:7">
      <c r="B51" s="104" t="s">
        <v>6</v>
      </c>
      <c r="C51" s="15" t="s">
        <v>111</v>
      </c>
      <c r="D51" s="310">
        <v>9.1300000000000008</v>
      </c>
      <c r="E51" s="283">
        <v>8.7532999999999994</v>
      </c>
      <c r="G51" s="181"/>
    </row>
    <row r="52" spans="2:7" ht="12.75" customHeight="1">
      <c r="B52" s="104" t="s">
        <v>8</v>
      </c>
      <c r="C52" s="15" t="s">
        <v>112</v>
      </c>
      <c r="D52" s="310">
        <v>11.8048</v>
      </c>
      <c r="E52" s="283">
        <v>10.395799999999999</v>
      </c>
    </row>
    <row r="53" spans="2:7" ht="13.5" thickBot="1">
      <c r="B53" s="105" t="s">
        <v>9</v>
      </c>
      <c r="C53" s="17" t="s">
        <v>41</v>
      </c>
      <c r="D53" s="308">
        <v>9.7800999999999991</v>
      </c>
      <c r="E53" s="267">
        <v>9.0352999999999994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6444391.7800000003</v>
      </c>
      <c r="E58" s="31">
        <f>D58/E21</f>
        <v>1.0049279268308242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6444391.7800000003</v>
      </c>
      <c r="E64" s="82">
        <f>D64/E21</f>
        <v>1.0049279268308242</v>
      </c>
    </row>
    <row r="65" spans="2:5">
      <c r="B65" s="195" t="s">
        <v>33</v>
      </c>
      <c r="C65" s="196" t="s">
        <v>115</v>
      </c>
      <c r="D65" s="81">
        <v>0</v>
      </c>
      <c r="E65" s="82">
        <v>0</v>
      </c>
    </row>
    <row r="66" spans="2:5">
      <c r="B66" s="195" t="s">
        <v>50</v>
      </c>
      <c r="C66" s="196" t="s">
        <v>51</v>
      </c>
      <c r="D66" s="81">
        <v>0</v>
      </c>
      <c r="E66" s="82">
        <v>0</v>
      </c>
    </row>
    <row r="67" spans="2:5">
      <c r="B67" s="193" t="s">
        <v>52</v>
      </c>
      <c r="C67" s="194" t="s">
        <v>53</v>
      </c>
      <c r="D67" s="79">
        <v>0</v>
      </c>
      <c r="E67" s="80">
        <v>0</v>
      </c>
    </row>
    <row r="68" spans="2:5">
      <c r="B68" s="193" t="s">
        <v>54</v>
      </c>
      <c r="C68" s="194" t="s">
        <v>55</v>
      </c>
      <c r="D68" s="79">
        <v>0</v>
      </c>
      <c r="E68" s="80">
        <v>0</v>
      </c>
    </row>
    <row r="69" spans="2:5">
      <c r="B69" s="193" t="s">
        <v>56</v>
      </c>
      <c r="C69" s="194" t="s">
        <v>57</v>
      </c>
      <c r="D69" s="239">
        <v>0</v>
      </c>
      <c r="E69" s="80">
        <v>0</v>
      </c>
    </row>
    <row r="70" spans="2:5">
      <c r="B70" s="236" t="s">
        <v>58</v>
      </c>
      <c r="C70" s="23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5">
      <c r="B73" s="134" t="s">
        <v>62</v>
      </c>
      <c r="C73" s="24" t="s">
        <v>65</v>
      </c>
      <c r="D73" s="25">
        <f>E17</f>
        <v>31601.759999999998</v>
      </c>
      <c r="E73" s="26">
        <f>D73/E21</f>
        <v>4.9279268308242523E-3</v>
      </c>
    </row>
    <row r="74" spans="2:5">
      <c r="B74" s="132" t="s">
        <v>64</v>
      </c>
      <c r="C74" s="123" t="s">
        <v>66</v>
      </c>
      <c r="D74" s="124">
        <f>D58-D73+D72</f>
        <v>6412790.0200000005</v>
      </c>
      <c r="E74" s="67">
        <f>E58+E72-E73</f>
        <v>1</v>
      </c>
    </row>
    <row r="75" spans="2:5">
      <c r="B75" s="193" t="s">
        <v>4</v>
      </c>
      <c r="C75" s="194" t="s">
        <v>67</v>
      </c>
      <c r="D75" s="79">
        <f>D74</f>
        <v>6412790.0200000005</v>
      </c>
      <c r="E75" s="80">
        <f>E74</f>
        <v>1</v>
      </c>
    </row>
    <row r="76" spans="2:5">
      <c r="B76" s="193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27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3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73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1511445.2</v>
      </c>
      <c r="E11" s="377">
        <f>SUM(E12:E14)</f>
        <v>1296184.8600000001</v>
      </c>
      <c r="H11" s="73"/>
    </row>
    <row r="12" spans="2:12">
      <c r="B12" s="182" t="s">
        <v>4</v>
      </c>
      <c r="C12" s="240" t="s">
        <v>5</v>
      </c>
      <c r="D12" s="378">
        <v>1504874.27</v>
      </c>
      <c r="E12" s="379">
        <v>1290900.04</v>
      </c>
      <c r="G12" s="68"/>
      <c r="H12" s="73"/>
    </row>
    <row r="13" spans="2:12">
      <c r="B13" s="182" t="s">
        <v>6</v>
      </c>
      <c r="C13" s="240" t="s">
        <v>7</v>
      </c>
      <c r="D13" s="380">
        <v>1570.93</v>
      </c>
      <c r="E13" s="381">
        <v>1784.82</v>
      </c>
      <c r="H13" s="73"/>
    </row>
    <row r="14" spans="2:12">
      <c r="B14" s="182" t="s">
        <v>8</v>
      </c>
      <c r="C14" s="240" t="s">
        <v>10</v>
      </c>
      <c r="D14" s="380">
        <v>5000</v>
      </c>
      <c r="E14" s="381">
        <f>E15</f>
        <v>3500</v>
      </c>
      <c r="H14" s="73"/>
    </row>
    <row r="15" spans="2:12">
      <c r="B15" s="182" t="s">
        <v>103</v>
      </c>
      <c r="C15" s="240" t="s">
        <v>11</v>
      </c>
      <c r="D15" s="380">
        <v>5000</v>
      </c>
      <c r="E15" s="381">
        <v>3500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2600.48</v>
      </c>
      <c r="E17" s="385">
        <f>E18</f>
        <v>2197.5</v>
      </c>
    </row>
    <row r="18" spans="2:11">
      <c r="B18" s="182" t="s">
        <v>4</v>
      </c>
      <c r="C18" s="240" t="s">
        <v>11</v>
      </c>
      <c r="D18" s="382">
        <v>2600.48</v>
      </c>
      <c r="E18" s="383">
        <v>2197.5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1508844.72</v>
      </c>
      <c r="E21" s="389">
        <f>E11-E17</f>
        <v>1293987.3600000001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1802373.2599999998</v>
      </c>
      <c r="E26" s="391">
        <f>D21</f>
        <v>1508844.72</v>
      </c>
      <c r="G26" s="75"/>
    </row>
    <row r="27" spans="2:11">
      <c r="B27" s="9" t="s">
        <v>17</v>
      </c>
      <c r="C27" s="10" t="s">
        <v>108</v>
      </c>
      <c r="D27" s="392">
        <v>-151430.54</v>
      </c>
      <c r="E27" s="365">
        <v>-181745.11999999997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3640.18</v>
      </c>
      <c r="E28" s="366">
        <v>4.01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3640.18</v>
      </c>
      <c r="E31" s="367">
        <v>4.01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155070.72</v>
      </c>
      <c r="E32" s="366">
        <v>181749.12999999998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57279.340000000004</v>
      </c>
      <c r="E33" s="367">
        <v>167506.56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84785.49</v>
      </c>
      <c r="E34" s="367">
        <v>2940.3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13005.89</v>
      </c>
      <c r="E35" s="367">
        <v>11302.27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-42365.66</v>
      </c>
      <c r="E40" s="396">
        <v>-33112.240000000005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1608577.0599999998</v>
      </c>
      <c r="E41" s="389">
        <f>E26+E27+E40</f>
        <v>1293987.3600000001</v>
      </c>
      <c r="F41" s="78"/>
      <c r="G41" s="75"/>
      <c r="H41" s="24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242150.52607600001</v>
      </c>
      <c r="E47" s="283">
        <v>214413.26478999999</v>
      </c>
      <c r="G47" s="73"/>
    </row>
    <row r="48" spans="2:10">
      <c r="B48" s="195" t="s">
        <v>6</v>
      </c>
      <c r="C48" s="196" t="s">
        <v>41</v>
      </c>
      <c r="D48" s="310">
        <v>222668.624392</v>
      </c>
      <c r="E48" s="283">
        <v>189087.112241</v>
      </c>
      <c r="G48" s="161"/>
      <c r="I48" s="161"/>
    </row>
    <row r="49" spans="2:7">
      <c r="B49" s="122" t="s">
        <v>23</v>
      </c>
      <c r="C49" s="126" t="s">
        <v>110</v>
      </c>
      <c r="D49" s="311"/>
      <c r="E49" s="283"/>
    </row>
    <row r="50" spans="2:7">
      <c r="B50" s="193" t="s">
        <v>4</v>
      </c>
      <c r="C50" s="194" t="s">
        <v>40</v>
      </c>
      <c r="D50" s="310">
        <v>7.4431940000000001</v>
      </c>
      <c r="E50" s="283">
        <v>7.0370869999999996</v>
      </c>
      <c r="G50" s="181"/>
    </row>
    <row r="51" spans="2:7">
      <c r="B51" s="193" t="s">
        <v>6</v>
      </c>
      <c r="C51" s="194" t="s">
        <v>111</v>
      </c>
      <c r="D51" s="310">
        <v>7.1648169999999993</v>
      </c>
      <c r="E51" s="283">
        <v>6.6473519999999997</v>
      </c>
      <c r="G51" s="181"/>
    </row>
    <row r="52" spans="2:7" ht="12.75" customHeight="1">
      <c r="B52" s="193" t="s">
        <v>8</v>
      </c>
      <c r="C52" s="194" t="s">
        <v>112</v>
      </c>
      <c r="D52" s="310">
        <v>7.9949449999999995</v>
      </c>
      <c r="E52" s="283">
        <v>7.3937999999999997</v>
      </c>
    </row>
    <row r="53" spans="2:7" ht="13.5" thickBot="1">
      <c r="B53" s="197" t="s">
        <v>9</v>
      </c>
      <c r="C53" s="198" t="s">
        <v>41</v>
      </c>
      <c r="D53" s="308">
        <v>7.2240849999999996</v>
      </c>
      <c r="E53" s="267">
        <v>6.8433400000000004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1290900.04</v>
      </c>
      <c r="E58" s="31">
        <f>D58/E21</f>
        <v>0.99761410343297319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1290900.04</v>
      </c>
      <c r="E64" s="82">
        <f>D64/E21</f>
        <v>0.99761410343297319</v>
      </c>
    </row>
    <row r="65" spans="2:7">
      <c r="B65" s="195" t="s">
        <v>33</v>
      </c>
      <c r="C65" s="196" t="s">
        <v>115</v>
      </c>
      <c r="D65" s="81">
        <v>0</v>
      </c>
      <c r="E65" s="82">
        <v>0</v>
      </c>
      <c r="G65" s="73"/>
    </row>
    <row r="66" spans="2:7">
      <c r="B66" s="195" t="s">
        <v>50</v>
      </c>
      <c r="C66" s="196" t="s">
        <v>51</v>
      </c>
      <c r="D66" s="81">
        <v>0</v>
      </c>
      <c r="E66" s="82">
        <v>0</v>
      </c>
    </row>
    <row r="67" spans="2:7">
      <c r="B67" s="193" t="s">
        <v>52</v>
      </c>
      <c r="C67" s="194" t="s">
        <v>53</v>
      </c>
      <c r="D67" s="79">
        <v>0</v>
      </c>
      <c r="E67" s="80">
        <v>0</v>
      </c>
    </row>
    <row r="68" spans="2:7">
      <c r="B68" s="193" t="s">
        <v>54</v>
      </c>
      <c r="C68" s="194" t="s">
        <v>55</v>
      </c>
      <c r="D68" s="79">
        <v>0</v>
      </c>
      <c r="E68" s="80">
        <v>0</v>
      </c>
      <c r="G68" s="68"/>
    </row>
    <row r="69" spans="2:7" ht="15">
      <c r="B69" s="193" t="s">
        <v>56</v>
      </c>
      <c r="C69" s="194" t="s">
        <v>57</v>
      </c>
      <c r="D69" s="316">
        <v>0</v>
      </c>
      <c r="E69" s="80">
        <f>D69/E21</f>
        <v>0</v>
      </c>
    </row>
    <row r="70" spans="2:7">
      <c r="B70" s="236" t="s">
        <v>58</v>
      </c>
      <c r="C70" s="235" t="s">
        <v>59</v>
      </c>
      <c r="D70" s="116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1784.82</v>
      </c>
      <c r="E71" s="67">
        <f>D71/E21</f>
        <v>1.3793179556251614E-3</v>
      </c>
    </row>
    <row r="72" spans="2:7">
      <c r="B72" s="133" t="s">
        <v>60</v>
      </c>
      <c r="C72" s="119" t="s">
        <v>63</v>
      </c>
      <c r="D72" s="120">
        <f>E14</f>
        <v>3500</v>
      </c>
      <c r="E72" s="121">
        <f>D72/E21</f>
        <v>2.7048177657624105E-3</v>
      </c>
    </row>
    <row r="73" spans="2:7">
      <c r="B73" s="134" t="s">
        <v>62</v>
      </c>
      <c r="C73" s="24" t="s">
        <v>65</v>
      </c>
      <c r="D73" s="25">
        <f>E17</f>
        <v>2197.5</v>
      </c>
      <c r="E73" s="26">
        <f>D73/E21</f>
        <v>1.6982391543608275E-3</v>
      </c>
    </row>
    <row r="74" spans="2:7">
      <c r="B74" s="132" t="s">
        <v>64</v>
      </c>
      <c r="C74" s="123" t="s">
        <v>66</v>
      </c>
      <c r="D74" s="124">
        <f>D58+D72-D73+D71</f>
        <v>1293987.3600000001</v>
      </c>
      <c r="E74" s="67">
        <f>E58+E72-E73+E71</f>
        <v>0.99999999999999989</v>
      </c>
    </row>
    <row r="75" spans="2:7">
      <c r="B75" s="193" t="s">
        <v>4</v>
      </c>
      <c r="C75" s="194" t="s">
        <v>67</v>
      </c>
      <c r="D75" s="79">
        <f>D74</f>
        <v>1293987.3600000001</v>
      </c>
      <c r="E75" s="80">
        <f>E74</f>
        <v>0.99999999999999989</v>
      </c>
    </row>
    <row r="76" spans="2:7">
      <c r="B76" s="193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2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76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1952254.33</v>
      </c>
      <c r="E11" s="377">
        <f>SUM(E12:E14)</f>
        <v>1952398.25</v>
      </c>
    </row>
    <row r="12" spans="2:12">
      <c r="B12" s="108" t="s">
        <v>4</v>
      </c>
      <c r="C12" s="205" t="s">
        <v>5</v>
      </c>
      <c r="D12" s="378">
        <v>1943614.1</v>
      </c>
      <c r="E12" s="379">
        <v>1944451.04</v>
      </c>
      <c r="G12" s="68"/>
      <c r="H12" s="73"/>
    </row>
    <row r="13" spans="2:12">
      <c r="B13" s="108" t="s">
        <v>6</v>
      </c>
      <c r="C13" s="205" t="s">
        <v>7</v>
      </c>
      <c r="D13" s="380">
        <v>2640.23</v>
      </c>
      <c r="E13" s="381">
        <v>2947.21</v>
      </c>
      <c r="H13" s="73"/>
    </row>
    <row r="14" spans="2:12">
      <c r="B14" s="108" t="s">
        <v>8</v>
      </c>
      <c r="C14" s="205" t="s">
        <v>10</v>
      </c>
      <c r="D14" s="380">
        <v>6000</v>
      </c>
      <c r="E14" s="381">
        <f>E15</f>
        <v>5000</v>
      </c>
      <c r="H14" s="73"/>
    </row>
    <row r="15" spans="2:12">
      <c r="B15" s="108" t="s">
        <v>103</v>
      </c>
      <c r="C15" s="205" t="s">
        <v>11</v>
      </c>
      <c r="D15" s="380">
        <v>6000</v>
      </c>
      <c r="E15" s="381">
        <v>5000</v>
      </c>
      <c r="H15" s="73"/>
    </row>
    <row r="16" spans="2:12">
      <c r="B16" s="109" t="s">
        <v>104</v>
      </c>
      <c r="C16" s="206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3263.11</v>
      </c>
      <c r="E17" s="385">
        <f>E18</f>
        <v>3188.96</v>
      </c>
      <c r="H17" s="73"/>
    </row>
    <row r="18" spans="2:11">
      <c r="B18" s="108" t="s">
        <v>4</v>
      </c>
      <c r="C18" s="205" t="s">
        <v>11</v>
      </c>
      <c r="D18" s="382">
        <v>3263.11</v>
      </c>
      <c r="E18" s="383">
        <v>3188.96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1948991.22</v>
      </c>
      <c r="E21" s="389">
        <f>E11-E17</f>
        <v>1949209.29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2430837.9500000002</v>
      </c>
      <c r="E26" s="391">
        <f>D21</f>
        <v>1948991.22</v>
      </c>
      <c r="G26" s="75"/>
      <c r="H26" s="237"/>
    </row>
    <row r="27" spans="2:11">
      <c r="B27" s="9" t="s">
        <v>17</v>
      </c>
      <c r="C27" s="10" t="s">
        <v>108</v>
      </c>
      <c r="D27" s="392">
        <v>-303018.83</v>
      </c>
      <c r="E27" s="365">
        <v>-40169.64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4653.68</v>
      </c>
      <c r="E28" s="366">
        <v>0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4653.68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307672.51</v>
      </c>
      <c r="E32" s="366">
        <v>40169.64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213026.56</v>
      </c>
      <c r="E33" s="367">
        <v>21674.27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81070.930000000008</v>
      </c>
      <c r="E34" s="367">
        <v>5951.62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13570.34</v>
      </c>
      <c r="E35" s="367">
        <v>12539.93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4.68</v>
      </c>
      <c r="E39" s="368">
        <v>3.82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-35035.56</v>
      </c>
      <c r="E40" s="396">
        <v>40387.709999999992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2092783.56</v>
      </c>
      <c r="E41" s="389">
        <f>E26+E27+E40</f>
        <v>1949209.29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238212.70165100001</v>
      </c>
      <c r="E47" s="283">
        <v>194743.65130600001</v>
      </c>
      <c r="G47" s="73"/>
    </row>
    <row r="48" spans="2:10">
      <c r="B48" s="125" t="s">
        <v>6</v>
      </c>
      <c r="C48" s="22" t="s">
        <v>41</v>
      </c>
      <c r="D48" s="310">
        <v>208023.336037</v>
      </c>
      <c r="E48" s="283">
        <v>190823.338575</v>
      </c>
      <c r="G48" s="73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10.204485</v>
      </c>
      <c r="E50" s="283">
        <v>10.0079829999999</v>
      </c>
      <c r="G50" s="181"/>
    </row>
    <row r="51" spans="2:7">
      <c r="B51" s="104" t="s">
        <v>6</v>
      </c>
      <c r="C51" s="15" t="s">
        <v>111</v>
      </c>
      <c r="D51" s="310">
        <v>9.9460189999999997</v>
      </c>
      <c r="E51" s="283">
        <v>10.0079829999999</v>
      </c>
      <c r="G51" s="181"/>
    </row>
    <row r="52" spans="2:7" ht="12" customHeight="1">
      <c r="B52" s="104" t="s">
        <v>8</v>
      </c>
      <c r="C52" s="15" t="s">
        <v>112</v>
      </c>
      <c r="D52" s="310">
        <v>10.251334</v>
      </c>
      <c r="E52" s="283">
        <v>10.472879000000001</v>
      </c>
    </row>
    <row r="53" spans="2:7" ht="13.5" thickBot="1">
      <c r="B53" s="105" t="s">
        <v>9</v>
      </c>
      <c r="C53" s="17" t="s">
        <v>41</v>
      </c>
      <c r="D53" s="308">
        <v>10.060331</v>
      </c>
      <c r="E53" s="267">
        <v>10.214732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1944451.04</v>
      </c>
      <c r="E58" s="31">
        <f>D58/E21</f>
        <v>0.99755888194027642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1944451.04</v>
      </c>
      <c r="E64" s="82">
        <f>D64/E21</f>
        <v>0.99755888194027642</v>
      </c>
    </row>
    <row r="65" spans="2:7">
      <c r="B65" s="195" t="s">
        <v>33</v>
      </c>
      <c r="C65" s="196" t="s">
        <v>115</v>
      </c>
      <c r="D65" s="81">
        <v>0</v>
      </c>
      <c r="E65" s="82">
        <v>0</v>
      </c>
    </row>
    <row r="66" spans="2:7">
      <c r="B66" s="195" t="s">
        <v>50</v>
      </c>
      <c r="C66" s="196" t="s">
        <v>51</v>
      </c>
      <c r="D66" s="81">
        <v>0</v>
      </c>
      <c r="E66" s="82">
        <v>0</v>
      </c>
    </row>
    <row r="67" spans="2:7">
      <c r="B67" s="193" t="s">
        <v>52</v>
      </c>
      <c r="C67" s="194" t="s">
        <v>53</v>
      </c>
      <c r="D67" s="79">
        <v>0</v>
      </c>
      <c r="E67" s="80">
        <v>0</v>
      </c>
    </row>
    <row r="68" spans="2:7">
      <c r="B68" s="193" t="s">
        <v>54</v>
      </c>
      <c r="C68" s="194" t="s">
        <v>55</v>
      </c>
      <c r="D68" s="79">
        <v>0</v>
      </c>
      <c r="E68" s="80">
        <v>0</v>
      </c>
    </row>
    <row r="69" spans="2:7" ht="15">
      <c r="B69" s="193" t="s">
        <v>56</v>
      </c>
      <c r="C69" s="194" t="s">
        <v>57</v>
      </c>
      <c r="D69" s="316">
        <v>0</v>
      </c>
      <c r="E69" s="80">
        <f>D69/E21</f>
        <v>0</v>
      </c>
    </row>
    <row r="70" spans="2:7">
      <c r="B70" s="236" t="s">
        <v>58</v>
      </c>
      <c r="C70" s="235" t="s">
        <v>59</v>
      </c>
      <c r="D70" s="116">
        <v>0</v>
      </c>
      <c r="E70" s="117">
        <v>0</v>
      </c>
      <c r="G70" s="73"/>
    </row>
    <row r="71" spans="2:7">
      <c r="B71" s="132" t="s">
        <v>23</v>
      </c>
      <c r="C71" s="123" t="s">
        <v>61</v>
      </c>
      <c r="D71" s="124">
        <f>E13</f>
        <v>2947.21</v>
      </c>
      <c r="E71" s="67">
        <f>D71/E21</f>
        <v>1.5120028491142682E-3</v>
      </c>
    </row>
    <row r="72" spans="2:7">
      <c r="B72" s="133" t="s">
        <v>60</v>
      </c>
      <c r="C72" s="119" t="s">
        <v>63</v>
      </c>
      <c r="D72" s="120">
        <f>E14</f>
        <v>5000</v>
      </c>
      <c r="E72" s="121">
        <f>D72/E21</f>
        <v>2.5651427097394966E-3</v>
      </c>
    </row>
    <row r="73" spans="2:7">
      <c r="B73" s="134" t="s">
        <v>62</v>
      </c>
      <c r="C73" s="24" t="s">
        <v>65</v>
      </c>
      <c r="D73" s="25">
        <f>E17</f>
        <v>3188.96</v>
      </c>
      <c r="E73" s="26">
        <f>D73/E21</f>
        <v>1.6360274991301729E-3</v>
      </c>
    </row>
    <row r="74" spans="2:7">
      <c r="B74" s="132" t="s">
        <v>64</v>
      </c>
      <c r="C74" s="123" t="s">
        <v>66</v>
      </c>
      <c r="D74" s="124">
        <f>D58+D72-D73+D71</f>
        <v>1949209.29</v>
      </c>
      <c r="E74" s="67">
        <f>E58+E72-E73+E71</f>
        <v>0.99999999999999989</v>
      </c>
    </row>
    <row r="75" spans="2:7">
      <c r="B75" s="193" t="s">
        <v>4</v>
      </c>
      <c r="C75" s="194" t="s">
        <v>67</v>
      </c>
      <c r="D75" s="79">
        <f>D74</f>
        <v>1949209.29</v>
      </c>
      <c r="E75" s="80">
        <f>E74</f>
        <v>0.99999999999999989</v>
      </c>
    </row>
    <row r="76" spans="2:7">
      <c r="B76" s="193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9.140625" customWidth="1"/>
    <col min="8" max="8" width="14.42578125" customWidth="1"/>
    <col min="9" max="9" width="7.140625" customWidth="1"/>
    <col min="10" max="10" width="16.5703125" customWidth="1"/>
    <col min="11" max="11" width="15.85546875" customWidth="1"/>
    <col min="12" max="12" width="14.5703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83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  <c r="G9" s="209"/>
    </row>
    <row r="10" spans="2:12" ht="13.5" thickBot="1">
      <c r="B10" s="88"/>
      <c r="C10" s="77" t="s">
        <v>2</v>
      </c>
      <c r="D10" s="257" t="s">
        <v>236</v>
      </c>
      <c r="E10" s="256" t="s">
        <v>242</v>
      </c>
      <c r="G10" s="73"/>
    </row>
    <row r="11" spans="2:12">
      <c r="B11" s="92" t="s">
        <v>3</v>
      </c>
      <c r="C11" s="204" t="s">
        <v>106</v>
      </c>
      <c r="D11" s="376">
        <v>236866481.09999999</v>
      </c>
      <c r="E11" s="377">
        <f>SUM(E12:E14)</f>
        <v>278658573.92999995</v>
      </c>
      <c r="H11" s="73"/>
    </row>
    <row r="12" spans="2:12">
      <c r="B12" s="182" t="s">
        <v>4</v>
      </c>
      <c r="C12" s="184" t="s">
        <v>5</v>
      </c>
      <c r="D12" s="378">
        <v>236177132.41</v>
      </c>
      <c r="E12" s="379">
        <f>282773778.53+109790.63-4224995.23</f>
        <v>278658573.92999995</v>
      </c>
      <c r="G12" s="73"/>
      <c r="H12" s="73"/>
    </row>
    <row r="13" spans="2:12">
      <c r="B13" s="182" t="s">
        <v>6</v>
      </c>
      <c r="C13" s="184" t="s">
        <v>7</v>
      </c>
      <c r="D13" s="380">
        <v>671860.57</v>
      </c>
      <c r="E13" s="381">
        <v>0</v>
      </c>
      <c r="H13" s="73"/>
    </row>
    <row r="14" spans="2:12">
      <c r="B14" s="182" t="s">
        <v>8</v>
      </c>
      <c r="C14" s="184" t="s">
        <v>10</v>
      </c>
      <c r="D14" s="380">
        <v>17488.12</v>
      </c>
      <c r="E14" s="381">
        <v>0</v>
      </c>
      <c r="G14" s="73"/>
      <c r="H14" s="73"/>
    </row>
    <row r="15" spans="2:12">
      <c r="B15" s="182" t="s">
        <v>103</v>
      </c>
      <c r="C15" s="184" t="s">
        <v>11</v>
      </c>
      <c r="D15" s="380">
        <v>17488.12</v>
      </c>
      <c r="E15" s="381">
        <v>0</v>
      </c>
      <c r="H15" s="73"/>
    </row>
    <row r="16" spans="2:12">
      <c r="B16" s="185" t="s">
        <v>104</v>
      </c>
      <c r="C16" s="186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24" t="s">
        <v>65</v>
      </c>
      <c r="D17" s="384">
        <v>369035.42</v>
      </c>
      <c r="E17" s="385">
        <f>E18</f>
        <v>376672.49</v>
      </c>
    </row>
    <row r="18" spans="2:11">
      <c r="B18" s="182" t="s">
        <v>4</v>
      </c>
      <c r="C18" s="184" t="s">
        <v>11</v>
      </c>
      <c r="D18" s="382">
        <v>369035.42</v>
      </c>
      <c r="E18" s="383">
        <v>376672.49</v>
      </c>
    </row>
    <row r="19" spans="2:11" ht="15" customHeight="1">
      <c r="B19" s="182" t="s">
        <v>6</v>
      </c>
      <c r="C19" s="184" t="s">
        <v>105</v>
      </c>
      <c r="D19" s="380">
        <v>0</v>
      </c>
      <c r="E19" s="381">
        <v>0</v>
      </c>
    </row>
    <row r="20" spans="2:11" ht="13.5" customHeight="1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236497445.68000001</v>
      </c>
      <c r="E21" s="389">
        <f>E11-E17</f>
        <v>278281901.43999994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6.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299989748.65000004</v>
      </c>
      <c r="E26" s="391">
        <f>D21</f>
        <v>236497445.68000001</v>
      </c>
    </row>
    <row r="27" spans="2:11">
      <c r="B27" s="9" t="s">
        <v>17</v>
      </c>
      <c r="C27" s="10" t="s">
        <v>108</v>
      </c>
      <c r="D27" s="392">
        <v>-4461752.0299999993</v>
      </c>
      <c r="E27" s="365">
        <v>-9394146.0399999935</v>
      </c>
      <c r="F27" s="73"/>
      <c r="G27" s="73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13547698.779999999</v>
      </c>
      <c r="E28" s="366">
        <v>12033606.820000006</v>
      </c>
      <c r="F28" s="73"/>
      <c r="G28" s="73"/>
      <c r="H28" s="243"/>
      <c r="I28" s="243"/>
      <c r="J28" s="216"/>
    </row>
    <row r="29" spans="2:11">
      <c r="B29" s="190" t="s">
        <v>4</v>
      </c>
      <c r="C29" s="183" t="s">
        <v>20</v>
      </c>
      <c r="D29" s="393">
        <v>11059104.49</v>
      </c>
      <c r="E29" s="367">
        <v>10515790.24</v>
      </c>
      <c r="F29" s="73"/>
      <c r="G29" s="73"/>
      <c r="H29" s="243"/>
      <c r="I29" s="243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243"/>
      <c r="J30" s="216"/>
    </row>
    <row r="31" spans="2:11">
      <c r="B31" s="190" t="s">
        <v>8</v>
      </c>
      <c r="C31" s="183" t="s">
        <v>22</v>
      </c>
      <c r="D31" s="393">
        <v>2488594.2899999996</v>
      </c>
      <c r="E31" s="367">
        <v>1517816.580000005</v>
      </c>
      <c r="F31" s="73"/>
      <c r="G31" s="73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18009450.809999999</v>
      </c>
      <c r="E32" s="366">
        <v>21427752.859999999</v>
      </c>
      <c r="F32" s="73"/>
      <c r="G32" s="73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13813427.26</v>
      </c>
      <c r="E33" s="367">
        <v>18201709.489999998</v>
      </c>
      <c r="F33" s="73"/>
      <c r="G33" s="73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526127.71</v>
      </c>
      <c r="E34" s="367">
        <v>277061.65000000002</v>
      </c>
      <c r="F34" s="73"/>
      <c r="G34" s="73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2733749.66</v>
      </c>
      <c r="E35" s="367">
        <v>2737205.94</v>
      </c>
      <c r="F35" s="73"/>
      <c r="G35" s="73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73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936146.17999999993</v>
      </c>
      <c r="E39" s="368">
        <v>211775.78</v>
      </c>
      <c r="F39" s="73"/>
      <c r="G39" s="73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-75833158.769999996</v>
      </c>
      <c r="E40" s="396">
        <v>51178601.799999997</v>
      </c>
    </row>
    <row r="41" spans="2:10" ht="13.5" thickBot="1">
      <c r="B41" s="101" t="s">
        <v>37</v>
      </c>
      <c r="C41" s="102" t="s">
        <v>38</v>
      </c>
      <c r="D41" s="397">
        <v>219694837.85000008</v>
      </c>
      <c r="E41" s="389">
        <f>E26+E27+E40</f>
        <v>278281901.44</v>
      </c>
      <c r="F41" s="78"/>
      <c r="G41" s="68"/>
    </row>
    <row r="42" spans="2:10">
      <c r="B42" s="95"/>
      <c r="C42" s="95"/>
      <c r="D42" s="96"/>
      <c r="E42" s="96"/>
      <c r="F42" s="78"/>
    </row>
    <row r="43" spans="2:10" ht="13.5">
      <c r="B43" s="461" t="s">
        <v>60</v>
      </c>
      <c r="C43" s="462"/>
      <c r="D43" s="462"/>
      <c r="E43" s="462"/>
    </row>
    <row r="44" spans="2:10" ht="15.75" customHeight="1" thickBot="1">
      <c r="B44" s="459" t="s">
        <v>118</v>
      </c>
      <c r="C44" s="463"/>
      <c r="D44" s="463"/>
      <c r="E44" s="46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</row>
    <row r="46" spans="2:10">
      <c r="B46" s="13" t="s">
        <v>18</v>
      </c>
      <c r="C46" s="30" t="s">
        <v>109</v>
      </c>
      <c r="D46" s="103"/>
      <c r="E46" s="28"/>
    </row>
    <row r="47" spans="2:10">
      <c r="B47" s="193" t="s">
        <v>4</v>
      </c>
      <c r="C47" s="194" t="s">
        <v>40</v>
      </c>
      <c r="D47" s="310">
        <v>10753475.656500001</v>
      </c>
      <c r="E47" s="283">
        <v>10429495.1403</v>
      </c>
      <c r="G47" s="154"/>
    </row>
    <row r="48" spans="2:10">
      <c r="B48" s="195" t="s">
        <v>6</v>
      </c>
      <c r="C48" s="196" t="s">
        <v>41</v>
      </c>
      <c r="D48" s="310">
        <v>10488011.643100001</v>
      </c>
      <c r="E48" s="307">
        <v>10084269.932</v>
      </c>
      <c r="G48" s="253"/>
      <c r="H48" s="253"/>
      <c r="I48" s="201"/>
      <c r="J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27.896999999999998</v>
      </c>
      <c r="E50" s="284">
        <v>22.675799999999999</v>
      </c>
      <c r="G50" s="181"/>
    </row>
    <row r="51" spans="2:7">
      <c r="B51" s="193" t="s">
        <v>6</v>
      </c>
      <c r="C51" s="194" t="s">
        <v>111</v>
      </c>
      <c r="D51" s="310">
        <v>20.146800000000002</v>
      </c>
      <c r="E51" s="284">
        <v>22.675799999999999</v>
      </c>
      <c r="G51" s="181"/>
    </row>
    <row r="52" spans="2:7">
      <c r="B52" s="193" t="s">
        <v>8</v>
      </c>
      <c r="C52" s="194" t="s">
        <v>112</v>
      </c>
      <c r="D52" s="310">
        <v>28.760200000000001</v>
      </c>
      <c r="E52" s="284">
        <v>27.595600000000001</v>
      </c>
    </row>
    <row r="53" spans="2:7" ht="12.75" customHeight="1" thickBot="1">
      <c r="B53" s="197" t="s">
        <v>9</v>
      </c>
      <c r="C53" s="198" t="s">
        <v>41</v>
      </c>
      <c r="D53" s="308">
        <v>20.947200000000002</v>
      </c>
      <c r="E53" s="267">
        <v>27.595600000000001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278658573.92999995</v>
      </c>
      <c r="E58" s="31">
        <f>D58/E21</f>
        <v>1.0013535644540694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5.5">
      <c r="B60" s="1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4" t="s">
        <v>8</v>
      </c>
      <c r="C61" s="15" t="s">
        <v>46</v>
      </c>
      <c r="D61" s="79">
        <v>0</v>
      </c>
      <c r="E61" s="80">
        <v>0</v>
      </c>
      <c r="G61" s="73"/>
    </row>
    <row r="62" spans="2:7">
      <c r="B62" s="14" t="s">
        <v>9</v>
      </c>
      <c r="C62" s="15" t="s">
        <v>47</v>
      </c>
      <c r="D62" s="79">
        <v>0</v>
      </c>
      <c r="E62" s="80">
        <v>0</v>
      </c>
      <c r="G62" s="73"/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81">
        <f>E12-109790.63</f>
        <v>278548783.29999995</v>
      </c>
      <c r="E64" s="82">
        <f>D64/E21</f>
        <v>1.0009590341974055</v>
      </c>
      <c r="G64" s="73"/>
    </row>
    <row r="65" spans="2:5">
      <c r="B65" s="21" t="s">
        <v>33</v>
      </c>
      <c r="C65" s="22" t="s">
        <v>115</v>
      </c>
      <c r="D65" s="81">
        <v>0</v>
      </c>
      <c r="E65" s="82">
        <v>0</v>
      </c>
    </row>
    <row r="66" spans="2:5">
      <c r="B66" s="21" t="s">
        <v>50</v>
      </c>
      <c r="C66" s="22" t="s">
        <v>51</v>
      </c>
      <c r="D66" s="81">
        <v>0</v>
      </c>
      <c r="E66" s="82">
        <v>0</v>
      </c>
    </row>
    <row r="67" spans="2:5">
      <c r="B67" s="14" t="s">
        <v>52</v>
      </c>
      <c r="C67" s="15" t="s">
        <v>53</v>
      </c>
      <c r="D67" s="79">
        <v>0</v>
      </c>
      <c r="E67" s="80">
        <v>0</v>
      </c>
    </row>
    <row r="68" spans="2:5">
      <c r="B68" s="14" t="s">
        <v>54</v>
      </c>
      <c r="C68" s="15" t="s">
        <v>55</v>
      </c>
      <c r="D68" s="79">
        <v>0</v>
      </c>
      <c r="E68" s="80">
        <v>0</v>
      </c>
    </row>
    <row r="69" spans="2:5">
      <c r="B69" s="14" t="s">
        <v>56</v>
      </c>
      <c r="C69" s="15" t="s">
        <v>57</v>
      </c>
      <c r="D69" s="309">
        <v>109790.63</v>
      </c>
      <c r="E69" s="80">
        <f>D69/E21</f>
        <v>3.9453025666375159E-4</v>
      </c>
    </row>
    <row r="70" spans="2:5">
      <c r="B70" s="114" t="s">
        <v>58</v>
      </c>
      <c r="C70" s="115" t="s">
        <v>59</v>
      </c>
      <c r="D70" s="116">
        <v>0</v>
      </c>
      <c r="E70" s="117">
        <v>0</v>
      </c>
    </row>
    <row r="71" spans="2:5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18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5">
      <c r="B73" s="23" t="s">
        <v>62</v>
      </c>
      <c r="C73" s="24" t="s">
        <v>65</v>
      </c>
      <c r="D73" s="25">
        <f>E17</f>
        <v>376672.49</v>
      </c>
      <c r="E73" s="26">
        <f>D73/E21</f>
        <v>1.3535644540692991E-3</v>
      </c>
    </row>
    <row r="74" spans="2:5">
      <c r="B74" s="122" t="s">
        <v>64</v>
      </c>
      <c r="C74" s="123" t="s">
        <v>66</v>
      </c>
      <c r="D74" s="124">
        <f>D58+D71+D72-D73</f>
        <v>278281901.43999994</v>
      </c>
      <c r="E74" s="67">
        <f>E58+E71+E72-E73</f>
        <v>1.0000000000000002</v>
      </c>
    </row>
    <row r="75" spans="2:5">
      <c r="B75" s="14" t="s">
        <v>4</v>
      </c>
      <c r="C75" s="15" t="s">
        <v>67</v>
      </c>
      <c r="D75" s="79">
        <f>D74</f>
        <v>278281901.43999994</v>
      </c>
      <c r="E75" s="80">
        <f>E74</f>
        <v>1.0000000000000002</v>
      </c>
    </row>
    <row r="76" spans="2:5">
      <c r="B76" s="1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29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140625" customWidth="1"/>
    <col min="9" max="9" width="13.28515625" customWidth="1"/>
    <col min="10" max="10" width="13.5703125" customWidth="1"/>
    <col min="11" max="11" width="14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75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8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3022483.4000000004</v>
      </c>
      <c r="E11" s="377">
        <f>SUM(E12:E14)</f>
        <v>3052413.7600000002</v>
      </c>
    </row>
    <row r="12" spans="2:12">
      <c r="B12" s="182" t="s">
        <v>4</v>
      </c>
      <c r="C12" s="240" t="s">
        <v>5</v>
      </c>
      <c r="D12" s="378">
        <v>3009900.74</v>
      </c>
      <c r="E12" s="379">
        <v>3040053.02</v>
      </c>
      <c r="G12" s="68"/>
    </row>
    <row r="13" spans="2:12">
      <c r="B13" s="182" t="s">
        <v>6</v>
      </c>
      <c r="C13" s="240" t="s">
        <v>7</v>
      </c>
      <c r="D13" s="380">
        <v>4082.66</v>
      </c>
      <c r="E13" s="381">
        <v>4960.74</v>
      </c>
      <c r="H13" s="73"/>
    </row>
    <row r="14" spans="2:12">
      <c r="B14" s="182" t="s">
        <v>8</v>
      </c>
      <c r="C14" s="240" t="s">
        <v>10</v>
      </c>
      <c r="D14" s="380">
        <v>8500</v>
      </c>
      <c r="E14" s="381">
        <f>E15</f>
        <v>7400</v>
      </c>
      <c r="G14" s="68"/>
      <c r="H14" s="73"/>
    </row>
    <row r="15" spans="2:12">
      <c r="B15" s="182" t="s">
        <v>103</v>
      </c>
      <c r="C15" s="240" t="s">
        <v>11</v>
      </c>
      <c r="D15" s="380">
        <v>8500</v>
      </c>
      <c r="E15" s="381">
        <v>7400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5046.5</v>
      </c>
      <c r="E17" s="385">
        <f>E18</f>
        <v>4972.26</v>
      </c>
      <c r="H17" s="73"/>
    </row>
    <row r="18" spans="2:11">
      <c r="B18" s="182" t="s">
        <v>4</v>
      </c>
      <c r="C18" s="240" t="s">
        <v>11</v>
      </c>
      <c r="D18" s="382">
        <v>5046.5</v>
      </c>
      <c r="E18" s="383">
        <v>4972.26</v>
      </c>
      <c r="H18" s="73"/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3017436.9000000004</v>
      </c>
      <c r="E21" s="389">
        <f>E11-E17</f>
        <v>3047441.5000000005</v>
      </c>
      <c r="F21" s="78"/>
      <c r="G21" s="78"/>
      <c r="H21" s="169"/>
      <c r="J21" s="228"/>
      <c r="K21" s="68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38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3501246.67</v>
      </c>
      <c r="E26" s="391">
        <f>D21</f>
        <v>3017436.9000000004</v>
      </c>
      <c r="G26" s="75"/>
    </row>
    <row r="27" spans="2:11">
      <c r="B27" s="9" t="s">
        <v>17</v>
      </c>
      <c r="C27" s="10" t="s">
        <v>108</v>
      </c>
      <c r="D27" s="392">
        <v>-322615.34999999998</v>
      </c>
      <c r="E27" s="365">
        <v>-73265.38</v>
      </c>
      <c r="F27" s="73"/>
      <c r="G27" s="243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322615.34999999998</v>
      </c>
      <c r="E32" s="366">
        <v>73265.38</v>
      </c>
      <c r="F32" s="73"/>
      <c r="G32" s="243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157445.16</v>
      </c>
      <c r="E33" s="367">
        <v>41746.74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129971.81</v>
      </c>
      <c r="E34" s="367">
        <v>12131.37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21757.54</v>
      </c>
      <c r="E35" s="367">
        <v>19368.88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13440.84</v>
      </c>
      <c r="E39" s="368">
        <v>18.39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-72779.899999999994</v>
      </c>
      <c r="E40" s="396">
        <v>103269.97999999998</v>
      </c>
      <c r="G40" s="75"/>
      <c r="H40" s="272"/>
    </row>
    <row r="41" spans="2:10" ht="13.5" thickBot="1">
      <c r="B41" s="101" t="s">
        <v>37</v>
      </c>
      <c r="C41" s="102" t="s">
        <v>38</v>
      </c>
      <c r="D41" s="397">
        <v>3105851.42</v>
      </c>
      <c r="E41" s="389">
        <f>E26+E27+E40</f>
        <v>3047441.5000000005</v>
      </c>
      <c r="F41" s="78"/>
      <c r="G41" s="75"/>
      <c r="H41" s="24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38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368338.61145500001</v>
      </c>
      <c r="E47" s="283">
        <v>320947.92085499997</v>
      </c>
      <c r="G47" s="73"/>
    </row>
    <row r="48" spans="2:10">
      <c r="B48" s="195" t="s">
        <v>6</v>
      </c>
      <c r="C48" s="196" t="s">
        <v>41</v>
      </c>
      <c r="D48" s="310">
        <v>333832.388095</v>
      </c>
      <c r="E48" s="283">
        <v>313365.65543599997</v>
      </c>
      <c r="G48" s="73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9.5055110000000003</v>
      </c>
      <c r="E50" s="283">
        <v>9.4016400000000004</v>
      </c>
      <c r="G50" s="181"/>
    </row>
    <row r="51" spans="2:7">
      <c r="B51" s="193" t="s">
        <v>6</v>
      </c>
      <c r="C51" s="194" t="s">
        <v>111</v>
      </c>
      <c r="D51" s="310">
        <v>9.2595600000000005</v>
      </c>
      <c r="E51" s="283">
        <v>9.4016400000000004</v>
      </c>
      <c r="G51" s="181"/>
    </row>
    <row r="52" spans="2:7" ht="12.75" customHeight="1">
      <c r="B52" s="193" t="s">
        <v>8</v>
      </c>
      <c r="C52" s="194" t="s">
        <v>112</v>
      </c>
      <c r="D52" s="310">
        <v>9.5612549999999992</v>
      </c>
      <c r="E52" s="283">
        <v>9.8171130000000009</v>
      </c>
    </row>
    <row r="53" spans="2:7" ht="13.5" thickBot="1">
      <c r="B53" s="197" t="s">
        <v>9</v>
      </c>
      <c r="C53" s="198" t="s">
        <v>41</v>
      </c>
      <c r="D53" s="308">
        <v>9.3036250000000003</v>
      </c>
      <c r="E53" s="267">
        <v>9.7248739999999998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6.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3040053.02</v>
      </c>
      <c r="E58" s="31">
        <f>D58/E21</f>
        <v>0.99757551375473474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81">
        <f>E12</f>
        <v>3040053.02</v>
      </c>
      <c r="E64" s="82">
        <f>D64/E21</f>
        <v>0.99757551375473474</v>
      </c>
    </row>
    <row r="65" spans="2:7">
      <c r="B65" s="195" t="s">
        <v>33</v>
      </c>
      <c r="C65" s="196" t="s">
        <v>115</v>
      </c>
      <c r="D65" s="81">
        <v>0</v>
      </c>
      <c r="E65" s="82">
        <v>0</v>
      </c>
    </row>
    <row r="66" spans="2:7">
      <c r="B66" s="195" t="s">
        <v>50</v>
      </c>
      <c r="C66" s="196" t="s">
        <v>51</v>
      </c>
      <c r="D66" s="81">
        <v>0</v>
      </c>
      <c r="E66" s="82">
        <v>0</v>
      </c>
    </row>
    <row r="67" spans="2:7">
      <c r="B67" s="193" t="s">
        <v>52</v>
      </c>
      <c r="C67" s="194" t="s">
        <v>53</v>
      </c>
      <c r="D67" s="79">
        <v>0</v>
      </c>
      <c r="E67" s="80">
        <v>0</v>
      </c>
    </row>
    <row r="68" spans="2:7">
      <c r="B68" s="193" t="s">
        <v>54</v>
      </c>
      <c r="C68" s="194" t="s">
        <v>55</v>
      </c>
      <c r="D68" s="79">
        <v>0</v>
      </c>
      <c r="E68" s="80">
        <v>0</v>
      </c>
      <c r="G68" s="73"/>
    </row>
    <row r="69" spans="2:7" ht="15">
      <c r="B69" s="193" t="s">
        <v>56</v>
      </c>
      <c r="C69" s="194" t="s">
        <v>57</v>
      </c>
      <c r="D69" s="316">
        <v>0</v>
      </c>
      <c r="E69" s="80">
        <f>D69/E21</f>
        <v>0</v>
      </c>
    </row>
    <row r="70" spans="2:7">
      <c r="B70" s="236" t="s">
        <v>58</v>
      </c>
      <c r="C70" s="235" t="s">
        <v>59</v>
      </c>
      <c r="D70" s="116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4960.74</v>
      </c>
      <c r="E71" s="67">
        <f>D71/E21</f>
        <v>1.627837646760405E-3</v>
      </c>
    </row>
    <row r="72" spans="2:7">
      <c r="B72" s="133" t="s">
        <v>60</v>
      </c>
      <c r="C72" s="119" t="s">
        <v>63</v>
      </c>
      <c r="D72" s="120">
        <f>E14</f>
        <v>7400</v>
      </c>
      <c r="E72" s="121">
        <f>D72/E21</f>
        <v>2.4282664654924463E-3</v>
      </c>
    </row>
    <row r="73" spans="2:7">
      <c r="B73" s="134" t="s">
        <v>62</v>
      </c>
      <c r="C73" s="24" t="s">
        <v>65</v>
      </c>
      <c r="D73" s="25">
        <f>E17</f>
        <v>4972.26</v>
      </c>
      <c r="E73" s="26">
        <f>D73/E21</f>
        <v>1.6316178669877664E-3</v>
      </c>
    </row>
    <row r="74" spans="2:7">
      <c r="B74" s="132" t="s">
        <v>64</v>
      </c>
      <c r="C74" s="123" t="s">
        <v>66</v>
      </c>
      <c r="D74" s="124">
        <f>D58+D71+D72-D73</f>
        <v>3047441.5000000005</v>
      </c>
      <c r="E74" s="67">
        <f>E58+E72-E73+E71</f>
        <v>1</v>
      </c>
    </row>
    <row r="75" spans="2:7">
      <c r="B75" s="193" t="s">
        <v>4</v>
      </c>
      <c r="C75" s="194" t="s">
        <v>67</v>
      </c>
      <c r="D75" s="79">
        <f>D74</f>
        <v>3047441.5000000005</v>
      </c>
      <c r="E75" s="80">
        <f>E74</f>
        <v>1</v>
      </c>
    </row>
    <row r="76" spans="2:7">
      <c r="B76" s="193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30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97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8"/>
      <c r="C10" s="222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5880462.7400000002</v>
      </c>
      <c r="E11" s="377">
        <f>SUM(E12:E14)</f>
        <v>3162431.94</v>
      </c>
    </row>
    <row r="12" spans="2:12">
      <c r="B12" s="182" t="s">
        <v>4</v>
      </c>
      <c r="C12" s="240" t="s">
        <v>5</v>
      </c>
      <c r="D12" s="378">
        <v>5855816.5899999999</v>
      </c>
      <c r="E12" s="379">
        <v>3149697.04</v>
      </c>
      <c r="G12" s="68"/>
      <c r="H12" s="73"/>
    </row>
    <row r="13" spans="2:12">
      <c r="B13" s="182" t="s">
        <v>6</v>
      </c>
      <c r="C13" s="240" t="s">
        <v>7</v>
      </c>
      <c r="D13" s="380">
        <v>12646.24</v>
      </c>
      <c r="E13" s="381">
        <v>12734.9</v>
      </c>
      <c r="H13" s="73"/>
    </row>
    <row r="14" spans="2:12">
      <c r="B14" s="182" t="s">
        <v>8</v>
      </c>
      <c r="C14" s="240" t="s">
        <v>10</v>
      </c>
      <c r="D14" s="380">
        <v>11999.91</v>
      </c>
      <c r="E14" s="381">
        <f>E15</f>
        <v>0</v>
      </c>
      <c r="G14" s="68"/>
      <c r="H14" s="73"/>
    </row>
    <row r="15" spans="2:12">
      <c r="B15" s="182" t="s">
        <v>103</v>
      </c>
      <c r="C15" s="240" t="s">
        <v>11</v>
      </c>
      <c r="D15" s="380">
        <v>11999.91</v>
      </c>
      <c r="E15" s="381">
        <v>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9592.07</v>
      </c>
      <c r="E17" s="385">
        <f>E18</f>
        <v>5023.3</v>
      </c>
      <c r="H17" s="73"/>
    </row>
    <row r="18" spans="2:11">
      <c r="B18" s="182" t="s">
        <v>4</v>
      </c>
      <c r="C18" s="240" t="s">
        <v>11</v>
      </c>
      <c r="D18" s="382">
        <v>9592.07</v>
      </c>
      <c r="E18" s="383">
        <v>5023.3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5870870.6699999999</v>
      </c>
      <c r="E21" s="389">
        <f>E11-E17</f>
        <v>3157408.64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6419288.8200000003</v>
      </c>
      <c r="E26" s="391">
        <f>D21</f>
        <v>5870870.6699999999</v>
      </c>
      <c r="G26" s="75"/>
    </row>
    <row r="27" spans="2:11">
      <c r="B27" s="9" t="s">
        <v>17</v>
      </c>
      <c r="C27" s="10" t="s">
        <v>108</v>
      </c>
      <c r="D27" s="392">
        <v>-68008.66</v>
      </c>
      <c r="E27" s="365">
        <v>-2982677.31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41.89</v>
      </c>
      <c r="E28" s="366">
        <v>0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41.89</v>
      </c>
      <c r="E31" s="367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68050.55</v>
      </c>
      <c r="E32" s="366">
        <v>2982677.31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55845.54</v>
      </c>
      <c r="E33" s="367">
        <v>2949168.93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25631.02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12205.01</v>
      </c>
      <c r="E35" s="367">
        <v>7854.85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22.51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-503082.05</v>
      </c>
      <c r="E40" s="396">
        <v>269215.27999999997</v>
      </c>
      <c r="G40" s="75"/>
    </row>
    <row r="41" spans="2:10" ht="13.5" thickBot="1">
      <c r="B41" s="101" t="s">
        <v>37</v>
      </c>
      <c r="C41" s="102" t="s">
        <v>38</v>
      </c>
      <c r="D41" s="397">
        <v>5848198.1100000003</v>
      </c>
      <c r="E41" s="389">
        <f>E26+E27+E40</f>
        <v>3157408.6399999997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625057.92188000004</v>
      </c>
      <c r="E47" s="283">
        <v>595753.82068500004</v>
      </c>
      <c r="G47" s="73"/>
    </row>
    <row r="48" spans="2:10">
      <c r="B48" s="195" t="s">
        <v>6</v>
      </c>
      <c r="C48" s="196" t="s">
        <v>41</v>
      </c>
      <c r="D48" s="310">
        <v>618000.04362500005</v>
      </c>
      <c r="E48" s="283">
        <v>305723.55160599999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10.269909999999999</v>
      </c>
      <c r="E50" s="283">
        <v>9.8545250000000006</v>
      </c>
      <c r="G50" s="181"/>
    </row>
    <row r="51" spans="2:7">
      <c r="B51" s="193" t="s">
        <v>6</v>
      </c>
      <c r="C51" s="194" t="s">
        <v>111</v>
      </c>
      <c r="D51" s="310">
        <v>9.2716200000000004</v>
      </c>
      <c r="E51" s="283">
        <v>9.8545250000000006</v>
      </c>
      <c r="G51" s="181"/>
    </row>
    <row r="52" spans="2:7" ht="12.75" customHeight="1">
      <c r="B52" s="193" t="s">
        <v>8</v>
      </c>
      <c r="C52" s="194" t="s">
        <v>112</v>
      </c>
      <c r="D52" s="310">
        <v>10.268839</v>
      </c>
      <c r="E52" s="283">
        <v>10.360908</v>
      </c>
    </row>
    <row r="53" spans="2:7" ht="13.5" thickBot="1">
      <c r="B53" s="197" t="s">
        <v>9</v>
      </c>
      <c r="C53" s="198" t="s">
        <v>41</v>
      </c>
      <c r="D53" s="308">
        <v>9.4631030000000003</v>
      </c>
      <c r="E53" s="329">
        <v>10.327659000000001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3149697.04</v>
      </c>
      <c r="E58" s="31">
        <f>D58/E21</f>
        <v>0.99755761737574766</v>
      </c>
    </row>
    <row r="59" spans="2:7" ht="25.5">
      <c r="B59" s="19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193" t="s">
        <v>6</v>
      </c>
      <c r="C60" s="194" t="s">
        <v>45</v>
      </c>
      <c r="D60" s="79">
        <v>0</v>
      </c>
      <c r="E60" s="80">
        <v>0</v>
      </c>
    </row>
    <row r="61" spans="2:7">
      <c r="B61" s="193" t="s">
        <v>8</v>
      </c>
      <c r="C61" s="194" t="s">
        <v>46</v>
      </c>
      <c r="D61" s="79">
        <v>0</v>
      </c>
      <c r="E61" s="80">
        <v>0</v>
      </c>
    </row>
    <row r="62" spans="2:7">
      <c r="B62" s="193" t="s">
        <v>9</v>
      </c>
      <c r="C62" s="194" t="s">
        <v>47</v>
      </c>
      <c r="D62" s="79">
        <v>0</v>
      </c>
      <c r="E62" s="80">
        <v>0</v>
      </c>
    </row>
    <row r="63" spans="2:7">
      <c r="B63" s="193" t="s">
        <v>29</v>
      </c>
      <c r="C63" s="194" t="s">
        <v>48</v>
      </c>
      <c r="D63" s="79">
        <v>0</v>
      </c>
      <c r="E63" s="80">
        <v>0</v>
      </c>
    </row>
    <row r="64" spans="2:7">
      <c r="B64" s="195" t="s">
        <v>31</v>
      </c>
      <c r="C64" s="196" t="s">
        <v>49</v>
      </c>
      <c r="D64" s="279">
        <f>E12</f>
        <v>3149697.04</v>
      </c>
      <c r="E64" s="317">
        <f>D64/E21</f>
        <v>0.99755761737574766</v>
      </c>
    </row>
    <row r="65" spans="2:7">
      <c r="B65" s="195" t="s">
        <v>33</v>
      </c>
      <c r="C65" s="196" t="s">
        <v>115</v>
      </c>
      <c r="D65" s="81">
        <v>0</v>
      </c>
      <c r="E65" s="82">
        <v>0</v>
      </c>
    </row>
    <row r="66" spans="2:7">
      <c r="B66" s="195" t="s">
        <v>50</v>
      </c>
      <c r="C66" s="196" t="s">
        <v>51</v>
      </c>
      <c r="D66" s="81">
        <v>0</v>
      </c>
      <c r="E66" s="82">
        <v>0</v>
      </c>
      <c r="G66" s="73"/>
    </row>
    <row r="67" spans="2:7">
      <c r="B67" s="193" t="s">
        <v>52</v>
      </c>
      <c r="C67" s="194" t="s">
        <v>53</v>
      </c>
      <c r="D67" s="79">
        <v>0</v>
      </c>
      <c r="E67" s="80">
        <v>0</v>
      </c>
    </row>
    <row r="68" spans="2:7">
      <c r="B68" s="193" t="s">
        <v>54</v>
      </c>
      <c r="C68" s="194" t="s">
        <v>55</v>
      </c>
      <c r="D68" s="79">
        <v>0</v>
      </c>
      <c r="E68" s="80">
        <v>0</v>
      </c>
    </row>
    <row r="69" spans="2:7" ht="15">
      <c r="B69" s="193" t="s">
        <v>56</v>
      </c>
      <c r="C69" s="194" t="s">
        <v>57</v>
      </c>
      <c r="D69" s="316">
        <v>0</v>
      </c>
      <c r="E69" s="80">
        <f>D69/E21</f>
        <v>0</v>
      </c>
    </row>
    <row r="70" spans="2:7">
      <c r="B70" s="236" t="s">
        <v>58</v>
      </c>
      <c r="C70" s="235" t="s">
        <v>59</v>
      </c>
      <c r="D70" s="116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12734.9</v>
      </c>
      <c r="E71" s="67">
        <f>D71/E21</f>
        <v>4.0333391879234229E-3</v>
      </c>
    </row>
    <row r="72" spans="2:7">
      <c r="B72" s="133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7">
      <c r="B73" s="134" t="s">
        <v>62</v>
      </c>
      <c r="C73" s="24" t="s">
        <v>65</v>
      </c>
      <c r="D73" s="25">
        <f>E17</f>
        <v>5023.3</v>
      </c>
      <c r="E73" s="26">
        <f>D73/E21</f>
        <v>1.5909565636711503E-3</v>
      </c>
    </row>
    <row r="74" spans="2:7">
      <c r="B74" s="132" t="s">
        <v>64</v>
      </c>
      <c r="C74" s="123" t="s">
        <v>66</v>
      </c>
      <c r="D74" s="124">
        <f>D58+D72-D73+D71</f>
        <v>3157408.64</v>
      </c>
      <c r="E74" s="67">
        <f>E58+E72-E73+E71</f>
        <v>0.99999999999999989</v>
      </c>
    </row>
    <row r="75" spans="2:7">
      <c r="B75" s="193" t="s">
        <v>4</v>
      </c>
      <c r="C75" s="194" t="s">
        <v>67</v>
      </c>
      <c r="D75" s="79">
        <f>D74</f>
        <v>3157408.64</v>
      </c>
      <c r="E75" s="80">
        <f>E74</f>
        <v>0.99999999999999989</v>
      </c>
    </row>
    <row r="76" spans="2:7">
      <c r="B76" s="193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97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usz31"/>
  <dimension ref="A1:L81"/>
  <sheetViews>
    <sheetView zoomScale="80" zoomScaleNormal="80" workbookViewId="0">
      <selection activeCell="G28" sqref="G1:J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" customWidth="1"/>
    <col min="9" max="9" width="13.28515625" customWidth="1"/>
    <col min="10" max="10" width="13.5703125" customWidth="1"/>
    <col min="11" max="11" width="18.4257812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74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204" t="s">
        <v>106</v>
      </c>
      <c r="D11" s="376">
        <v>5973837.6899999995</v>
      </c>
      <c r="E11" s="377">
        <f>SUM(E12:E14)</f>
        <v>6297924.4000000004</v>
      </c>
      <c r="H11" s="73"/>
    </row>
    <row r="12" spans="2:12">
      <c r="B12" s="108" t="s">
        <v>4</v>
      </c>
      <c r="C12" s="205" t="s">
        <v>5</v>
      </c>
      <c r="D12" s="378">
        <v>5948615.1299999999</v>
      </c>
      <c r="E12" s="379">
        <v>6272465.1699999999</v>
      </c>
      <c r="G12" s="68"/>
      <c r="H12" s="73"/>
    </row>
    <row r="13" spans="2:12">
      <c r="B13" s="108" t="s">
        <v>6</v>
      </c>
      <c r="C13" s="205" t="s">
        <v>7</v>
      </c>
      <c r="D13" s="380">
        <v>8222.56</v>
      </c>
      <c r="E13" s="381">
        <v>9159.23</v>
      </c>
      <c r="H13" s="73"/>
    </row>
    <row r="14" spans="2:12">
      <c r="B14" s="108" t="s">
        <v>8</v>
      </c>
      <c r="C14" s="205" t="s">
        <v>10</v>
      </c>
      <c r="D14" s="380">
        <v>17000</v>
      </c>
      <c r="E14" s="381">
        <f>E15</f>
        <v>16300</v>
      </c>
      <c r="G14" s="68"/>
      <c r="H14" s="73"/>
    </row>
    <row r="15" spans="2:12">
      <c r="B15" s="108" t="s">
        <v>103</v>
      </c>
      <c r="C15" s="205" t="s">
        <v>11</v>
      </c>
      <c r="D15" s="380">
        <v>17000</v>
      </c>
      <c r="E15" s="381">
        <v>16300</v>
      </c>
      <c r="H15" s="73"/>
    </row>
    <row r="16" spans="2:12">
      <c r="B16" s="109" t="s">
        <v>104</v>
      </c>
      <c r="C16" s="206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10322.93</v>
      </c>
      <c r="E17" s="385">
        <f>E18</f>
        <v>10512.22</v>
      </c>
    </row>
    <row r="18" spans="2:11">
      <c r="B18" s="108" t="s">
        <v>4</v>
      </c>
      <c r="C18" s="205" t="s">
        <v>11</v>
      </c>
      <c r="D18" s="382">
        <v>10322.93</v>
      </c>
      <c r="E18" s="383">
        <v>10512.22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5963514.7599999998</v>
      </c>
      <c r="E21" s="389">
        <f>E11-E17</f>
        <v>6287412.1800000006</v>
      </c>
      <c r="F21" s="78"/>
      <c r="G21" s="78"/>
      <c r="H21" s="169"/>
      <c r="J21" s="227"/>
      <c r="K21" s="169">
        <f>E21-E41</f>
        <v>0</v>
      </c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6860946.2300000004</v>
      </c>
      <c r="E26" s="391">
        <f>D21</f>
        <v>5963514.7599999998</v>
      </c>
      <c r="G26" s="75"/>
    </row>
    <row r="27" spans="2:11">
      <c r="B27" s="9" t="s">
        <v>17</v>
      </c>
      <c r="C27" s="10" t="s">
        <v>108</v>
      </c>
      <c r="D27" s="392">
        <v>-510592.31</v>
      </c>
      <c r="E27" s="365">
        <v>-136692.15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3320.44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0</v>
      </c>
      <c r="E29" s="367">
        <v>151.19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0</v>
      </c>
      <c r="E31" s="367">
        <v>3169.25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510592.31</v>
      </c>
      <c r="E32" s="366">
        <v>140012.59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401911.04000000004</v>
      </c>
      <c r="E33" s="367">
        <v>81531.89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46661.23</v>
      </c>
      <c r="E34" s="367">
        <v>15379.26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48928.6</v>
      </c>
      <c r="E35" s="367">
        <v>43013.15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0</v>
      </c>
      <c r="E37" s="367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13091.44</v>
      </c>
      <c r="E39" s="368">
        <v>88.29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-204266.56</v>
      </c>
      <c r="E40" s="396">
        <v>460589.57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6146087.3600000013</v>
      </c>
      <c r="E41" s="389">
        <f>E26+E27+E40</f>
        <v>6287412.1799999997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758699.21763700002</v>
      </c>
      <c r="E47" s="283">
        <v>658131.06911799998</v>
      </c>
      <c r="G47" s="73"/>
    </row>
    <row r="48" spans="2:10">
      <c r="B48" s="125" t="s">
        <v>6</v>
      </c>
      <c r="C48" s="22" t="s">
        <v>41</v>
      </c>
      <c r="D48" s="310">
        <v>701103.29864199995</v>
      </c>
      <c r="E48" s="283">
        <v>643547.56485600001</v>
      </c>
      <c r="G48" s="73"/>
      <c r="I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9.0430379999999992</v>
      </c>
      <c r="E50" s="281">
        <v>9.0612870000000001</v>
      </c>
      <c r="G50" s="181"/>
    </row>
    <row r="51" spans="2:7">
      <c r="B51" s="104" t="s">
        <v>6</v>
      </c>
      <c r="C51" s="15" t="s">
        <v>111</v>
      </c>
      <c r="D51" s="310">
        <v>8.7304919999999999</v>
      </c>
      <c r="E51" s="281">
        <v>9.0612999999999992</v>
      </c>
      <c r="G51" s="181"/>
    </row>
    <row r="52" spans="2:7" ht="12.75" customHeight="1">
      <c r="B52" s="104" t="s">
        <v>8</v>
      </c>
      <c r="C52" s="15" t="s">
        <v>112</v>
      </c>
      <c r="D52" s="310">
        <v>9.1393829999999987</v>
      </c>
      <c r="E52" s="281">
        <v>9.7699259999999999</v>
      </c>
    </row>
    <row r="53" spans="2:7" ht="13.5" thickBot="1">
      <c r="B53" s="105" t="s">
        <v>9</v>
      </c>
      <c r="C53" s="17" t="s">
        <v>41</v>
      </c>
      <c r="D53" s="308">
        <v>8.7663080000000004</v>
      </c>
      <c r="E53" s="267">
        <v>9.7699259999999999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D64+D69</f>
        <v>6272465.1699999999</v>
      </c>
      <c r="E58" s="31">
        <f>D58/E21</f>
        <v>0.99762270874374248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279">
        <f>E12</f>
        <v>6272465.1699999999</v>
      </c>
      <c r="E64" s="317">
        <f>D64/E21</f>
        <v>0.99762270874374248</v>
      </c>
    </row>
    <row r="65" spans="2:7">
      <c r="B65" s="125" t="s">
        <v>33</v>
      </c>
      <c r="C65" s="22" t="s">
        <v>115</v>
      </c>
      <c r="D65" s="81">
        <v>0</v>
      </c>
      <c r="E65" s="82">
        <v>0</v>
      </c>
    </row>
    <row r="66" spans="2:7">
      <c r="B66" s="125" t="s">
        <v>50</v>
      </c>
      <c r="C66" s="22" t="s">
        <v>51</v>
      </c>
      <c r="D66" s="81">
        <v>0</v>
      </c>
      <c r="E66" s="82">
        <v>0</v>
      </c>
      <c r="G66" s="73"/>
    </row>
    <row r="67" spans="2:7">
      <c r="B67" s="104" t="s">
        <v>52</v>
      </c>
      <c r="C67" s="15" t="s">
        <v>53</v>
      </c>
      <c r="D67" s="79">
        <v>0</v>
      </c>
      <c r="E67" s="80">
        <v>0</v>
      </c>
    </row>
    <row r="68" spans="2:7">
      <c r="B68" s="104" t="s">
        <v>54</v>
      </c>
      <c r="C68" s="15" t="s">
        <v>55</v>
      </c>
      <c r="D68" s="79">
        <v>0</v>
      </c>
      <c r="E68" s="80">
        <v>0</v>
      </c>
    </row>
    <row r="69" spans="2:7" ht="15">
      <c r="B69" s="104" t="s">
        <v>56</v>
      </c>
      <c r="C69" s="15" t="s">
        <v>57</v>
      </c>
      <c r="D69" s="316">
        <v>0</v>
      </c>
      <c r="E69" s="80">
        <f>D69/E21</f>
        <v>0</v>
      </c>
    </row>
    <row r="70" spans="2:7">
      <c r="B70" s="131" t="s">
        <v>58</v>
      </c>
      <c r="C70" s="115" t="s">
        <v>59</v>
      </c>
      <c r="D70" s="116">
        <v>0</v>
      </c>
      <c r="E70" s="117">
        <v>0</v>
      </c>
    </row>
    <row r="71" spans="2:7">
      <c r="B71" s="132" t="s">
        <v>23</v>
      </c>
      <c r="C71" s="123" t="s">
        <v>61</v>
      </c>
      <c r="D71" s="124">
        <f>E13</f>
        <v>9159.23</v>
      </c>
      <c r="E71" s="67">
        <f>D71/E21</f>
        <v>1.4567567288073038E-3</v>
      </c>
    </row>
    <row r="72" spans="2:7">
      <c r="B72" s="133" t="s">
        <v>60</v>
      </c>
      <c r="C72" s="119" t="s">
        <v>63</v>
      </c>
      <c r="D72" s="120">
        <f>E14</f>
        <v>16300</v>
      </c>
      <c r="E72" s="121">
        <f>D72/E21</f>
        <v>2.5924815382471073E-3</v>
      </c>
    </row>
    <row r="73" spans="2:7">
      <c r="B73" s="134" t="s">
        <v>62</v>
      </c>
      <c r="C73" s="24" t="s">
        <v>65</v>
      </c>
      <c r="D73" s="25">
        <f>E17</f>
        <v>10512.22</v>
      </c>
      <c r="E73" s="26">
        <f>D73/E21</f>
        <v>1.6719470107970555E-3</v>
      </c>
    </row>
    <row r="74" spans="2:7">
      <c r="B74" s="132" t="s">
        <v>64</v>
      </c>
      <c r="C74" s="123" t="s">
        <v>66</v>
      </c>
      <c r="D74" s="124">
        <f>D58+D72-D73+D71</f>
        <v>6287412.1800000006</v>
      </c>
      <c r="E74" s="67">
        <f>E58+E71+E72-E73</f>
        <v>0.99999999999999978</v>
      </c>
    </row>
    <row r="75" spans="2:7">
      <c r="B75" s="104" t="s">
        <v>4</v>
      </c>
      <c r="C75" s="15" t="s">
        <v>67</v>
      </c>
      <c r="D75" s="79">
        <f>D74</f>
        <v>6287412.1800000006</v>
      </c>
      <c r="E75" s="80">
        <f>E74</f>
        <v>0.99999999999999978</v>
      </c>
    </row>
    <row r="76" spans="2:7">
      <c r="B76" s="104" t="s">
        <v>6</v>
      </c>
      <c r="C76" s="15" t="s">
        <v>116</v>
      </c>
      <c r="D76" s="79">
        <v>0</v>
      </c>
      <c r="E76" s="80">
        <v>0</v>
      </c>
    </row>
    <row r="77" spans="2:7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&amp;C&amp;"Calibri"&amp;10&amp;K000000Confidential&amp;1#</oddHeader>
  </headerFooter>
  <rowBreaks count="1" manualBreakCount="1">
    <brk id="7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34"/>
  <dimension ref="A1:L81"/>
  <sheetViews>
    <sheetView zoomScale="80" zoomScaleNormal="80" workbookViewId="0">
      <selection activeCell="I29" sqref="I29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146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78333.600000000006</v>
      </c>
      <c r="E11" s="377">
        <v>93554.17</v>
      </c>
    </row>
    <row r="12" spans="2:12">
      <c r="B12" s="182" t="s">
        <v>4</v>
      </c>
      <c r="C12" s="183" t="s">
        <v>5</v>
      </c>
      <c r="D12" s="378">
        <v>78333.600000000006</v>
      </c>
      <c r="E12" s="379">
        <v>93554.17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78333.600000000006</v>
      </c>
      <c r="E21" s="389">
        <v>93554.17</v>
      </c>
      <c r="F21" s="78"/>
      <c r="G21" s="78"/>
      <c r="H21" s="169"/>
      <c r="J21" s="228"/>
      <c r="K21" s="68"/>
    </row>
    <row r="22" spans="2:11" ht="12" customHeight="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85904.26</v>
      </c>
      <c r="E26" s="399">
        <f>D21</f>
        <v>78333.600000000006</v>
      </c>
      <c r="G26" s="75"/>
    </row>
    <row r="27" spans="2:11">
      <c r="B27" s="9" t="s">
        <v>17</v>
      </c>
      <c r="C27" s="10" t="s">
        <v>108</v>
      </c>
      <c r="D27" s="400">
        <v>509.40000000000009</v>
      </c>
      <c r="E27" s="412">
        <v>3179.37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3978.4300000000003</v>
      </c>
      <c r="E28" s="413">
        <v>4003.15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3978.4300000000003</v>
      </c>
      <c r="E29" s="414">
        <v>4003.14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0.01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3469.03</v>
      </c>
      <c r="E32" s="413">
        <v>823.78000000000009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2777.28</v>
      </c>
      <c r="E33" s="414">
        <v>0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87.35</v>
      </c>
      <c r="E35" s="414">
        <v>97.710000000000008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604.4</v>
      </c>
      <c r="E37" s="414">
        <v>726.07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-12939.97</v>
      </c>
      <c r="E40" s="404">
        <v>12041.2</v>
      </c>
      <c r="G40" s="75"/>
    </row>
    <row r="41" spans="2:10" ht="13.5" thickBot="1">
      <c r="B41" s="101" t="s">
        <v>37</v>
      </c>
      <c r="C41" s="102" t="s">
        <v>38</v>
      </c>
      <c r="D41" s="405">
        <v>73473.689999999988</v>
      </c>
      <c r="E41" s="363">
        <f>E26+E27+E40</f>
        <v>93554.17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589.39459999999997</v>
      </c>
      <c r="E47" s="283">
        <v>608.08569999999997</v>
      </c>
      <c r="G47" s="73"/>
    </row>
    <row r="48" spans="2:10">
      <c r="B48" s="195" t="s">
        <v>6</v>
      </c>
      <c r="C48" s="196" t="s">
        <v>41</v>
      </c>
      <c r="D48" s="310">
        <v>592.48199999999997</v>
      </c>
      <c r="E48" s="330">
        <v>630.75900000000001</v>
      </c>
      <c r="G48" s="161"/>
    </row>
    <row r="49" spans="2:7">
      <c r="B49" s="122" t="s">
        <v>23</v>
      </c>
      <c r="C49" s="126" t="s">
        <v>110</v>
      </c>
      <c r="D49" s="311"/>
      <c r="E49" s="76"/>
    </row>
    <row r="50" spans="2:7">
      <c r="B50" s="193" t="s">
        <v>4</v>
      </c>
      <c r="C50" s="194" t="s">
        <v>40</v>
      </c>
      <c r="D50" s="310">
        <v>145.75</v>
      </c>
      <c r="E50" s="76">
        <v>128.82</v>
      </c>
      <c r="G50" s="181"/>
    </row>
    <row r="51" spans="2:7">
      <c r="B51" s="193" t="s">
        <v>6</v>
      </c>
      <c r="C51" s="194" t="s">
        <v>111</v>
      </c>
      <c r="D51" s="310">
        <v>119.75</v>
      </c>
      <c r="E51" s="76">
        <v>128.82</v>
      </c>
      <c r="G51" s="181"/>
    </row>
    <row r="52" spans="2:7">
      <c r="B52" s="193" t="s">
        <v>8</v>
      </c>
      <c r="C52" s="194" t="s">
        <v>112</v>
      </c>
      <c r="D52" s="310">
        <v>147.51</v>
      </c>
      <c r="E52" s="76">
        <v>148.32</v>
      </c>
    </row>
    <row r="53" spans="2:7" ht="13.5" customHeight="1" thickBot="1">
      <c r="B53" s="197" t="s">
        <v>9</v>
      </c>
      <c r="C53" s="198" t="s">
        <v>41</v>
      </c>
      <c r="D53" s="308">
        <v>124.01</v>
      </c>
      <c r="E53" s="331">
        <v>148.32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93554.17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93554.17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93554.17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93554.17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692913385826772" right="0.74803149606299213" top="0.55118110236220474" bottom="0.39370078740157483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usz35"/>
  <dimension ref="A1:L81"/>
  <sheetViews>
    <sheetView zoomScale="80" zoomScaleNormal="80" workbookViewId="0">
      <selection activeCell="G37" sqref="G37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1.5703125" customWidth="1"/>
    <col min="10" max="10" width="12.140625" customWidth="1"/>
    <col min="11" max="11" width="11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147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614446.92000000004</v>
      </c>
      <c r="E11" s="377">
        <v>629246.48</v>
      </c>
    </row>
    <row r="12" spans="2:12">
      <c r="B12" s="182" t="s">
        <v>4</v>
      </c>
      <c r="C12" s="183" t="s">
        <v>5</v>
      </c>
      <c r="D12" s="378">
        <v>614446.92000000004</v>
      </c>
      <c r="E12" s="379">
        <v>629246.48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614446.92000000004</v>
      </c>
      <c r="E21" s="389">
        <v>629246.48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1309866.25</v>
      </c>
      <c r="E26" s="399">
        <f>D21</f>
        <v>614446.92000000004</v>
      </c>
      <c r="G26" s="75"/>
      <c r="H26" s="237"/>
    </row>
    <row r="27" spans="2:11">
      <c r="B27" s="9" t="s">
        <v>17</v>
      </c>
      <c r="C27" s="10" t="s">
        <v>108</v>
      </c>
      <c r="D27" s="400">
        <v>-171251.86</v>
      </c>
      <c r="E27" s="412">
        <v>-17889.18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3086</v>
      </c>
      <c r="E28" s="413">
        <v>1809.49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3086</v>
      </c>
      <c r="E29" s="414">
        <v>1809.49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174337.86</v>
      </c>
      <c r="E32" s="413">
        <v>19698.670000000002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164060.34</v>
      </c>
      <c r="E33" s="414">
        <v>13710.11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979.91</v>
      </c>
      <c r="E35" s="414">
        <v>945.88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9297.61</v>
      </c>
      <c r="E37" s="414">
        <v>5042.6400000000003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0.04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-5869.69</v>
      </c>
      <c r="E40" s="404">
        <v>32688.74</v>
      </c>
      <c r="G40" s="75"/>
    </row>
    <row r="41" spans="2:10" ht="13.5" thickBot="1">
      <c r="B41" s="101" t="s">
        <v>37</v>
      </c>
      <c r="C41" s="102" t="s">
        <v>38</v>
      </c>
      <c r="D41" s="405">
        <v>1132744.7000000002</v>
      </c>
      <c r="E41" s="363">
        <f>E26+E27+E40</f>
        <v>629246.48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7420.9180999999999</v>
      </c>
      <c r="E47" s="151">
        <v>3425.3926000000001</v>
      </c>
      <c r="G47" s="73"/>
    </row>
    <row r="48" spans="2:10">
      <c r="B48" s="195" t="s">
        <v>6</v>
      </c>
      <c r="C48" s="196" t="s">
        <v>41</v>
      </c>
      <c r="D48" s="310">
        <v>6452.1799000000001</v>
      </c>
      <c r="E48" s="332">
        <v>3327.9378000000002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176.51</v>
      </c>
      <c r="E50" s="151">
        <v>179.38</v>
      </c>
      <c r="G50" s="181"/>
    </row>
    <row r="51" spans="2:7">
      <c r="B51" s="193" t="s">
        <v>6</v>
      </c>
      <c r="C51" s="194" t="s">
        <v>111</v>
      </c>
      <c r="D51" s="310">
        <v>174.58</v>
      </c>
      <c r="E51" s="151">
        <v>179.38</v>
      </c>
      <c r="G51" s="181"/>
    </row>
    <row r="52" spans="2:7">
      <c r="B52" s="193" t="s">
        <v>8</v>
      </c>
      <c r="C52" s="194" t="s">
        <v>112</v>
      </c>
      <c r="D52" s="310">
        <v>177.13</v>
      </c>
      <c r="E52" s="151">
        <v>189.08</v>
      </c>
    </row>
    <row r="53" spans="2:7" ht="13.5" customHeight="1" thickBot="1">
      <c r="B53" s="197" t="s">
        <v>9</v>
      </c>
      <c r="C53" s="198" t="s">
        <v>41</v>
      </c>
      <c r="D53" s="308">
        <v>175.56</v>
      </c>
      <c r="E53" s="333">
        <v>189.08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629246.48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629246.48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629246.48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629246.48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usz36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 customHeight="1">
      <c r="B6" s="458" t="s">
        <v>148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 customHeight="1">
      <c r="B8" s="460" t="s">
        <v>18</v>
      </c>
      <c r="C8" s="460"/>
      <c r="D8" s="460"/>
      <c r="E8" s="460"/>
    </row>
    <row r="9" spans="2:12" ht="16.5" customHeight="1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170098.4</v>
      </c>
      <c r="E11" s="377">
        <v>201366.62</v>
      </c>
    </row>
    <row r="12" spans="2:12">
      <c r="B12" s="182" t="s">
        <v>4</v>
      </c>
      <c r="C12" s="183" t="s">
        <v>5</v>
      </c>
      <c r="D12" s="378">
        <v>170098.4</v>
      </c>
      <c r="E12" s="379">
        <v>201366.62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customHeight="1" thickBot="1">
      <c r="B21" s="464" t="s">
        <v>107</v>
      </c>
      <c r="C21" s="476"/>
      <c r="D21" s="388">
        <v>170098.4</v>
      </c>
      <c r="E21" s="389">
        <v>201366.62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 customHeight="1">
      <c r="B23" s="460" t="s">
        <v>101</v>
      </c>
      <c r="C23" s="460"/>
      <c r="D23" s="460"/>
      <c r="E23" s="460"/>
      <c r="G23" s="73"/>
    </row>
    <row r="24" spans="2:11" ht="15.75" customHeight="1" thickBot="1">
      <c r="B24" s="459" t="s">
        <v>102</v>
      </c>
      <c r="C24" s="459"/>
      <c r="D24" s="459"/>
      <c r="E24" s="459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201929.27</v>
      </c>
      <c r="E26" s="399">
        <f>D21</f>
        <v>170098.4</v>
      </c>
      <c r="G26" s="75"/>
    </row>
    <row r="27" spans="2:11">
      <c r="B27" s="9" t="s">
        <v>17</v>
      </c>
      <c r="C27" s="10" t="s">
        <v>108</v>
      </c>
      <c r="D27" s="400">
        <v>-1315.38</v>
      </c>
      <c r="E27" s="412">
        <v>-1338.52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458.67</v>
      </c>
      <c r="E28" s="413">
        <v>495.27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458.67</v>
      </c>
      <c r="E29" s="414">
        <v>495.25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0.02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1774.0500000000002</v>
      </c>
      <c r="E32" s="413">
        <v>1833.79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0</v>
      </c>
      <c r="E33" s="414">
        <v>0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156.86000000000001</v>
      </c>
      <c r="E35" s="414">
        <v>168.26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1617.19</v>
      </c>
      <c r="E37" s="414">
        <v>1665.53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-39005.120000000003</v>
      </c>
      <c r="E40" s="404">
        <v>32606.74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161608.76999999999</v>
      </c>
      <c r="E41" s="363">
        <f>E26+E27+E40</f>
        <v>201366.62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 customHeight="1">
      <c r="B43" s="461" t="s">
        <v>60</v>
      </c>
      <c r="C43" s="461"/>
      <c r="D43" s="461"/>
      <c r="E43" s="461"/>
      <c r="G43" s="73"/>
    </row>
    <row r="44" spans="2:10" ht="18" customHeight="1" thickBot="1">
      <c r="B44" s="459" t="s">
        <v>118</v>
      </c>
      <c r="C44" s="459"/>
      <c r="D44" s="459"/>
      <c r="E44" s="459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1453.4604999999999</v>
      </c>
      <c r="E47" s="289">
        <v>1416.1885</v>
      </c>
      <c r="G47" s="73"/>
    </row>
    <row r="48" spans="2:10">
      <c r="B48" s="195" t="s">
        <v>6</v>
      </c>
      <c r="C48" s="196" t="s">
        <v>41</v>
      </c>
      <c r="D48" s="310">
        <v>1442.8065999999999</v>
      </c>
      <c r="E48" s="334">
        <v>1405.9951000000001</v>
      </c>
      <c r="G48" s="73"/>
    </row>
    <row r="49" spans="2:7">
      <c r="B49" s="122" t="s">
        <v>23</v>
      </c>
      <c r="C49" s="126" t="s">
        <v>110</v>
      </c>
      <c r="D49" s="311"/>
      <c r="E49" s="290"/>
    </row>
    <row r="50" spans="2:7">
      <c r="B50" s="193" t="s">
        <v>4</v>
      </c>
      <c r="C50" s="194" t="s">
        <v>40</v>
      </c>
      <c r="D50" s="310">
        <v>138.93</v>
      </c>
      <c r="E50" s="291">
        <v>120.11</v>
      </c>
      <c r="G50" s="181"/>
    </row>
    <row r="51" spans="2:7">
      <c r="B51" s="193" t="s">
        <v>6</v>
      </c>
      <c r="C51" s="194" t="s">
        <v>111</v>
      </c>
      <c r="D51" s="310">
        <v>109.21000000000001</v>
      </c>
      <c r="E51" s="291">
        <v>120.11</v>
      </c>
      <c r="G51" s="181"/>
    </row>
    <row r="52" spans="2:7">
      <c r="B52" s="193" t="s">
        <v>8</v>
      </c>
      <c r="C52" s="194" t="s">
        <v>112</v>
      </c>
      <c r="D52" s="310">
        <v>142.61000000000001</v>
      </c>
      <c r="E52" s="291">
        <v>143.22</v>
      </c>
    </row>
    <row r="53" spans="2:7" ht="12.75" customHeight="1" thickBot="1">
      <c r="B53" s="197" t="s">
        <v>9</v>
      </c>
      <c r="C53" s="198" t="s">
        <v>41</v>
      </c>
      <c r="D53" s="308">
        <v>112.01</v>
      </c>
      <c r="E53" s="333">
        <v>143.22</v>
      </c>
    </row>
    <row r="54" spans="2:7">
      <c r="B54" s="111"/>
      <c r="C54" s="112"/>
      <c r="D54" s="113"/>
      <c r="E54" s="113"/>
    </row>
    <row r="55" spans="2:7" ht="13.5" customHeight="1">
      <c r="B55" s="461" t="s">
        <v>62</v>
      </c>
      <c r="C55" s="461"/>
      <c r="D55" s="461"/>
      <c r="E55" s="461"/>
    </row>
    <row r="56" spans="2:7" ht="14.25" customHeight="1" thickBot="1">
      <c r="B56" s="459" t="s">
        <v>113</v>
      </c>
      <c r="C56" s="459"/>
      <c r="D56" s="459"/>
      <c r="E56" s="459"/>
    </row>
    <row r="57" spans="2:7" ht="23.25" customHeight="1" thickBot="1">
      <c r="B57" s="474" t="s">
        <v>42</v>
      </c>
      <c r="C57" s="47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201366.62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201366.62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201366.62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201366.62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2" bottom="0.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usz37"/>
  <dimension ref="A1:L81"/>
  <sheetViews>
    <sheetView zoomScale="80" zoomScaleNormal="80" workbookViewId="0">
      <selection activeCell="E13" sqref="E13:E2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140625" customWidth="1"/>
    <col min="9" max="9" width="13.28515625" customWidth="1"/>
    <col min="10" max="10" width="13.5703125" customWidth="1"/>
    <col min="11" max="11" width="13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149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224321.85</v>
      </c>
      <c r="E11" s="377">
        <v>264862.3</v>
      </c>
    </row>
    <row r="12" spans="2:12">
      <c r="B12" s="108" t="s">
        <v>4</v>
      </c>
      <c r="C12" s="6" t="s">
        <v>5</v>
      </c>
      <c r="D12" s="378">
        <v>224321.85</v>
      </c>
      <c r="E12" s="379">
        <v>264862.3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2">
      <c r="B17" s="9" t="s">
        <v>13</v>
      </c>
      <c r="C17" s="11" t="s">
        <v>65</v>
      </c>
      <c r="D17" s="384">
        <v>0</v>
      </c>
      <c r="E17" s="444">
        <v>0</v>
      </c>
    </row>
    <row r="18" spans="2:12">
      <c r="B18" s="108" t="s">
        <v>4</v>
      </c>
      <c r="C18" s="6" t="s">
        <v>11</v>
      </c>
      <c r="D18" s="382">
        <v>0</v>
      </c>
      <c r="E18" s="443">
        <v>0</v>
      </c>
    </row>
    <row r="19" spans="2:12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2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2" ht="13.5" thickBot="1">
      <c r="B21" s="468" t="s">
        <v>107</v>
      </c>
      <c r="C21" s="469"/>
      <c r="D21" s="388">
        <v>224321.85</v>
      </c>
      <c r="E21" s="389">
        <v>264862.3</v>
      </c>
      <c r="F21" s="78"/>
      <c r="G21" s="78"/>
      <c r="H21" s="169"/>
      <c r="J21" s="227"/>
      <c r="K21" s="169"/>
      <c r="L21" s="181"/>
    </row>
    <row r="22" spans="2:12">
      <c r="B22" s="4"/>
      <c r="C22" s="7"/>
      <c r="D22" s="8"/>
      <c r="E22" s="8"/>
      <c r="G22" s="73"/>
    </row>
    <row r="23" spans="2:12" ht="13.5">
      <c r="B23" s="460" t="s">
        <v>101</v>
      </c>
      <c r="C23" s="472"/>
      <c r="D23" s="472"/>
      <c r="E23" s="472"/>
      <c r="G23" s="73"/>
    </row>
    <row r="24" spans="2:12" ht="15.75" customHeight="1" thickBot="1">
      <c r="B24" s="459" t="s">
        <v>102</v>
      </c>
      <c r="C24" s="473"/>
      <c r="D24" s="473"/>
      <c r="E24" s="473"/>
    </row>
    <row r="25" spans="2:12" ht="13.5" thickBot="1">
      <c r="B25" s="90"/>
      <c r="C25" s="5" t="s">
        <v>2</v>
      </c>
      <c r="D25" s="274" t="s">
        <v>243</v>
      </c>
      <c r="E25" s="246" t="s">
        <v>242</v>
      </c>
    </row>
    <row r="26" spans="2:12">
      <c r="B26" s="97" t="s">
        <v>15</v>
      </c>
      <c r="C26" s="98" t="s">
        <v>16</v>
      </c>
      <c r="D26" s="398">
        <v>300026.65000000002</v>
      </c>
      <c r="E26" s="399">
        <f>D21</f>
        <v>224321.85</v>
      </c>
      <c r="G26" s="75"/>
    </row>
    <row r="27" spans="2:12">
      <c r="B27" s="9" t="s">
        <v>17</v>
      </c>
      <c r="C27" s="10" t="s">
        <v>108</v>
      </c>
      <c r="D27" s="400">
        <v>-3689.28</v>
      </c>
      <c r="E27" s="412">
        <v>-7799.260000000002</v>
      </c>
      <c r="F27" s="73"/>
      <c r="G27" s="244"/>
      <c r="H27" s="243"/>
      <c r="I27" s="73"/>
      <c r="J27" s="75"/>
    </row>
    <row r="28" spans="2:12">
      <c r="B28" s="9" t="s">
        <v>18</v>
      </c>
      <c r="C28" s="10" t="s">
        <v>19</v>
      </c>
      <c r="D28" s="400">
        <v>3332.61</v>
      </c>
      <c r="E28" s="413">
        <v>3315.23</v>
      </c>
      <c r="F28" s="73"/>
      <c r="G28" s="243"/>
      <c r="H28" s="243"/>
      <c r="I28" s="73"/>
      <c r="J28" s="75"/>
    </row>
    <row r="29" spans="2:12">
      <c r="B29" s="106" t="s">
        <v>4</v>
      </c>
      <c r="C29" s="6" t="s">
        <v>20</v>
      </c>
      <c r="D29" s="401">
        <v>3332.61</v>
      </c>
      <c r="E29" s="414">
        <v>3315.23</v>
      </c>
      <c r="F29" s="73"/>
      <c r="G29" s="243"/>
      <c r="H29" s="243"/>
      <c r="I29" s="73"/>
      <c r="J29" s="75"/>
    </row>
    <row r="30" spans="2:12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2">
      <c r="B31" s="106" t="s">
        <v>8</v>
      </c>
      <c r="C31" s="6" t="s">
        <v>22</v>
      </c>
      <c r="D31" s="401">
        <v>0</v>
      </c>
      <c r="E31" s="414">
        <v>0</v>
      </c>
      <c r="F31" s="73"/>
      <c r="G31" s="243"/>
      <c r="H31" s="243"/>
      <c r="I31" s="73"/>
      <c r="J31" s="75"/>
    </row>
    <row r="32" spans="2:12">
      <c r="B32" s="94" t="s">
        <v>23</v>
      </c>
      <c r="C32" s="11" t="s">
        <v>24</v>
      </c>
      <c r="D32" s="400">
        <v>7021.89</v>
      </c>
      <c r="E32" s="413">
        <v>11114.490000000002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4955.79</v>
      </c>
      <c r="E33" s="414">
        <v>9004.7100000000009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263.05</v>
      </c>
      <c r="E35" s="414">
        <v>315.84000000000003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1803.05</v>
      </c>
      <c r="E37" s="414">
        <v>1793.92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0.02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-88120.05</v>
      </c>
      <c r="E40" s="404">
        <v>48339.71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208217.32</v>
      </c>
      <c r="E41" s="363">
        <f>E26+E27+E40</f>
        <v>264862.3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1457.9263000000001</v>
      </c>
      <c r="E47" s="151">
        <v>1431.0804000000001</v>
      </c>
      <c r="G47" s="73"/>
    </row>
    <row r="48" spans="2:10">
      <c r="B48" s="125" t="s">
        <v>6</v>
      </c>
      <c r="C48" s="22" t="s">
        <v>41</v>
      </c>
      <c r="D48" s="310">
        <v>1435.6845000000001</v>
      </c>
      <c r="E48" s="332">
        <v>1388.8951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205.79</v>
      </c>
      <c r="E50" s="151">
        <v>156.75</v>
      </c>
      <c r="G50" s="181"/>
    </row>
    <row r="51" spans="2:7">
      <c r="B51" s="104" t="s">
        <v>6</v>
      </c>
      <c r="C51" s="15" t="s">
        <v>111</v>
      </c>
      <c r="D51" s="310">
        <v>138.76</v>
      </c>
      <c r="E51" s="151">
        <v>156.75</v>
      </c>
      <c r="G51" s="181"/>
    </row>
    <row r="52" spans="2:7">
      <c r="B52" s="104" t="s">
        <v>8</v>
      </c>
      <c r="C52" s="15" t="s">
        <v>112</v>
      </c>
      <c r="D52" s="310">
        <v>209.9</v>
      </c>
      <c r="E52" s="151">
        <v>190.7</v>
      </c>
    </row>
    <row r="53" spans="2:7" ht="13.5" customHeight="1" thickBot="1">
      <c r="B53" s="105" t="s">
        <v>9</v>
      </c>
      <c r="C53" s="17" t="s">
        <v>41</v>
      </c>
      <c r="D53" s="308">
        <v>145.03</v>
      </c>
      <c r="E53" s="333">
        <v>190.7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264862.3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264862.3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264862.3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264862.3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38"/>
  <dimension ref="A1:L81"/>
  <sheetViews>
    <sheetView zoomScale="80" zoomScaleNormal="80" workbookViewId="0">
      <selection activeCell="H26" sqref="H2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6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150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2606342.94</v>
      </c>
      <c r="E11" s="452">
        <v>2017208.02</v>
      </c>
    </row>
    <row r="12" spans="2:12">
      <c r="B12" s="182" t="s">
        <v>4</v>
      </c>
      <c r="C12" s="183" t="s">
        <v>5</v>
      </c>
      <c r="D12" s="378">
        <v>2606342.94</v>
      </c>
      <c r="E12" s="453">
        <v>2017208.02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2606342.94</v>
      </c>
      <c r="E21" s="389">
        <v>2017208.02</v>
      </c>
      <c r="F21" s="78"/>
      <c r="G21" s="78"/>
      <c r="H21" s="78"/>
      <c r="J21" s="227"/>
      <c r="K21" s="169"/>
    </row>
    <row r="22" spans="2:11">
      <c r="B22" s="4"/>
      <c r="C22" s="7"/>
      <c r="D22" s="8"/>
      <c r="E22" s="8"/>
      <c r="G22" s="73"/>
      <c r="J22" s="273"/>
      <c r="K22" s="2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14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3074009.43</v>
      </c>
      <c r="E26" s="399">
        <f>D21</f>
        <v>2606342.94</v>
      </c>
      <c r="G26" s="75"/>
    </row>
    <row r="27" spans="2:11">
      <c r="B27" s="9" t="s">
        <v>17</v>
      </c>
      <c r="C27" s="10" t="s">
        <v>108</v>
      </c>
      <c r="D27" s="400">
        <v>-116332.64</v>
      </c>
      <c r="E27" s="412">
        <v>-721548.03000000014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10027.550000000001</v>
      </c>
      <c r="E28" s="413">
        <v>7051.7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10027.550000000001</v>
      </c>
      <c r="E29" s="414">
        <v>7051.7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126360.19</v>
      </c>
      <c r="E32" s="413">
        <v>728599.7300000001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93430.58</v>
      </c>
      <c r="E33" s="414">
        <v>706896.41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9092.2000000000007</v>
      </c>
      <c r="E35" s="414">
        <v>3082.89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23837.41</v>
      </c>
      <c r="E37" s="414">
        <v>18620.400000000001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0.03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-55420.63</v>
      </c>
      <c r="E40" s="404">
        <v>132413.11000000002</v>
      </c>
      <c r="G40" s="75"/>
    </row>
    <row r="41" spans="2:10" ht="13.5" thickBot="1">
      <c r="B41" s="101" t="s">
        <v>37</v>
      </c>
      <c r="C41" s="102" t="s">
        <v>38</v>
      </c>
      <c r="D41" s="405">
        <v>2902256.16</v>
      </c>
      <c r="E41" s="363">
        <f>E26+E27+E40</f>
        <v>2017208.0199999998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19541.0936</v>
      </c>
      <c r="E47" s="151">
        <v>16281.5026</v>
      </c>
      <c r="G47" s="73"/>
    </row>
    <row r="48" spans="2:10">
      <c r="B48" s="125" t="s">
        <v>6</v>
      </c>
      <c r="C48" s="22" t="s">
        <v>41</v>
      </c>
      <c r="D48" s="310">
        <v>18790.9107</v>
      </c>
      <c r="E48" s="332">
        <v>11923.4426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157.31</v>
      </c>
      <c r="E50" s="151">
        <v>160.08000000000001</v>
      </c>
      <c r="G50" s="181"/>
    </row>
    <row r="51" spans="2:7">
      <c r="B51" s="104" t="s">
        <v>6</v>
      </c>
      <c r="C51" s="15" t="s">
        <v>111</v>
      </c>
      <c r="D51" s="310">
        <v>153.04</v>
      </c>
      <c r="E51" s="151">
        <v>160.08000000000001</v>
      </c>
      <c r="G51" s="181"/>
    </row>
    <row r="52" spans="2:7">
      <c r="B52" s="104" t="s">
        <v>8</v>
      </c>
      <c r="C52" s="15" t="s">
        <v>112</v>
      </c>
      <c r="D52" s="310">
        <v>158.25</v>
      </c>
      <c r="E52" s="151">
        <v>169.18</v>
      </c>
    </row>
    <row r="53" spans="2:7" ht="12.75" customHeight="1" thickBot="1">
      <c r="B53" s="105" t="s">
        <v>9</v>
      </c>
      <c r="C53" s="17" t="s">
        <v>41</v>
      </c>
      <c r="D53" s="308">
        <v>154.44999999999999</v>
      </c>
      <c r="E53" s="333">
        <v>169.18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2017208.02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2017208.02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2017208.02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2017208.02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39"/>
  <dimension ref="A1:L81"/>
  <sheetViews>
    <sheetView zoomScale="80" zoomScaleNormal="80" workbookViewId="0">
      <selection activeCell="H27" sqref="H27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" customWidth="1"/>
    <col min="9" max="9" width="13.28515625" customWidth="1"/>
    <col min="10" max="10" width="13.5703125" customWidth="1"/>
    <col min="11" max="11" width="17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151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6121045.2699999996</v>
      </c>
      <c r="E11" s="377">
        <v>6040525.3700000001</v>
      </c>
    </row>
    <row r="12" spans="2:12">
      <c r="B12" s="108" t="s">
        <v>4</v>
      </c>
      <c r="C12" s="6" t="s">
        <v>5</v>
      </c>
      <c r="D12" s="378">
        <v>6121045.2699999996</v>
      </c>
      <c r="E12" s="379">
        <v>6040525.3700000001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6121045.2699999996</v>
      </c>
      <c r="E21" s="389">
        <v>6040525.3700000001</v>
      </c>
      <c r="F21" s="78"/>
      <c r="G21" s="78"/>
      <c r="H21" s="170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8730743.9499999993</v>
      </c>
      <c r="E26" s="399">
        <f>D21</f>
        <v>6121045.2699999996</v>
      </c>
      <c r="G26" s="75"/>
      <c r="H26" s="237"/>
    </row>
    <row r="27" spans="2:11">
      <c r="B27" s="9" t="s">
        <v>17</v>
      </c>
      <c r="C27" s="10" t="s">
        <v>108</v>
      </c>
      <c r="D27" s="400">
        <v>-1333640.4500000002</v>
      </c>
      <c r="E27" s="412">
        <v>-585971.42000000004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28770.98</v>
      </c>
      <c r="E28" s="413">
        <v>91133.86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0</v>
      </c>
      <c r="E29" s="414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28770.98</v>
      </c>
      <c r="E31" s="414">
        <v>91133.86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1362411.4300000002</v>
      </c>
      <c r="E32" s="413">
        <v>677105.28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592972.73</v>
      </c>
      <c r="E33" s="414">
        <v>287748.91000000003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412676.82</v>
      </c>
      <c r="E34" s="414">
        <v>269002.98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73506.430000000008</v>
      </c>
      <c r="E35" s="414">
        <v>62463.3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76052.08</v>
      </c>
      <c r="E37" s="414">
        <v>57890.090000000004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/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207203.37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-732335.26</v>
      </c>
      <c r="E40" s="404">
        <v>505451.52000000002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6664768.2399999993</v>
      </c>
      <c r="E41" s="363">
        <f>E26+E27+E40</f>
        <v>6040525.3699999992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161"/>
      <c r="H45" s="161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62689.336900000002</v>
      </c>
      <c r="E47" s="151">
        <v>45799.066700000003</v>
      </c>
      <c r="G47" s="73"/>
    </row>
    <row r="48" spans="2:10">
      <c r="B48" s="125" t="s">
        <v>6</v>
      </c>
      <c r="C48" s="22" t="s">
        <v>41</v>
      </c>
      <c r="D48" s="310">
        <v>52256.297999999995</v>
      </c>
      <c r="E48" s="332">
        <v>41653.0504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139.27000000000001</v>
      </c>
      <c r="E50" s="151">
        <v>133.65</v>
      </c>
      <c r="G50" s="181"/>
    </row>
    <row r="51" spans="2:7">
      <c r="B51" s="104" t="s">
        <v>6</v>
      </c>
      <c r="C51" s="15" t="s">
        <v>111</v>
      </c>
      <c r="D51" s="310">
        <v>122.22</v>
      </c>
      <c r="E51" s="151">
        <v>133.65</v>
      </c>
      <c r="G51" s="181"/>
    </row>
    <row r="52" spans="2:7">
      <c r="B52" s="104" t="s">
        <v>8</v>
      </c>
      <c r="C52" s="15" t="s">
        <v>112</v>
      </c>
      <c r="D52" s="310">
        <v>139.87</v>
      </c>
      <c r="E52" s="151">
        <v>145.02000000000001</v>
      </c>
    </row>
    <row r="53" spans="2:7" ht="12.75" customHeight="1" thickBot="1">
      <c r="B53" s="105" t="s">
        <v>9</v>
      </c>
      <c r="C53" s="17" t="s">
        <v>41</v>
      </c>
      <c r="D53" s="308">
        <v>127.54</v>
      </c>
      <c r="E53" s="333">
        <v>145.02000000000001</v>
      </c>
      <c r="G53" s="154"/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6040525.3700000001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6040525.3700000001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6040525.3700000001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6040525.3700000001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usz40"/>
  <dimension ref="A1:L81"/>
  <sheetViews>
    <sheetView zoomScale="80" zoomScaleNormal="80" workbookViewId="0">
      <selection activeCell="H25" sqref="H2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42578125" customWidth="1"/>
    <col min="9" max="9" width="13.28515625" customWidth="1"/>
    <col min="10" max="10" width="13.5703125" customWidth="1"/>
    <col min="11" max="11" width="12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9"/>
      <c r="C4" s="89"/>
      <c r="D4" s="149"/>
      <c r="E4" s="149"/>
      <c r="L4" s="181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152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95677.37</v>
      </c>
      <c r="E11" s="377">
        <v>115818.09</v>
      </c>
    </row>
    <row r="12" spans="2:12">
      <c r="B12" s="108" t="s">
        <v>4</v>
      </c>
      <c r="C12" s="6" t="s">
        <v>5</v>
      </c>
      <c r="D12" s="378">
        <v>95677.37</v>
      </c>
      <c r="E12" s="379">
        <v>115818.09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95677.37</v>
      </c>
      <c r="E21" s="389">
        <v>115818.09</v>
      </c>
      <c r="F21" s="78"/>
      <c r="G21" s="78"/>
      <c r="H21" s="170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120583.13</v>
      </c>
      <c r="E26" s="399">
        <f>D21</f>
        <v>95677.37</v>
      </c>
      <c r="G26" s="75"/>
    </row>
    <row r="27" spans="2:11">
      <c r="B27" s="9" t="s">
        <v>17</v>
      </c>
      <c r="C27" s="10" t="s">
        <v>108</v>
      </c>
      <c r="D27" s="400">
        <v>-2216.91</v>
      </c>
      <c r="E27" s="412">
        <v>-561.1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127.80000000000001</v>
      </c>
      <c r="E28" s="413">
        <v>119.99000000000001</v>
      </c>
      <c r="F28" s="73"/>
      <c r="G28" s="7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119.99000000000001</v>
      </c>
      <c r="E29" s="414">
        <v>119.99000000000001</v>
      </c>
      <c r="F29" s="73"/>
      <c r="G29" s="7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7.81</v>
      </c>
      <c r="E31" s="414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2344.71</v>
      </c>
      <c r="E32" s="413">
        <v>681.09</v>
      </c>
      <c r="F32" s="73"/>
      <c r="G32" s="75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1808.24</v>
      </c>
      <c r="E33" s="414">
        <v>0</v>
      </c>
      <c r="F33" s="73"/>
      <c r="G33" s="7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7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30.5</v>
      </c>
      <c r="E35" s="414">
        <v>43.78</v>
      </c>
      <c r="F35" s="73"/>
      <c r="G35" s="7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505.97</v>
      </c>
      <c r="E37" s="414">
        <v>637.30000000000007</v>
      </c>
      <c r="F37" s="73"/>
      <c r="G37" s="7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-29586.75</v>
      </c>
      <c r="E40" s="404">
        <v>20701.82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88779.47</v>
      </c>
      <c r="E41" s="363">
        <f>E26+E27+E40</f>
        <v>115818.09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161"/>
      <c r="H46" s="161"/>
    </row>
    <row r="47" spans="2:10">
      <c r="B47" s="104" t="s">
        <v>4</v>
      </c>
      <c r="C47" s="15" t="s">
        <v>40</v>
      </c>
      <c r="D47" s="310">
        <v>897.7971</v>
      </c>
      <c r="E47" s="151">
        <v>876.24659999999994</v>
      </c>
      <c r="G47" s="73"/>
    </row>
    <row r="48" spans="2:10">
      <c r="B48" s="125" t="s">
        <v>6</v>
      </c>
      <c r="C48" s="22" t="s">
        <v>41</v>
      </c>
      <c r="D48" s="310">
        <v>880.13750000000005</v>
      </c>
      <c r="E48" s="332">
        <v>871.59910000000002</v>
      </c>
      <c r="G48" s="16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134.31</v>
      </c>
      <c r="E50" s="151">
        <v>109.19</v>
      </c>
      <c r="G50" s="181"/>
    </row>
    <row r="51" spans="2:7">
      <c r="B51" s="104" t="s">
        <v>6</v>
      </c>
      <c r="C51" s="15" t="s">
        <v>111</v>
      </c>
      <c r="D51" s="310">
        <v>97.02</v>
      </c>
      <c r="E51" s="151">
        <v>109.19</v>
      </c>
      <c r="G51" s="181"/>
    </row>
    <row r="52" spans="2:7">
      <c r="B52" s="104" t="s">
        <v>8</v>
      </c>
      <c r="C52" s="15" t="s">
        <v>112</v>
      </c>
      <c r="D52" s="310">
        <v>138.46</v>
      </c>
      <c r="E52" s="151">
        <v>132.88</v>
      </c>
    </row>
    <row r="53" spans="2:7" ht="13.5" customHeight="1" thickBot="1">
      <c r="B53" s="105" t="s">
        <v>9</v>
      </c>
      <c r="C53" s="17" t="s">
        <v>41</v>
      </c>
      <c r="D53" s="308">
        <v>100.87</v>
      </c>
      <c r="E53" s="333">
        <v>132.88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115818.09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115818.09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115818.09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115818.09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&amp;C&amp;"Calibri"&amp;10&amp;K000000Confidential&amp;1#</oddHeader>
  </headerFooter>
  <rowBreaks count="1" manualBreakCount="1"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81"/>
  <sheetViews>
    <sheetView zoomScale="80" zoomScaleNormal="80" workbookViewId="0">
      <selection activeCell="I27" sqref="I27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5" customWidth="1"/>
    <col min="11" max="11" width="10.85546875" customWidth="1"/>
    <col min="12" max="12" width="12.42578125" bestFit="1" customWidth="1"/>
    <col min="14" max="14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138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57" t="s">
        <v>236</v>
      </c>
      <c r="E10" s="256" t="s">
        <v>242</v>
      </c>
      <c r="G10" s="73"/>
    </row>
    <row r="11" spans="2:12">
      <c r="B11" s="92" t="s">
        <v>3</v>
      </c>
      <c r="C11" s="130" t="s">
        <v>106</v>
      </c>
      <c r="D11" s="376">
        <v>75290120.889999986</v>
      </c>
      <c r="E11" s="377">
        <f>SUM(E12:E14)</f>
        <v>74894648.679999992</v>
      </c>
      <c r="H11" s="73"/>
    </row>
    <row r="12" spans="2:12">
      <c r="B12" s="182" t="s">
        <v>4</v>
      </c>
      <c r="C12" s="183" t="s">
        <v>5</v>
      </c>
      <c r="D12" s="378">
        <v>75178215.879999995</v>
      </c>
      <c r="E12" s="379">
        <f>75886323.75+262609.82-1254284.89</f>
        <v>74894648.679999992</v>
      </c>
      <c r="G12" s="73"/>
      <c r="H12" s="73"/>
    </row>
    <row r="13" spans="2:12">
      <c r="B13" s="182" t="s">
        <v>6</v>
      </c>
      <c r="C13" s="184" t="s">
        <v>7</v>
      </c>
      <c r="D13" s="380">
        <v>65019.35</v>
      </c>
      <c r="E13" s="381">
        <v>0</v>
      </c>
      <c r="H13" s="73"/>
    </row>
    <row r="14" spans="2:12">
      <c r="B14" s="182" t="s">
        <v>8</v>
      </c>
      <c r="C14" s="184" t="s">
        <v>10</v>
      </c>
      <c r="D14" s="380">
        <v>46885.66</v>
      </c>
      <c r="E14" s="381">
        <v>0</v>
      </c>
      <c r="H14" s="73"/>
    </row>
    <row r="15" spans="2:12">
      <c r="B15" s="182" t="s">
        <v>103</v>
      </c>
      <c r="C15" s="184" t="s">
        <v>11</v>
      </c>
      <c r="D15" s="380">
        <v>46885.66</v>
      </c>
      <c r="E15" s="381">
        <v>0</v>
      </c>
      <c r="H15" s="73"/>
    </row>
    <row r="16" spans="2:12">
      <c r="B16" s="185" t="s">
        <v>104</v>
      </c>
      <c r="C16" s="186" t="s">
        <v>12</v>
      </c>
      <c r="D16" s="382">
        <v>0</v>
      </c>
      <c r="E16" s="383">
        <v>0</v>
      </c>
      <c r="H16" s="73"/>
    </row>
    <row r="17" spans="2:14">
      <c r="B17" s="9" t="s">
        <v>13</v>
      </c>
      <c r="C17" s="11" t="s">
        <v>65</v>
      </c>
      <c r="D17" s="384">
        <v>830481.46</v>
      </c>
      <c r="E17" s="385">
        <f>E18</f>
        <v>98184.88</v>
      </c>
    </row>
    <row r="18" spans="2:14">
      <c r="B18" s="182" t="s">
        <v>4</v>
      </c>
      <c r="C18" s="183" t="s">
        <v>11</v>
      </c>
      <c r="D18" s="382">
        <v>830481.46</v>
      </c>
      <c r="E18" s="383">
        <v>98184.88</v>
      </c>
    </row>
    <row r="19" spans="2:14" ht="15" customHeight="1">
      <c r="B19" s="182" t="s">
        <v>6</v>
      </c>
      <c r="C19" s="184" t="s">
        <v>105</v>
      </c>
      <c r="D19" s="380">
        <v>0</v>
      </c>
      <c r="E19" s="381">
        <v>0</v>
      </c>
    </row>
    <row r="20" spans="2:14" ht="13.5" customHeight="1" thickBot="1">
      <c r="B20" s="187" t="s">
        <v>8</v>
      </c>
      <c r="C20" s="188" t="s">
        <v>14</v>
      </c>
      <c r="D20" s="386">
        <v>0</v>
      </c>
      <c r="E20" s="387">
        <v>0</v>
      </c>
      <c r="N20" s="73"/>
    </row>
    <row r="21" spans="2:14" ht="13.5" thickBot="1">
      <c r="B21" s="468" t="s">
        <v>107</v>
      </c>
      <c r="C21" s="469"/>
      <c r="D21" s="388">
        <v>74459639.429999992</v>
      </c>
      <c r="E21" s="389">
        <f>E11-E17</f>
        <v>74796463.799999997</v>
      </c>
      <c r="F21" s="78"/>
      <c r="G21" s="78"/>
      <c r="H21" s="169"/>
      <c r="J21" s="227"/>
      <c r="K21" s="169"/>
    </row>
    <row r="22" spans="2:14">
      <c r="B22" s="4"/>
      <c r="C22" s="7"/>
      <c r="D22" s="8"/>
      <c r="E22" s="8"/>
      <c r="G22" s="73"/>
    </row>
    <row r="23" spans="2:14" ht="13.5">
      <c r="B23" s="460" t="s">
        <v>101</v>
      </c>
      <c r="C23" s="470"/>
      <c r="D23" s="470"/>
      <c r="E23" s="470"/>
      <c r="G23" s="73"/>
    </row>
    <row r="24" spans="2:14" ht="15.75" customHeight="1" thickBot="1">
      <c r="B24" s="459" t="s">
        <v>102</v>
      </c>
      <c r="C24" s="471"/>
      <c r="D24" s="471"/>
      <c r="E24" s="471"/>
    </row>
    <row r="25" spans="2:14" ht="13.5" thickBot="1">
      <c r="B25" s="323"/>
      <c r="C25" s="189" t="s">
        <v>2</v>
      </c>
      <c r="D25" s="274" t="s">
        <v>243</v>
      </c>
      <c r="E25" s="246" t="s">
        <v>242</v>
      </c>
    </row>
    <row r="26" spans="2:14">
      <c r="B26" s="97" t="s">
        <v>15</v>
      </c>
      <c r="C26" s="98" t="s">
        <v>16</v>
      </c>
      <c r="D26" s="398">
        <v>79710266.879999995</v>
      </c>
      <c r="E26" s="399">
        <f>D21</f>
        <v>74459639.429999992</v>
      </c>
      <c r="G26" s="75"/>
    </row>
    <row r="27" spans="2:14">
      <c r="B27" s="9" t="s">
        <v>17</v>
      </c>
      <c r="C27" s="10" t="s">
        <v>108</v>
      </c>
      <c r="D27" s="400">
        <v>-3306207.3499999996</v>
      </c>
      <c r="E27" s="312">
        <v>-3664800.0299999993</v>
      </c>
      <c r="F27" s="73"/>
      <c r="G27" s="155"/>
      <c r="H27" s="243"/>
      <c r="I27" s="243"/>
      <c r="J27" s="216"/>
    </row>
    <row r="28" spans="2:14">
      <c r="B28" s="9" t="s">
        <v>18</v>
      </c>
      <c r="C28" s="10" t="s">
        <v>19</v>
      </c>
      <c r="D28" s="400">
        <v>8017100.8599999994</v>
      </c>
      <c r="E28" s="312">
        <v>5235234.3800000008</v>
      </c>
      <c r="F28" s="73"/>
      <c r="G28" s="73"/>
      <c r="H28" s="243"/>
      <c r="I28" s="243"/>
      <c r="J28" s="216"/>
    </row>
    <row r="29" spans="2:14">
      <c r="B29" s="190" t="s">
        <v>4</v>
      </c>
      <c r="C29" s="183" t="s">
        <v>20</v>
      </c>
      <c r="D29" s="401">
        <v>5632571.5</v>
      </c>
      <c r="E29" s="313">
        <v>4769610.6900000004</v>
      </c>
      <c r="F29" s="73"/>
      <c r="G29" s="73"/>
      <c r="H29" s="243"/>
      <c r="I29" s="243"/>
      <c r="J29" s="216"/>
    </row>
    <row r="30" spans="2:14">
      <c r="B30" s="190" t="s">
        <v>6</v>
      </c>
      <c r="C30" s="183" t="s">
        <v>21</v>
      </c>
      <c r="D30" s="401">
        <v>0</v>
      </c>
      <c r="E30" s="313">
        <v>0</v>
      </c>
      <c r="F30" s="73"/>
      <c r="G30" s="73"/>
      <c r="H30" s="243"/>
      <c r="I30" s="243"/>
      <c r="J30" s="216"/>
    </row>
    <row r="31" spans="2:14">
      <c r="B31" s="190" t="s">
        <v>8</v>
      </c>
      <c r="C31" s="183" t="s">
        <v>22</v>
      </c>
      <c r="D31" s="401">
        <v>2384529.36</v>
      </c>
      <c r="E31" s="313">
        <v>465623.69000000006</v>
      </c>
      <c r="F31" s="73"/>
      <c r="G31" s="73"/>
      <c r="H31" s="243"/>
      <c r="I31" s="243"/>
      <c r="J31" s="216"/>
    </row>
    <row r="32" spans="2:14">
      <c r="B32" s="94" t="s">
        <v>23</v>
      </c>
      <c r="C32" s="11" t="s">
        <v>24</v>
      </c>
      <c r="D32" s="400">
        <v>11323308.209999999</v>
      </c>
      <c r="E32" s="312">
        <v>8900034.4100000001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401">
        <v>7443450.0999999996</v>
      </c>
      <c r="E33" s="313">
        <v>7864557.6799999997</v>
      </c>
      <c r="F33" s="73"/>
      <c r="G33" s="73"/>
      <c r="H33" s="243"/>
      <c r="I33" s="243"/>
      <c r="J33" s="216"/>
    </row>
    <row r="34" spans="2:10">
      <c r="B34" s="190" t="s">
        <v>6</v>
      </c>
      <c r="C34" s="183" t="s">
        <v>26</v>
      </c>
      <c r="D34" s="401">
        <v>83431.430000000008</v>
      </c>
      <c r="E34" s="313">
        <v>161453.12</v>
      </c>
      <c r="F34" s="73"/>
      <c r="G34" s="73"/>
      <c r="H34" s="243"/>
      <c r="I34" s="243"/>
      <c r="J34" s="216"/>
    </row>
    <row r="35" spans="2:10">
      <c r="B35" s="190" t="s">
        <v>8</v>
      </c>
      <c r="C35" s="183" t="s">
        <v>27</v>
      </c>
      <c r="D35" s="401">
        <v>586881.07000000007</v>
      </c>
      <c r="E35" s="313">
        <v>553208.37</v>
      </c>
      <c r="F35" s="73"/>
      <c r="G35" s="73"/>
      <c r="H35" s="243"/>
      <c r="I35" s="243"/>
      <c r="J35" s="216"/>
    </row>
    <row r="36" spans="2:10">
      <c r="B36" s="190" t="s">
        <v>9</v>
      </c>
      <c r="C36" s="183" t="s">
        <v>28</v>
      </c>
      <c r="D36" s="401">
        <v>0</v>
      </c>
      <c r="E36" s="313">
        <v>0</v>
      </c>
      <c r="F36" s="73"/>
      <c r="G36" s="73"/>
      <c r="H36" s="243"/>
      <c r="I36" s="243"/>
      <c r="J36" s="216"/>
    </row>
    <row r="37" spans="2:10" ht="25.5">
      <c r="B37" s="190" t="s">
        <v>29</v>
      </c>
      <c r="C37" s="183" t="s">
        <v>30</v>
      </c>
      <c r="D37" s="401">
        <v>0</v>
      </c>
      <c r="E37" s="313">
        <v>0</v>
      </c>
      <c r="F37" s="73"/>
      <c r="G37" s="73"/>
      <c r="H37" s="243"/>
      <c r="I37" s="243"/>
      <c r="J37" s="216"/>
    </row>
    <row r="38" spans="2:10">
      <c r="B38" s="190" t="s">
        <v>31</v>
      </c>
      <c r="C38" s="183" t="s">
        <v>32</v>
      </c>
      <c r="D38" s="401">
        <v>0</v>
      </c>
      <c r="E38" s="313">
        <v>0</v>
      </c>
      <c r="F38" s="73"/>
      <c r="G38" s="73"/>
      <c r="H38" s="243"/>
      <c r="I38" s="243"/>
      <c r="J38" s="216"/>
    </row>
    <row r="39" spans="2:10">
      <c r="B39" s="191" t="s">
        <v>33</v>
      </c>
      <c r="C39" s="192" t="s">
        <v>34</v>
      </c>
      <c r="D39" s="402">
        <v>3209545.61</v>
      </c>
      <c r="E39" s="313">
        <v>320815.24000000005</v>
      </c>
      <c r="F39" s="73"/>
      <c r="G39" s="73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403">
        <v>-803994.2</v>
      </c>
      <c r="E40" s="404">
        <v>4001624.4000000008</v>
      </c>
      <c r="G40" s="75"/>
      <c r="H40" s="237"/>
      <c r="I40" s="155"/>
    </row>
    <row r="41" spans="2:10" ht="13.5" thickBot="1">
      <c r="B41" s="101" t="s">
        <v>37</v>
      </c>
      <c r="C41" s="102" t="s">
        <v>38</v>
      </c>
      <c r="D41" s="405">
        <v>75600065.329999998</v>
      </c>
      <c r="E41" s="363">
        <f>E26+E27+E40</f>
        <v>74796463.799999997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.7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1709035.2053</v>
      </c>
      <c r="E47" s="283">
        <v>1583548.5364000001</v>
      </c>
      <c r="G47" s="154"/>
    </row>
    <row r="48" spans="2:10">
      <c r="B48" s="195" t="s">
        <v>6</v>
      </c>
      <c r="C48" s="196" t="s">
        <v>41</v>
      </c>
      <c r="D48" s="310">
        <v>1637292.9312</v>
      </c>
      <c r="E48" s="307">
        <v>1508611.2494999999</v>
      </c>
      <c r="G48" s="253"/>
      <c r="H48" s="253"/>
      <c r="J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46.640500000000003</v>
      </c>
      <c r="E50" s="283">
        <v>47.020800000000001</v>
      </c>
      <c r="G50" s="217"/>
    </row>
    <row r="51" spans="2:7">
      <c r="B51" s="193" t="s">
        <v>6</v>
      </c>
      <c r="C51" s="194" t="s">
        <v>111</v>
      </c>
      <c r="D51" s="310">
        <v>45.959800000000001</v>
      </c>
      <c r="E51" s="283">
        <v>47.020800000000001</v>
      </c>
      <c r="G51" s="181"/>
    </row>
    <row r="52" spans="2:7">
      <c r="B52" s="193" t="s">
        <v>8</v>
      </c>
      <c r="C52" s="194" t="s">
        <v>112</v>
      </c>
      <c r="D52" s="310">
        <v>46.729800000000004</v>
      </c>
      <c r="E52" s="283">
        <v>49.579700000000003</v>
      </c>
    </row>
    <row r="53" spans="2:7" ht="13.5" customHeight="1" thickBot="1">
      <c r="B53" s="197" t="s">
        <v>9</v>
      </c>
      <c r="C53" s="198" t="s">
        <v>41</v>
      </c>
      <c r="D53" s="308">
        <v>46.1738</v>
      </c>
      <c r="E53" s="324">
        <v>49.579700000000003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74894648.679999992</v>
      </c>
      <c r="E58" s="31">
        <f>D58/E21</f>
        <v>1.0013126941437036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5.5">
      <c r="B60" s="1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  <c r="G62" s="73"/>
    </row>
    <row r="63" spans="2:7">
      <c r="B63" s="14" t="s">
        <v>29</v>
      </c>
      <c r="C63" s="15" t="s">
        <v>48</v>
      </c>
      <c r="D63" s="79">
        <v>0</v>
      </c>
      <c r="E63" s="80">
        <v>0</v>
      </c>
      <c r="G63" s="73"/>
    </row>
    <row r="64" spans="2:7">
      <c r="B64" s="21" t="s">
        <v>31</v>
      </c>
      <c r="C64" s="22" t="s">
        <v>49</v>
      </c>
      <c r="D64" s="314">
        <f>E12-262609.82</f>
        <v>74632038.859999999</v>
      </c>
      <c r="E64" s="82">
        <f>D64/E21</f>
        <v>0.99780170168953897</v>
      </c>
    </row>
    <row r="65" spans="2:5">
      <c r="B65" s="21" t="s">
        <v>33</v>
      </c>
      <c r="C65" s="22" t="s">
        <v>115</v>
      </c>
      <c r="D65" s="81">
        <v>0</v>
      </c>
      <c r="E65" s="82">
        <v>0</v>
      </c>
    </row>
    <row r="66" spans="2:5">
      <c r="B66" s="21" t="s">
        <v>50</v>
      </c>
      <c r="C66" s="22" t="s">
        <v>51</v>
      </c>
      <c r="D66" s="81">
        <v>0</v>
      </c>
      <c r="E66" s="82">
        <v>0</v>
      </c>
    </row>
    <row r="67" spans="2:5">
      <c r="B67" s="14" t="s">
        <v>52</v>
      </c>
      <c r="C67" s="15" t="s">
        <v>53</v>
      </c>
      <c r="D67" s="79">
        <v>0</v>
      </c>
      <c r="E67" s="80">
        <v>0</v>
      </c>
    </row>
    <row r="68" spans="2:5">
      <c r="B68" s="14" t="s">
        <v>54</v>
      </c>
      <c r="C68" s="15" t="s">
        <v>55</v>
      </c>
      <c r="D68" s="79">
        <v>0</v>
      </c>
      <c r="E68" s="80">
        <v>0</v>
      </c>
    </row>
    <row r="69" spans="2:5">
      <c r="B69" s="14" t="s">
        <v>56</v>
      </c>
      <c r="C69" s="15" t="s">
        <v>57</v>
      </c>
      <c r="D69" s="309">
        <v>262609.82</v>
      </c>
      <c r="E69" s="80">
        <f>D69/E21</f>
        <v>3.5109924541646582E-3</v>
      </c>
    </row>
    <row r="70" spans="2:5">
      <c r="B70" s="114" t="s">
        <v>58</v>
      </c>
      <c r="C70" s="115" t="s">
        <v>59</v>
      </c>
      <c r="D70" s="116">
        <v>0</v>
      </c>
      <c r="E70" s="117">
        <v>0</v>
      </c>
    </row>
    <row r="71" spans="2:5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18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5">
      <c r="B73" s="23" t="s">
        <v>62</v>
      </c>
      <c r="C73" s="24" t="s">
        <v>65</v>
      </c>
      <c r="D73" s="25">
        <f>E17</f>
        <v>98184.88</v>
      </c>
      <c r="E73" s="26">
        <f>D73/E21</f>
        <v>1.3126941437036227E-3</v>
      </c>
    </row>
    <row r="74" spans="2:5">
      <c r="B74" s="122" t="s">
        <v>64</v>
      </c>
      <c r="C74" s="123" t="s">
        <v>66</v>
      </c>
      <c r="D74" s="124">
        <f>D58++D71+D72-D73</f>
        <v>74796463.799999997</v>
      </c>
      <c r="E74" s="67">
        <f>E58+E71+E72-E73</f>
        <v>1</v>
      </c>
    </row>
    <row r="75" spans="2:5">
      <c r="B75" s="14" t="s">
        <v>4</v>
      </c>
      <c r="C75" s="15" t="s">
        <v>67</v>
      </c>
      <c r="D75" s="79">
        <f>D74</f>
        <v>74796463.799999997</v>
      </c>
      <c r="E75" s="80">
        <f>E74</f>
        <v>1</v>
      </c>
    </row>
    <row r="76" spans="2:5">
      <c r="B76" s="1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usz41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3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153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82" t="s">
        <v>4</v>
      </c>
      <c r="C12" s="183" t="s">
        <v>5</v>
      </c>
      <c r="D12" s="378">
        <v>0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381">
        <v>0</v>
      </c>
    </row>
    <row r="14" spans="2:12">
      <c r="B14" s="182" t="s">
        <v>8</v>
      </c>
      <c r="C14" s="184" t="s">
        <v>10</v>
      </c>
      <c r="D14" s="380">
        <v>0</v>
      </c>
      <c r="E14" s="381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381">
        <v>0</v>
      </c>
    </row>
    <row r="16" spans="2:12">
      <c r="B16" s="185" t="s">
        <v>104</v>
      </c>
      <c r="C16" s="186" t="s">
        <v>12</v>
      </c>
      <c r="D16" s="382">
        <v>0</v>
      </c>
      <c r="E16" s="383">
        <v>0</v>
      </c>
    </row>
    <row r="17" spans="2:11">
      <c r="B17" s="9" t="s">
        <v>13</v>
      </c>
      <c r="C17" s="11" t="s">
        <v>65</v>
      </c>
      <c r="D17" s="384">
        <v>0</v>
      </c>
      <c r="E17" s="385">
        <v>0</v>
      </c>
    </row>
    <row r="18" spans="2:11">
      <c r="B18" s="182" t="s">
        <v>4</v>
      </c>
      <c r="C18" s="183" t="s">
        <v>11</v>
      </c>
      <c r="D18" s="382">
        <v>0</v>
      </c>
      <c r="E18" s="38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73225.41</v>
      </c>
      <c r="E26" s="399">
        <v>0</v>
      </c>
      <c r="G26" s="75"/>
    </row>
    <row r="27" spans="2:11">
      <c r="B27" s="9" t="s">
        <v>17</v>
      </c>
      <c r="C27" s="10" t="s">
        <v>108</v>
      </c>
      <c r="D27" s="400">
        <v>-65521.140000000007</v>
      </c>
      <c r="E27" s="412">
        <v>0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370.77000000000004</v>
      </c>
      <c r="E28" s="413">
        <v>0</v>
      </c>
      <c r="F28" s="73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337.91</v>
      </c>
      <c r="E29" s="414">
        <v>0</v>
      </c>
      <c r="F29" s="73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32.86</v>
      </c>
      <c r="E31" s="414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65891.91</v>
      </c>
      <c r="E32" s="413">
        <v>0</v>
      </c>
      <c r="F32" s="73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65503.6</v>
      </c>
      <c r="E33" s="414">
        <v>0</v>
      </c>
      <c r="F33" s="73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25.66</v>
      </c>
      <c r="E35" s="414">
        <v>0</v>
      </c>
      <c r="F35" s="73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362.65000000000003</v>
      </c>
      <c r="E37" s="414">
        <v>0</v>
      </c>
      <c r="F37" s="73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-7704.27</v>
      </c>
      <c r="E40" s="404">
        <v>0</v>
      </c>
      <c r="G40" s="75"/>
    </row>
    <row r="41" spans="2:10" ht="13.5" thickBot="1">
      <c r="B41" s="101" t="s">
        <v>37</v>
      </c>
      <c r="C41" s="102" t="s">
        <v>38</v>
      </c>
      <c r="D41" s="405">
        <v>0</v>
      </c>
      <c r="E41" s="363">
        <v>0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405.18709999999999</v>
      </c>
      <c r="E47" s="151">
        <v>0</v>
      </c>
      <c r="G47" s="73"/>
    </row>
    <row r="48" spans="2:10">
      <c r="B48" s="195" t="s">
        <v>6</v>
      </c>
      <c r="C48" s="196" t="s">
        <v>41</v>
      </c>
      <c r="D48" s="310">
        <v>0</v>
      </c>
      <c r="E48" s="332">
        <v>0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180.72</v>
      </c>
      <c r="E50" s="151">
        <v>0</v>
      </c>
      <c r="G50" s="181"/>
    </row>
    <row r="51" spans="2:7">
      <c r="B51" s="193" t="s">
        <v>6</v>
      </c>
      <c r="C51" s="194" t="s">
        <v>111</v>
      </c>
      <c r="D51" s="310">
        <v>134.91</v>
      </c>
      <c r="E51" s="151">
        <v>136.28</v>
      </c>
      <c r="G51" s="181"/>
    </row>
    <row r="52" spans="2:7">
      <c r="B52" s="193" t="s">
        <v>8</v>
      </c>
      <c r="C52" s="194" t="s">
        <v>112</v>
      </c>
      <c r="D52" s="310">
        <v>180.72</v>
      </c>
      <c r="E52" s="151">
        <v>158.29</v>
      </c>
    </row>
    <row r="53" spans="2:7" ht="12.75" customHeight="1" thickBot="1">
      <c r="B53" s="197" t="s">
        <v>9</v>
      </c>
      <c r="C53" s="198" t="s">
        <v>41</v>
      </c>
      <c r="D53" s="308">
        <v>0</v>
      </c>
      <c r="E53" s="333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Arkusz42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223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86772.03</v>
      </c>
      <c r="E11" s="377">
        <v>89900.11</v>
      </c>
    </row>
    <row r="12" spans="2:12">
      <c r="B12" s="108" t="s">
        <v>4</v>
      </c>
      <c r="C12" s="6" t="s">
        <v>5</v>
      </c>
      <c r="D12" s="378">
        <v>86772.03</v>
      </c>
      <c r="E12" s="379">
        <v>89900.11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86772.03</v>
      </c>
      <c r="E21" s="389">
        <v>89900.11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90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93951.88</v>
      </c>
      <c r="E26" s="399">
        <f>D21</f>
        <v>86772.03</v>
      </c>
      <c r="G26" s="75"/>
    </row>
    <row r="27" spans="2:11">
      <c r="B27" s="9" t="s">
        <v>17</v>
      </c>
      <c r="C27" s="10" t="s">
        <v>108</v>
      </c>
      <c r="D27" s="400">
        <v>-800.87</v>
      </c>
      <c r="E27" s="412">
        <v>-774.84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0</v>
      </c>
      <c r="E29" s="414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0</v>
      </c>
      <c r="E31" s="414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800.87</v>
      </c>
      <c r="E32" s="413">
        <v>774.84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0</v>
      </c>
      <c r="E33" s="414">
        <v>0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0</v>
      </c>
      <c r="E35" s="414">
        <v>0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800.87</v>
      </c>
      <c r="E37" s="414">
        <v>774.84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-11797.07</v>
      </c>
      <c r="E40" s="404">
        <v>3902.92</v>
      </c>
      <c r="G40" s="244"/>
    </row>
    <row r="41" spans="2:10" ht="13.5" thickBot="1">
      <c r="B41" s="101" t="s">
        <v>37</v>
      </c>
      <c r="C41" s="102" t="s">
        <v>38</v>
      </c>
      <c r="D41" s="405">
        <v>81353.94</v>
      </c>
      <c r="E41" s="363">
        <f>E26+E27+E40</f>
        <v>89900.11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9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1334.7334000000001</v>
      </c>
      <c r="E47" s="283">
        <v>1313.5336</v>
      </c>
      <c r="G47" s="73"/>
    </row>
    <row r="48" spans="2:10">
      <c r="B48" s="125" t="s">
        <v>6</v>
      </c>
      <c r="C48" s="22" t="s">
        <v>41</v>
      </c>
      <c r="D48" s="310">
        <v>1324.1201000000001</v>
      </c>
      <c r="E48" s="335">
        <v>1303.0889999999999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70.39</v>
      </c>
      <c r="E50" s="76">
        <v>66.06</v>
      </c>
      <c r="G50" s="181"/>
    </row>
    <row r="51" spans="2:7">
      <c r="B51" s="104" t="s">
        <v>6</v>
      </c>
      <c r="C51" s="15" t="s">
        <v>111</v>
      </c>
      <c r="D51" s="310">
        <v>61.44</v>
      </c>
      <c r="E51" s="76">
        <v>62.71</v>
      </c>
      <c r="G51" s="181"/>
    </row>
    <row r="52" spans="2:7">
      <c r="B52" s="104" t="s">
        <v>8</v>
      </c>
      <c r="C52" s="15" t="s">
        <v>112</v>
      </c>
      <c r="D52" s="310">
        <v>88.92</v>
      </c>
      <c r="E52" s="76">
        <v>82.07</v>
      </c>
    </row>
    <row r="53" spans="2:7" ht="12.75" customHeight="1" thickBot="1">
      <c r="B53" s="105" t="s">
        <v>9</v>
      </c>
      <c r="C53" s="17" t="s">
        <v>41</v>
      </c>
      <c r="D53" s="308">
        <v>61.44</v>
      </c>
      <c r="E53" s="333">
        <v>68.989999999999995</v>
      </c>
    </row>
    <row r="54" spans="2:7">
      <c r="B54" s="111"/>
      <c r="C54" s="112"/>
      <c r="D54" s="352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89900.11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89900.11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89900.11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89900.11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Arkusz43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224</v>
      </c>
      <c r="C6" s="458"/>
      <c r="D6" s="458"/>
      <c r="E6" s="458"/>
    </row>
    <row r="7" spans="2:12" ht="14.25">
      <c r="B7" s="152"/>
      <c r="C7" s="15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5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0</v>
      </c>
      <c r="E11" s="377">
        <v>0</v>
      </c>
    </row>
    <row r="12" spans="2:12">
      <c r="B12" s="108" t="s">
        <v>4</v>
      </c>
      <c r="C12" s="6" t="s">
        <v>5</v>
      </c>
      <c r="D12" s="378">
        <v>0</v>
      </c>
      <c r="E12" s="379">
        <v>0</v>
      </c>
    </row>
    <row r="13" spans="2:12">
      <c r="B13" s="108" t="s">
        <v>6</v>
      </c>
      <c r="C13" s="69" t="s">
        <v>7</v>
      </c>
      <c r="D13" s="380">
        <v>0</v>
      </c>
      <c r="E13" s="381">
        <v>0</v>
      </c>
    </row>
    <row r="14" spans="2:12">
      <c r="B14" s="108" t="s">
        <v>8</v>
      </c>
      <c r="C14" s="69" t="s">
        <v>10</v>
      </c>
      <c r="D14" s="380">
        <v>0</v>
      </c>
      <c r="E14" s="381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381">
        <v>0</v>
      </c>
    </row>
    <row r="16" spans="2:12">
      <c r="B16" s="109" t="s">
        <v>104</v>
      </c>
      <c r="C16" s="93" t="s">
        <v>12</v>
      </c>
      <c r="D16" s="382">
        <v>0</v>
      </c>
      <c r="E16" s="383">
        <v>0</v>
      </c>
    </row>
    <row r="17" spans="2:11">
      <c r="B17" s="9" t="s">
        <v>13</v>
      </c>
      <c r="C17" s="11" t="s">
        <v>65</v>
      </c>
      <c r="D17" s="384">
        <v>0</v>
      </c>
      <c r="E17" s="385">
        <v>0</v>
      </c>
    </row>
    <row r="18" spans="2:11">
      <c r="B18" s="108" t="s">
        <v>4</v>
      </c>
      <c r="C18" s="6" t="s">
        <v>11</v>
      </c>
      <c r="D18" s="382">
        <v>0</v>
      </c>
      <c r="E18" s="38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0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53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43875.85</v>
      </c>
      <c r="E26" s="399">
        <v>0</v>
      </c>
      <c r="G26" s="75"/>
    </row>
    <row r="27" spans="2:11">
      <c r="B27" s="9" t="s">
        <v>17</v>
      </c>
      <c r="C27" s="10" t="s">
        <v>108</v>
      </c>
      <c r="D27" s="400">
        <v>-36755.440000000002</v>
      </c>
      <c r="E27" s="412">
        <v>0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227.01999999999998</v>
      </c>
      <c r="E28" s="413">
        <v>0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205.66</v>
      </c>
      <c r="E29" s="414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21.36</v>
      </c>
      <c r="E31" s="414">
        <v>0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36982.46</v>
      </c>
      <c r="E32" s="413">
        <v>0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36717.730000000003</v>
      </c>
      <c r="E33" s="414">
        <v>0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18.34</v>
      </c>
      <c r="E35" s="414">
        <v>0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246.39000000000001</v>
      </c>
      <c r="E37" s="414">
        <v>0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-7120.41</v>
      </c>
      <c r="E40" s="404">
        <v>0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0</v>
      </c>
      <c r="E41" s="363">
        <v>0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5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381.52910000000003</v>
      </c>
      <c r="E47" s="283">
        <v>0</v>
      </c>
      <c r="G47" s="73"/>
    </row>
    <row r="48" spans="2:10">
      <c r="B48" s="125" t="s">
        <v>6</v>
      </c>
      <c r="C48" s="22" t="s">
        <v>41</v>
      </c>
      <c r="D48" s="310">
        <v>0</v>
      </c>
      <c r="E48" s="336">
        <v>0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115</v>
      </c>
      <c r="E50" s="76">
        <v>0</v>
      </c>
      <c r="G50" s="181"/>
    </row>
    <row r="51" spans="2:7">
      <c r="B51" s="104" t="s">
        <v>6</v>
      </c>
      <c r="C51" s="15" t="s">
        <v>111</v>
      </c>
      <c r="D51" s="310">
        <v>81.63</v>
      </c>
      <c r="E51" s="76">
        <v>66.97</v>
      </c>
      <c r="G51" s="181"/>
    </row>
    <row r="52" spans="2:7">
      <c r="B52" s="104" t="s">
        <v>8</v>
      </c>
      <c r="C52" s="15" t="s">
        <v>112</v>
      </c>
      <c r="D52" s="310">
        <v>115.41</v>
      </c>
      <c r="E52" s="76">
        <v>83.95</v>
      </c>
    </row>
    <row r="53" spans="2:7" ht="13.5" thickBot="1">
      <c r="B53" s="105" t="s">
        <v>9</v>
      </c>
      <c r="C53" s="17" t="s">
        <v>41</v>
      </c>
      <c r="D53" s="308">
        <v>0</v>
      </c>
      <c r="E53" s="331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44"/>
  <dimension ref="A1:L81"/>
  <sheetViews>
    <sheetView zoomScale="80" zoomScaleNormal="80" workbookViewId="0">
      <selection activeCell="H36" sqref="H3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5703125" customWidth="1"/>
    <col min="9" max="9" width="13.28515625" customWidth="1"/>
    <col min="10" max="10" width="13.5703125" customWidth="1"/>
    <col min="11" max="11" width="13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J2" s="73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154</v>
      </c>
      <c r="C6" s="458"/>
      <c r="D6" s="458"/>
      <c r="E6" s="458"/>
      <c r="J6" s="73"/>
    </row>
    <row r="7" spans="2:12" ht="14.25">
      <c r="B7" s="152"/>
      <c r="C7" s="15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53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663246.80000000005</v>
      </c>
      <c r="E11" s="377">
        <v>739611.85</v>
      </c>
      <c r="F11" s="181"/>
    </row>
    <row r="12" spans="2:12">
      <c r="B12" s="182" t="s">
        <v>4</v>
      </c>
      <c r="C12" s="183" t="s">
        <v>5</v>
      </c>
      <c r="D12" s="378">
        <v>663246.80000000005</v>
      </c>
      <c r="E12" s="379">
        <v>739611.85</v>
      </c>
      <c r="F12" s="181"/>
    </row>
    <row r="13" spans="2:12">
      <c r="B13" s="182" t="s">
        <v>6</v>
      </c>
      <c r="C13" s="184" t="s">
        <v>7</v>
      </c>
      <c r="D13" s="380">
        <v>0</v>
      </c>
      <c r="E13" s="442">
        <v>0</v>
      </c>
      <c r="F13" s="181"/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F14" s="181"/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  <c r="F15" s="181"/>
    </row>
    <row r="16" spans="2:12">
      <c r="B16" s="185" t="s">
        <v>104</v>
      </c>
      <c r="C16" s="186" t="s">
        <v>12</v>
      </c>
      <c r="D16" s="382">
        <v>0</v>
      </c>
      <c r="E16" s="443">
        <v>0</v>
      </c>
      <c r="F16" s="181"/>
    </row>
    <row r="17" spans="2:11">
      <c r="B17" s="9" t="s">
        <v>13</v>
      </c>
      <c r="C17" s="11" t="s">
        <v>65</v>
      </c>
      <c r="D17" s="384">
        <v>0</v>
      </c>
      <c r="E17" s="444">
        <v>0</v>
      </c>
      <c r="F17" s="181"/>
    </row>
    <row r="18" spans="2:11">
      <c r="B18" s="182" t="s">
        <v>4</v>
      </c>
      <c r="C18" s="183" t="s">
        <v>11</v>
      </c>
      <c r="D18" s="382">
        <v>0</v>
      </c>
      <c r="E18" s="443">
        <v>0</v>
      </c>
      <c r="F18" s="181"/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  <c r="F19" s="181"/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  <c r="F20" s="181"/>
    </row>
    <row r="21" spans="2:11" ht="13.5" thickBot="1">
      <c r="B21" s="468" t="s">
        <v>107</v>
      </c>
      <c r="C21" s="469"/>
      <c r="D21" s="388">
        <v>663246.80000000005</v>
      </c>
      <c r="E21" s="389">
        <v>739611.85</v>
      </c>
      <c r="F21" s="155"/>
      <c r="G21" s="78"/>
      <c r="H21" s="169"/>
      <c r="J21" s="227"/>
      <c r="K21" s="169"/>
    </row>
    <row r="22" spans="2:11">
      <c r="B22" s="4"/>
      <c r="C22" s="7"/>
      <c r="D22" s="8"/>
      <c r="E22" s="8"/>
      <c r="F22" s="181"/>
      <c r="G22" s="73"/>
    </row>
    <row r="23" spans="2:11" ht="13.5">
      <c r="B23" s="460" t="s">
        <v>101</v>
      </c>
      <c r="C23" s="470"/>
      <c r="D23" s="470"/>
      <c r="E23" s="470"/>
      <c r="F23" s="181"/>
      <c r="G23" s="73"/>
    </row>
    <row r="24" spans="2:11" ht="15.75" customHeight="1" thickBot="1">
      <c r="B24" s="459" t="s">
        <v>102</v>
      </c>
      <c r="C24" s="471"/>
      <c r="D24" s="471"/>
      <c r="E24" s="471"/>
      <c r="F24" s="181"/>
    </row>
    <row r="25" spans="2:11" ht="13.5" thickBot="1">
      <c r="B25" s="179"/>
      <c r="C25" s="189" t="s">
        <v>2</v>
      </c>
      <c r="D25" s="274" t="s">
        <v>243</v>
      </c>
      <c r="E25" s="246" t="s">
        <v>242</v>
      </c>
      <c r="F25" s="181"/>
    </row>
    <row r="26" spans="2:11">
      <c r="B26" s="97" t="s">
        <v>15</v>
      </c>
      <c r="C26" s="98" t="s">
        <v>16</v>
      </c>
      <c r="D26" s="398">
        <v>683030.95</v>
      </c>
      <c r="E26" s="399">
        <f>D21</f>
        <v>663246.80000000005</v>
      </c>
      <c r="F26" s="181"/>
      <c r="G26" s="155"/>
      <c r="H26" s="237"/>
    </row>
    <row r="27" spans="2:11">
      <c r="B27" s="9" t="s">
        <v>17</v>
      </c>
      <c r="C27" s="10" t="s">
        <v>108</v>
      </c>
      <c r="D27" s="400">
        <v>44056.41</v>
      </c>
      <c r="E27" s="412">
        <v>12971.379999999997</v>
      </c>
      <c r="F27" s="155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80851.41</v>
      </c>
      <c r="E28" s="413">
        <v>60268.89</v>
      </c>
      <c r="F28" s="155"/>
      <c r="G28" s="24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63943.19</v>
      </c>
      <c r="E29" s="414">
        <v>57319.15</v>
      </c>
      <c r="F29" s="155"/>
      <c r="G29" s="24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155"/>
      <c r="G30" s="24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16908.219999999998</v>
      </c>
      <c r="E31" s="414">
        <v>2949.7400000000002</v>
      </c>
      <c r="F31" s="155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36795</v>
      </c>
      <c r="E32" s="413">
        <v>47297.51</v>
      </c>
      <c r="F32" s="155"/>
      <c r="G32" s="244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28660.66</v>
      </c>
      <c r="E33" s="414">
        <v>34543.300000000003</v>
      </c>
      <c r="F33" s="155"/>
      <c r="G33" s="24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155"/>
      <c r="G34" s="24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5835.42</v>
      </c>
      <c r="E35" s="414">
        <v>5299.4800000000005</v>
      </c>
      <c r="F35" s="155"/>
      <c r="G35" s="24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155"/>
      <c r="G36" s="24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2298.92</v>
      </c>
      <c r="E37" s="414">
        <v>2455.16</v>
      </c>
      <c r="F37" s="155"/>
      <c r="G37" s="24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155"/>
      <c r="G38" s="24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4999.57</v>
      </c>
      <c r="F39" s="155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-77623.850000000006</v>
      </c>
      <c r="E40" s="404">
        <v>63393.67</v>
      </c>
      <c r="F40" s="181"/>
      <c r="G40" s="75"/>
      <c r="H40" s="237"/>
    </row>
    <row r="41" spans="2:10" ht="13.5" thickBot="1">
      <c r="B41" s="101" t="s">
        <v>37</v>
      </c>
      <c r="C41" s="102" t="s">
        <v>38</v>
      </c>
      <c r="D41" s="405">
        <v>649463.51</v>
      </c>
      <c r="E41" s="363">
        <f>E26+E27+E40</f>
        <v>739611.85000000009</v>
      </c>
      <c r="F41" s="155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5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353"/>
      <c r="E46" s="28"/>
      <c r="G46" s="161"/>
      <c r="H46" s="161"/>
    </row>
    <row r="47" spans="2:10">
      <c r="B47" s="104" t="s">
        <v>4</v>
      </c>
      <c r="C47" s="15" t="s">
        <v>40</v>
      </c>
      <c r="D47" s="310">
        <v>4007.692</v>
      </c>
      <c r="E47" s="424">
        <v>4394.1089000000002</v>
      </c>
      <c r="G47" s="73"/>
    </row>
    <row r="48" spans="2:10">
      <c r="B48" s="125" t="s">
        <v>6</v>
      </c>
      <c r="C48" s="22" t="s">
        <v>41</v>
      </c>
      <c r="D48" s="310">
        <v>4280.1075000000001</v>
      </c>
      <c r="E48" s="335">
        <v>4475.7147000000004</v>
      </c>
      <c r="G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170.43</v>
      </c>
      <c r="E50" s="76">
        <v>150.94</v>
      </c>
      <c r="G50" s="181"/>
    </row>
    <row r="51" spans="2:7">
      <c r="B51" s="104" t="s">
        <v>6</v>
      </c>
      <c r="C51" s="15" t="s">
        <v>111</v>
      </c>
      <c r="D51" s="310">
        <v>149.69</v>
      </c>
      <c r="E51" s="76">
        <v>150.93</v>
      </c>
      <c r="G51" s="181"/>
    </row>
    <row r="52" spans="2:7">
      <c r="B52" s="104" t="s">
        <v>8</v>
      </c>
      <c r="C52" s="15" t="s">
        <v>112</v>
      </c>
      <c r="D52" s="310">
        <v>170.64000000000001</v>
      </c>
      <c r="E52" s="76">
        <v>166.71</v>
      </c>
    </row>
    <row r="53" spans="2:7" ht="13.5" thickBot="1">
      <c r="B53" s="105" t="s">
        <v>9</v>
      </c>
      <c r="C53" s="17" t="s">
        <v>41</v>
      </c>
      <c r="D53" s="308">
        <v>151.74</v>
      </c>
      <c r="E53" s="333">
        <v>165.25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739611.85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739611.85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739611.85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739611.85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45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5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155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226888.36</v>
      </c>
      <c r="E11" s="377">
        <v>248647.45</v>
      </c>
    </row>
    <row r="12" spans="2:12">
      <c r="B12" s="108" t="s">
        <v>4</v>
      </c>
      <c r="C12" s="6" t="s">
        <v>5</v>
      </c>
      <c r="D12" s="378">
        <v>226888.36</v>
      </c>
      <c r="E12" s="379">
        <v>248647.45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226888.36</v>
      </c>
      <c r="E21" s="389">
        <v>248647.45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73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280844.74</v>
      </c>
      <c r="E26" s="399">
        <f>D21</f>
        <v>226888.36</v>
      </c>
      <c r="G26" s="155"/>
    </row>
    <row r="27" spans="2:11">
      <c r="B27" s="9" t="s">
        <v>17</v>
      </c>
      <c r="C27" s="10" t="s">
        <v>108</v>
      </c>
      <c r="D27" s="400">
        <v>-9350.9200000000055</v>
      </c>
      <c r="E27" s="412">
        <v>11775.38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36547.199999999997</v>
      </c>
      <c r="E28" s="413">
        <v>21267.62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30041.47</v>
      </c>
      <c r="E29" s="414">
        <v>21232.16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6505.73</v>
      </c>
      <c r="E31" s="414">
        <v>35.459999999999994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45898.12</v>
      </c>
      <c r="E32" s="413">
        <v>9492.24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42643.94</v>
      </c>
      <c r="E33" s="414">
        <v>6443.52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2305.19</v>
      </c>
      <c r="E35" s="414">
        <v>2208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948.99</v>
      </c>
      <c r="E37" s="414">
        <v>840.72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-22072.68</v>
      </c>
      <c r="E40" s="404">
        <v>9983.7099999999991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249421.14</v>
      </c>
      <c r="E41" s="363">
        <f>E26+E27+E40</f>
        <v>248647.44999999998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7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2337.6455999999998</v>
      </c>
      <c r="E47" s="283">
        <v>2068.0736000000002</v>
      </c>
      <c r="G47" s="73"/>
    </row>
    <row r="48" spans="2:10">
      <c r="B48" s="125" t="s">
        <v>6</v>
      </c>
      <c r="C48" s="22" t="s">
        <v>41</v>
      </c>
      <c r="D48" s="310">
        <v>2249.2662999999998</v>
      </c>
      <c r="E48" s="335">
        <v>2172.9218999999998</v>
      </c>
      <c r="G48" s="161"/>
      <c r="H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120.14</v>
      </c>
      <c r="E50" s="76">
        <v>109.71</v>
      </c>
      <c r="G50" s="181"/>
    </row>
    <row r="51" spans="2:7">
      <c r="B51" s="104" t="s">
        <v>6</v>
      </c>
      <c r="C51" s="15" t="s">
        <v>111</v>
      </c>
      <c r="D51" s="310">
        <v>110.06</v>
      </c>
      <c r="E51" s="76">
        <v>109.71</v>
      </c>
      <c r="G51" s="181"/>
    </row>
    <row r="52" spans="2:7">
      <c r="B52" s="104" t="s">
        <v>8</v>
      </c>
      <c r="C52" s="15" t="s">
        <v>112</v>
      </c>
      <c r="D52" s="310">
        <v>120.14</v>
      </c>
      <c r="E52" s="76">
        <v>114.8</v>
      </c>
    </row>
    <row r="53" spans="2:7" ht="13.5" thickBot="1">
      <c r="B53" s="105" t="s">
        <v>9</v>
      </c>
      <c r="C53" s="17" t="s">
        <v>41</v>
      </c>
      <c r="D53" s="308">
        <v>110.89</v>
      </c>
      <c r="E53" s="333">
        <v>114.43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248647.45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248647.45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248647.45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248647.45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46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156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551100.96</v>
      </c>
      <c r="E11" s="377">
        <v>601571.55000000005</v>
      </c>
    </row>
    <row r="12" spans="2:12">
      <c r="B12" s="108" t="s">
        <v>4</v>
      </c>
      <c r="C12" s="6" t="s">
        <v>5</v>
      </c>
      <c r="D12" s="378">
        <v>551100.96</v>
      </c>
      <c r="E12" s="379">
        <v>601571.55000000005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551100.96</v>
      </c>
      <c r="E21" s="389">
        <v>601571.55000000005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73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594812.37</v>
      </c>
      <c r="E26" s="399">
        <f>D21</f>
        <v>551100.96</v>
      </c>
      <c r="G26" s="155"/>
    </row>
    <row r="27" spans="2:11">
      <c r="B27" s="9" t="s">
        <v>17</v>
      </c>
      <c r="C27" s="10" t="s">
        <v>108</v>
      </c>
      <c r="D27" s="400">
        <v>12372.110000000004</v>
      </c>
      <c r="E27" s="412">
        <v>9793.5999999999985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44871.72</v>
      </c>
      <c r="E28" s="413">
        <v>32443.309999999998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36725.78</v>
      </c>
      <c r="E29" s="414">
        <v>32406.12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8145.9400000000005</v>
      </c>
      <c r="E31" s="414">
        <v>37.19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32499.609999999997</v>
      </c>
      <c r="E32" s="413">
        <v>22649.71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26360.16</v>
      </c>
      <c r="E33" s="414">
        <v>17592.62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414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3518.62</v>
      </c>
      <c r="E35" s="414">
        <v>3062.98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1983.73</v>
      </c>
      <c r="E37" s="414">
        <v>1994.0800000000002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637.1</v>
      </c>
      <c r="E39" s="415">
        <v>0.03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-55701.38</v>
      </c>
      <c r="E40" s="404">
        <v>40676.99</v>
      </c>
      <c r="G40" s="75"/>
    </row>
    <row r="41" spans="2:10" ht="13.5" thickBot="1">
      <c r="B41" s="101" t="s">
        <v>37</v>
      </c>
      <c r="C41" s="102" t="s">
        <v>38</v>
      </c>
      <c r="D41" s="405">
        <v>551483.1</v>
      </c>
      <c r="E41" s="363">
        <f>E26+E27+E40</f>
        <v>601571.54999999993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7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4101.8714</v>
      </c>
      <c r="E47" s="283">
        <v>4246.7515999999996</v>
      </c>
      <c r="G47" s="73"/>
      <c r="H47" s="161"/>
    </row>
    <row r="48" spans="2:10">
      <c r="B48" s="125" t="s">
        <v>6</v>
      </c>
      <c r="C48" s="22" t="s">
        <v>41</v>
      </c>
      <c r="D48" s="310">
        <v>4189.0095000000001</v>
      </c>
      <c r="E48" s="335">
        <v>4319.7727000000004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145.01</v>
      </c>
      <c r="E50" s="284">
        <v>129.77000000000001</v>
      </c>
      <c r="G50" s="181"/>
    </row>
    <row r="51" spans="2:7">
      <c r="B51" s="104" t="s">
        <v>6</v>
      </c>
      <c r="C51" s="15" t="s">
        <v>111</v>
      </c>
      <c r="D51" s="310">
        <v>130.37</v>
      </c>
      <c r="E51" s="284">
        <v>129.76</v>
      </c>
      <c r="G51" s="181"/>
    </row>
    <row r="52" spans="2:7">
      <c r="B52" s="104" t="s">
        <v>8</v>
      </c>
      <c r="C52" s="15" t="s">
        <v>112</v>
      </c>
      <c r="D52" s="310">
        <v>145.05000000000001</v>
      </c>
      <c r="E52" s="284">
        <v>140.06</v>
      </c>
    </row>
    <row r="53" spans="2:7" ht="13.5" thickBot="1">
      <c r="B53" s="105" t="s">
        <v>9</v>
      </c>
      <c r="C53" s="17" t="s">
        <v>41</v>
      </c>
      <c r="D53" s="308">
        <v>131.65</v>
      </c>
      <c r="E53" s="333">
        <v>139.26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601571.55000000005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601571.55000000005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601571.55000000005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601571.55000000005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Arkusz47"/>
  <dimension ref="A1:L81"/>
  <sheetViews>
    <sheetView zoomScale="80" zoomScaleNormal="80" workbookViewId="0">
      <selection activeCell="I34" sqref="I3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157</v>
      </c>
      <c r="C6" s="458"/>
      <c r="D6" s="458"/>
      <c r="E6" s="458"/>
    </row>
    <row r="7" spans="2:12" ht="14.25">
      <c r="B7" s="152"/>
      <c r="C7" s="15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5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18631.080000000002</v>
      </c>
      <c r="E11" s="377">
        <v>0</v>
      </c>
    </row>
    <row r="12" spans="2:12">
      <c r="B12" s="108" t="s">
        <v>4</v>
      </c>
      <c r="C12" s="6" t="s">
        <v>5</v>
      </c>
      <c r="D12" s="378">
        <v>18631.080000000002</v>
      </c>
      <c r="E12" s="379">
        <v>0</v>
      </c>
    </row>
    <row r="13" spans="2:12">
      <c r="B13" s="108" t="s">
        <v>6</v>
      </c>
      <c r="C13" s="69" t="s">
        <v>7</v>
      </c>
      <c r="D13" s="380">
        <v>0</v>
      </c>
      <c r="E13" s="381">
        <v>0</v>
      </c>
    </row>
    <row r="14" spans="2:12">
      <c r="B14" s="108" t="s">
        <v>8</v>
      </c>
      <c r="C14" s="69" t="s">
        <v>10</v>
      </c>
      <c r="D14" s="380">
        <v>0</v>
      </c>
      <c r="E14" s="381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381">
        <v>0</v>
      </c>
    </row>
    <row r="16" spans="2:12">
      <c r="B16" s="109" t="s">
        <v>104</v>
      </c>
      <c r="C16" s="93" t="s">
        <v>12</v>
      </c>
      <c r="D16" s="382">
        <v>0</v>
      </c>
      <c r="E16" s="383">
        <v>0</v>
      </c>
    </row>
    <row r="17" spans="2:11">
      <c r="B17" s="9" t="s">
        <v>13</v>
      </c>
      <c r="C17" s="11" t="s">
        <v>65</v>
      </c>
      <c r="D17" s="384">
        <v>0</v>
      </c>
      <c r="E17" s="385">
        <v>0</v>
      </c>
    </row>
    <row r="18" spans="2:11">
      <c r="B18" s="108" t="s">
        <v>4</v>
      </c>
      <c r="C18" s="6" t="s">
        <v>11</v>
      </c>
      <c r="D18" s="382">
        <v>0</v>
      </c>
      <c r="E18" s="38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18631.080000000002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53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20809.060000000001</v>
      </c>
      <c r="E26" s="399">
        <f>D21</f>
        <v>18631.080000000002</v>
      </c>
      <c r="G26" s="155"/>
    </row>
    <row r="27" spans="2:11">
      <c r="B27" s="9" t="s">
        <v>17</v>
      </c>
      <c r="C27" s="10" t="s">
        <v>108</v>
      </c>
      <c r="D27" s="400">
        <v>62.379999999999995</v>
      </c>
      <c r="E27" s="412">
        <v>-19278.790000000005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372.77</v>
      </c>
      <c r="E28" s="413">
        <v>0.01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401">
        <v>372.77</v>
      </c>
      <c r="E29" s="414">
        <v>0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401">
        <v>0</v>
      </c>
      <c r="E30" s="414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401">
        <v>0</v>
      </c>
      <c r="E31" s="414">
        <v>0.01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310.39</v>
      </c>
      <c r="E32" s="413">
        <v>19278.800000000003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401">
        <v>-2.16</v>
      </c>
      <c r="E33" s="414">
        <v>19060.760000000002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401">
        <v>0</v>
      </c>
      <c r="E34" s="318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401">
        <v>93.55</v>
      </c>
      <c r="E35" s="414">
        <v>65.41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401">
        <v>0</v>
      </c>
      <c r="E36" s="414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401">
        <v>219</v>
      </c>
      <c r="E37" s="414">
        <v>152.63</v>
      </c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401">
        <v>0</v>
      </c>
      <c r="E38" s="414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402">
        <v>0</v>
      </c>
      <c r="E39" s="415">
        <v>0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-2485.9899999999998</v>
      </c>
      <c r="E40" s="404">
        <v>647.71</v>
      </c>
      <c r="G40" s="75"/>
    </row>
    <row r="41" spans="2:10" ht="13.5" thickBot="1">
      <c r="B41" s="101" t="s">
        <v>37</v>
      </c>
      <c r="C41" s="102" t="s">
        <v>38</v>
      </c>
      <c r="D41" s="405">
        <v>18385.450000000004</v>
      </c>
      <c r="E41" s="363">
        <f>E26+E27+E40</f>
        <v>-2.7284841053187847E-12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5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160.8492</v>
      </c>
      <c r="E47" s="283">
        <v>159.99209999999999</v>
      </c>
      <c r="G47" s="73"/>
    </row>
    <row r="48" spans="2:10">
      <c r="B48" s="125" t="s">
        <v>6</v>
      </c>
      <c r="C48" s="22" t="s">
        <v>41</v>
      </c>
      <c r="D48" s="310">
        <v>161.33250000000001</v>
      </c>
      <c r="E48" s="335">
        <v>0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04" t="s">
        <v>4</v>
      </c>
      <c r="C50" s="15" t="s">
        <v>40</v>
      </c>
      <c r="D50" s="310">
        <v>129.37</v>
      </c>
      <c r="E50" s="76">
        <v>116.45</v>
      </c>
      <c r="G50" s="181"/>
    </row>
    <row r="51" spans="2:7">
      <c r="B51" s="104" t="s">
        <v>6</v>
      </c>
      <c r="C51" s="15" t="s">
        <v>111</v>
      </c>
      <c r="D51" s="310">
        <v>113.55</v>
      </c>
      <c r="E51" s="76">
        <v>116.38</v>
      </c>
      <c r="G51" s="181"/>
    </row>
    <row r="52" spans="2:7">
      <c r="B52" s="104" t="s">
        <v>8</v>
      </c>
      <c r="C52" s="15" t="s">
        <v>112</v>
      </c>
      <c r="D52" s="310">
        <v>129.37</v>
      </c>
      <c r="E52" s="76">
        <v>122.85</v>
      </c>
    </row>
    <row r="53" spans="2:7" ht="13.5" thickBot="1">
      <c r="B53" s="105" t="s">
        <v>9</v>
      </c>
      <c r="C53" s="17" t="s">
        <v>41</v>
      </c>
      <c r="D53" s="308">
        <v>113.96</v>
      </c>
      <c r="E53" s="333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Arkusz51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89"/>
      <c r="C4" s="89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237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90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6667.73</v>
      </c>
      <c r="E11" s="377">
        <v>7021.24</v>
      </c>
    </row>
    <row r="12" spans="2:12">
      <c r="B12" s="182" t="s">
        <v>4</v>
      </c>
      <c r="C12" s="183" t="s">
        <v>5</v>
      </c>
      <c r="D12" s="378">
        <v>6667.73</v>
      </c>
      <c r="E12" s="379">
        <v>7021.24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6667.73</v>
      </c>
      <c r="E21" s="389">
        <v>7021.24</v>
      </c>
      <c r="F21" s="78"/>
      <c r="G21" s="78"/>
      <c r="H21" s="170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37522.07</v>
      </c>
      <c r="E26" s="399">
        <f>D21</f>
        <v>6667.73</v>
      </c>
      <c r="G26" s="75"/>
    </row>
    <row r="27" spans="2:11">
      <c r="B27" s="9" t="s">
        <v>17</v>
      </c>
      <c r="C27" s="10" t="s">
        <v>108</v>
      </c>
      <c r="D27" s="400">
        <v>-29391.06</v>
      </c>
      <c r="E27" s="412">
        <v>-101.22000000000001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29391.06</v>
      </c>
      <c r="E32" s="413">
        <v>101.22000000000001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29202.850000000002</v>
      </c>
      <c r="E33" s="414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9.15</v>
      </c>
      <c r="E35" s="414">
        <v>23.76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179.06</v>
      </c>
      <c r="E37" s="414">
        <v>77.460000000000008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-1534.74</v>
      </c>
      <c r="E40" s="404">
        <v>454.73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6596.2699999999986</v>
      </c>
      <c r="E41" s="363">
        <f>E26+E27+E40</f>
        <v>7021.24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269.40030000000002</v>
      </c>
      <c r="E47" s="151">
        <v>49.357700000000001</v>
      </c>
      <c r="G47" s="73"/>
    </row>
    <row r="48" spans="2:10">
      <c r="B48" s="195" t="s">
        <v>6</v>
      </c>
      <c r="C48" s="196" t="s">
        <v>41</v>
      </c>
      <c r="D48" s="310">
        <v>50.192300000000003</v>
      </c>
      <c r="E48" s="337">
        <v>48.650500000000001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139.28</v>
      </c>
      <c r="E50" s="289">
        <v>135.09</v>
      </c>
      <c r="G50" s="181"/>
    </row>
    <row r="51" spans="2:7">
      <c r="B51" s="193" t="s">
        <v>6</v>
      </c>
      <c r="C51" s="194" t="s">
        <v>111</v>
      </c>
      <c r="D51" s="310">
        <v>131.42000000000002</v>
      </c>
      <c r="E51" s="289">
        <v>135.09</v>
      </c>
      <c r="G51" s="181"/>
    </row>
    <row r="52" spans="2:7">
      <c r="B52" s="193" t="s">
        <v>8</v>
      </c>
      <c r="C52" s="194" t="s">
        <v>112</v>
      </c>
      <c r="D52" s="310">
        <v>139.46</v>
      </c>
      <c r="E52" s="338">
        <v>144.32</v>
      </c>
    </row>
    <row r="53" spans="2:7" ht="13.5" customHeight="1" thickBot="1">
      <c r="B53" s="197" t="s">
        <v>9</v>
      </c>
      <c r="C53" s="198" t="s">
        <v>41</v>
      </c>
      <c r="D53" s="308">
        <v>131.41999999999999</v>
      </c>
      <c r="E53" s="339">
        <v>144.32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7021.24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7021.24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7021.24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7021.24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53"/>
  <dimension ref="A1:L81"/>
  <sheetViews>
    <sheetView zoomScale="80" zoomScaleNormal="80" workbookViewId="0">
      <selection activeCell="H38" sqref="H3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158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  <c r="G9">
        <v>227</v>
      </c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380564.31</v>
      </c>
      <c r="E11" s="377">
        <v>431567.43</v>
      </c>
    </row>
    <row r="12" spans="2:12">
      <c r="B12" s="182" t="s">
        <v>4</v>
      </c>
      <c r="C12" s="183" t="s">
        <v>5</v>
      </c>
      <c r="D12" s="378">
        <v>380564.31</v>
      </c>
      <c r="E12" s="379">
        <v>431567.43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380564.31</v>
      </c>
      <c r="E21" s="389">
        <v>431567.43</v>
      </c>
      <c r="F21" s="78"/>
      <c r="G21" s="78">
        <f>E48*E53</f>
        <v>431567.42705999996</v>
      </c>
      <c r="H21" s="169">
        <f>E21-G21</f>
        <v>2.9400000348687172E-3</v>
      </c>
      <c r="J21" s="227" t="s">
        <v>123</v>
      </c>
      <c r="K21" s="169">
        <f>E21-E41</f>
        <v>0</v>
      </c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400109.44</v>
      </c>
      <c r="E26" s="399">
        <f>D21</f>
        <v>380564.31</v>
      </c>
      <c r="G26" s="75"/>
    </row>
    <row r="27" spans="2:11">
      <c r="B27" s="9" t="s">
        <v>17</v>
      </c>
      <c r="C27" s="10" t="s">
        <v>108</v>
      </c>
      <c r="D27" s="400">
        <v>-5595.25</v>
      </c>
      <c r="E27" s="412">
        <v>-5238.7300000000005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5595.25</v>
      </c>
      <c r="E32" s="413">
        <v>5238.7300000000005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0</v>
      </c>
      <c r="E33" s="414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2397.5700000000002</v>
      </c>
      <c r="E35" s="414">
        <v>1902.93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3197.6800000000003</v>
      </c>
      <c r="E37" s="414">
        <v>3335.8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-22803.74</v>
      </c>
      <c r="E40" s="404">
        <v>56241.85</v>
      </c>
      <c r="G40" s="75"/>
    </row>
    <row r="41" spans="2:10" ht="13.5" thickBot="1">
      <c r="B41" s="101" t="s">
        <v>37</v>
      </c>
      <c r="C41" s="102" t="s">
        <v>38</v>
      </c>
      <c r="D41" s="405">
        <v>371710.45</v>
      </c>
      <c r="E41" s="363">
        <f>E26+E27+E40</f>
        <v>431567.43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32450.076000000001</v>
      </c>
      <c r="E47" s="151">
        <v>31529.769</v>
      </c>
      <c r="G47" s="73"/>
    </row>
    <row r="48" spans="2:10">
      <c r="B48" s="195" t="s">
        <v>6</v>
      </c>
      <c r="C48" s="196" t="s">
        <v>41</v>
      </c>
      <c r="D48" s="310">
        <v>31988.850999999999</v>
      </c>
      <c r="E48" s="334">
        <v>31137.620999999999</v>
      </c>
      <c r="G48" s="73"/>
    </row>
    <row r="49" spans="2:8">
      <c r="B49" s="122" t="s">
        <v>23</v>
      </c>
      <c r="C49" s="126" t="s">
        <v>110</v>
      </c>
      <c r="D49" s="311"/>
      <c r="E49" s="289"/>
    </row>
    <row r="50" spans="2:8">
      <c r="B50" s="193" t="s">
        <v>4</v>
      </c>
      <c r="C50" s="194" t="s">
        <v>40</v>
      </c>
      <c r="D50" s="310">
        <v>12.33</v>
      </c>
      <c r="E50" s="289">
        <v>12.07</v>
      </c>
      <c r="G50" s="181" t="s">
        <v>121</v>
      </c>
      <c r="H50">
        <f>IF(OR(ROUND(E50,4)&lt;ROUND(E51,4),ROUND(E53,4)&lt;ROUND(E51,4)),1,0)</f>
        <v>0</v>
      </c>
    </row>
    <row r="51" spans="2:8">
      <c r="B51" s="193" t="s">
        <v>6</v>
      </c>
      <c r="C51" s="194" t="s">
        <v>111</v>
      </c>
      <c r="D51" s="310">
        <v>11.07</v>
      </c>
      <c r="E51" s="289">
        <v>12.07</v>
      </c>
      <c r="G51" s="181" t="s">
        <v>122</v>
      </c>
      <c r="H51">
        <f>IF(OR(ROUND(E50,4)&gt;ROUND(E52,4),ROUND(E53,4)&gt;ROUND(E52,4)),1,0)</f>
        <v>0</v>
      </c>
    </row>
    <row r="52" spans="2:8">
      <c r="B52" s="193" t="s">
        <v>8</v>
      </c>
      <c r="C52" s="194" t="s">
        <v>112</v>
      </c>
      <c r="D52" s="310">
        <v>12.870000000000001</v>
      </c>
      <c r="E52" s="289">
        <v>13.94</v>
      </c>
    </row>
    <row r="53" spans="2:8" ht="13.5" customHeight="1" thickBot="1">
      <c r="B53" s="197" t="s">
        <v>9</v>
      </c>
      <c r="C53" s="198" t="s">
        <v>41</v>
      </c>
      <c r="D53" s="308">
        <v>11.62</v>
      </c>
      <c r="E53" s="333">
        <v>13.86</v>
      </c>
    </row>
    <row r="54" spans="2:8">
      <c r="B54" s="111"/>
      <c r="C54" s="112"/>
      <c r="D54" s="113"/>
      <c r="E54" s="113"/>
    </row>
    <row r="55" spans="2:8" ht="13.5">
      <c r="B55" s="461" t="s">
        <v>62</v>
      </c>
      <c r="C55" s="466"/>
      <c r="D55" s="466"/>
      <c r="E55" s="466"/>
    </row>
    <row r="56" spans="2:8" ht="14.25" thickBot="1">
      <c r="B56" s="459" t="s">
        <v>113</v>
      </c>
      <c r="C56" s="467"/>
      <c r="D56" s="467"/>
      <c r="E56" s="467"/>
    </row>
    <row r="57" spans="2:8" ht="23.25" thickBot="1">
      <c r="B57" s="454" t="s">
        <v>42</v>
      </c>
      <c r="C57" s="455"/>
      <c r="D57" s="18" t="s">
        <v>119</v>
      </c>
      <c r="E57" s="19" t="s">
        <v>114</v>
      </c>
    </row>
    <row r="58" spans="2:8">
      <c r="B58" s="20" t="s">
        <v>18</v>
      </c>
      <c r="C58" s="128" t="s">
        <v>43</v>
      </c>
      <c r="D58" s="129">
        <f>D64</f>
        <v>431567.43</v>
      </c>
      <c r="E58" s="31">
        <f>D58/E21</f>
        <v>1</v>
      </c>
    </row>
    <row r="59" spans="2:8" ht="25.5">
      <c r="B59" s="125" t="s">
        <v>4</v>
      </c>
      <c r="C59" s="22" t="s">
        <v>44</v>
      </c>
      <c r="D59" s="81">
        <v>0</v>
      </c>
      <c r="E59" s="82">
        <v>0</v>
      </c>
    </row>
    <row r="60" spans="2:8" ht="25.5">
      <c r="B60" s="104" t="s">
        <v>6</v>
      </c>
      <c r="C60" s="15" t="s">
        <v>45</v>
      </c>
      <c r="D60" s="79">
        <v>0</v>
      </c>
      <c r="E60" s="80">
        <v>0</v>
      </c>
    </row>
    <row r="61" spans="2:8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8">
      <c r="B62" s="104" t="s">
        <v>9</v>
      </c>
      <c r="C62" s="15" t="s">
        <v>47</v>
      </c>
      <c r="D62" s="79">
        <v>0</v>
      </c>
      <c r="E62" s="80">
        <v>0</v>
      </c>
    </row>
    <row r="63" spans="2:8">
      <c r="B63" s="104" t="s">
        <v>29</v>
      </c>
      <c r="C63" s="15" t="s">
        <v>48</v>
      </c>
      <c r="D63" s="79">
        <v>0</v>
      </c>
      <c r="E63" s="80">
        <v>0</v>
      </c>
    </row>
    <row r="64" spans="2:8">
      <c r="B64" s="125" t="s">
        <v>31</v>
      </c>
      <c r="C64" s="22" t="s">
        <v>49</v>
      </c>
      <c r="D64" s="81">
        <f>E21</f>
        <v>431567.43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431567.43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431567.43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54"/>
  <dimension ref="A1:L81"/>
  <sheetViews>
    <sheetView zoomScale="73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159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578329.43000000005</v>
      </c>
      <c r="E11" s="377">
        <v>646763.68999999994</v>
      </c>
    </row>
    <row r="12" spans="2:12">
      <c r="B12" s="182" t="s">
        <v>4</v>
      </c>
      <c r="C12" s="183" t="s">
        <v>5</v>
      </c>
      <c r="D12" s="378">
        <v>578329.43000000005</v>
      </c>
      <c r="E12" s="379">
        <v>646763.68999999994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578329.43000000005</v>
      </c>
      <c r="E21" s="389">
        <v>646763.68999999994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  <c r="H25" s="237"/>
    </row>
    <row r="26" spans="2:11">
      <c r="B26" s="97" t="s">
        <v>15</v>
      </c>
      <c r="C26" s="98" t="s">
        <v>16</v>
      </c>
      <c r="D26" s="398">
        <v>780933.13</v>
      </c>
      <c r="E26" s="399">
        <f>D21</f>
        <v>578329.43000000005</v>
      </c>
      <c r="G26" s="75"/>
      <c r="H26" s="237"/>
    </row>
    <row r="27" spans="2:11">
      <c r="B27" s="9" t="s">
        <v>17</v>
      </c>
      <c r="C27" s="10" t="s">
        <v>108</v>
      </c>
      <c r="D27" s="400">
        <v>-31445.62</v>
      </c>
      <c r="E27" s="412">
        <v>-8884.5499999999993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0.02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0.02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31445.62</v>
      </c>
      <c r="E32" s="413">
        <v>8884.57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24985.279999999999</v>
      </c>
      <c r="E33" s="414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2265.64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1374.43</v>
      </c>
      <c r="E35" s="414">
        <v>1876.22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5085.91</v>
      </c>
      <c r="E37" s="414">
        <v>4742.71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-156091.25</v>
      </c>
      <c r="E40" s="404">
        <v>77318.81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593396.26</v>
      </c>
      <c r="E41" s="363">
        <f>E26+E27+E40</f>
        <v>646763.68999999994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47763.493999999999</v>
      </c>
      <c r="E47" s="151">
        <v>45181.987000000001</v>
      </c>
      <c r="G47" s="73"/>
    </row>
    <row r="48" spans="2:10">
      <c r="B48" s="195" t="s">
        <v>6</v>
      </c>
      <c r="C48" s="196" t="s">
        <v>41</v>
      </c>
      <c r="D48" s="310">
        <v>45716.199000000001</v>
      </c>
      <c r="E48" s="334">
        <v>44542.953999999998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16.350000000000001</v>
      </c>
      <c r="E50" s="289">
        <v>12.8</v>
      </c>
      <c r="G50" s="181"/>
    </row>
    <row r="51" spans="2:7">
      <c r="B51" s="193" t="s">
        <v>6</v>
      </c>
      <c r="C51" s="194" t="s">
        <v>111</v>
      </c>
      <c r="D51" s="310">
        <v>12.790000000000001</v>
      </c>
      <c r="E51" s="289">
        <v>12.76</v>
      </c>
      <c r="G51" s="181"/>
    </row>
    <row r="52" spans="2:7">
      <c r="B52" s="193" t="s">
        <v>8</v>
      </c>
      <c r="C52" s="194" t="s">
        <v>112</v>
      </c>
      <c r="D52" s="310">
        <v>16.350000000000001</v>
      </c>
      <c r="E52" s="289">
        <v>14.6</v>
      </c>
    </row>
    <row r="53" spans="2:7" ht="12.75" customHeight="1" thickBot="1">
      <c r="B53" s="197" t="s">
        <v>9</v>
      </c>
      <c r="C53" s="198" t="s">
        <v>41</v>
      </c>
      <c r="D53" s="308">
        <v>12.98</v>
      </c>
      <c r="E53" s="333">
        <v>14.52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646763.68999999994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646763.68999999994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646763.68999999994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646763.68999999994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4.7109375" customWidth="1"/>
    <col min="11" max="11" width="15.855468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84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  <c r="G9" s="208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  <c r="H10" s="73"/>
    </row>
    <row r="11" spans="2:12">
      <c r="B11" s="92" t="s">
        <v>3</v>
      </c>
      <c r="C11" s="204" t="s">
        <v>106</v>
      </c>
      <c r="D11" s="376">
        <v>129636446.61999999</v>
      </c>
      <c r="E11" s="377">
        <f>SUM(E12:E14)</f>
        <v>152439319.05000001</v>
      </c>
      <c r="H11" s="73"/>
    </row>
    <row r="12" spans="2:12">
      <c r="B12" s="182" t="s">
        <v>4</v>
      </c>
      <c r="C12" s="240" t="s">
        <v>5</v>
      </c>
      <c r="D12" s="378">
        <v>129313143.44999999</v>
      </c>
      <c r="E12" s="379">
        <f>154705203.7+153219.55-2419104.2</f>
        <v>152439319.05000001</v>
      </c>
      <c r="G12" s="73"/>
      <c r="H12" s="73"/>
    </row>
    <row r="13" spans="2:12">
      <c r="B13" s="182" t="s">
        <v>6</v>
      </c>
      <c r="C13" s="240" t="s">
        <v>7</v>
      </c>
      <c r="D13" s="380">
        <v>323303.17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0</v>
      </c>
      <c r="E14" s="381">
        <v>0</v>
      </c>
      <c r="H14" s="73"/>
    </row>
    <row r="15" spans="2:12">
      <c r="B15" s="182" t="s">
        <v>103</v>
      </c>
      <c r="C15" s="240" t="s">
        <v>11</v>
      </c>
      <c r="D15" s="380">
        <v>0</v>
      </c>
      <c r="E15" s="381">
        <v>0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285651.90000000002</v>
      </c>
      <c r="E17" s="385">
        <f>E18</f>
        <v>350983.45</v>
      </c>
    </row>
    <row r="18" spans="2:11">
      <c r="B18" s="182" t="s">
        <v>4</v>
      </c>
      <c r="C18" s="240" t="s">
        <v>11</v>
      </c>
      <c r="D18" s="382">
        <v>285651.90000000002</v>
      </c>
      <c r="E18" s="383">
        <v>350983.45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129350794.71999998</v>
      </c>
      <c r="E21" s="389">
        <f>E11-E17</f>
        <v>152088335.60000002</v>
      </c>
      <c r="F21" s="78"/>
      <c r="G21" s="78"/>
      <c r="H21" s="169"/>
      <c r="J21" s="228"/>
      <c r="K21" s="68"/>
    </row>
    <row r="22" spans="2:11">
      <c r="B22" s="4"/>
      <c r="C22" s="7"/>
      <c r="D22" s="8"/>
      <c r="E22" s="8"/>
      <c r="G22" s="73"/>
    </row>
    <row r="23" spans="2:11" ht="15.75">
      <c r="B23" s="460"/>
      <c r="C23" s="470"/>
      <c r="D23" s="470"/>
      <c r="E23" s="470"/>
      <c r="G23" s="73"/>
    </row>
    <row r="24" spans="2:11" ht="16.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150909843.17999998</v>
      </c>
      <c r="E26" s="391">
        <f>D21</f>
        <v>129350794.71999998</v>
      </c>
      <c r="G26" s="75"/>
    </row>
    <row r="27" spans="2:11">
      <c r="B27" s="9" t="s">
        <v>17</v>
      </c>
      <c r="C27" s="10" t="s">
        <v>108</v>
      </c>
      <c r="D27" s="392">
        <v>-555388.21</v>
      </c>
      <c r="E27" s="365">
        <v>-3921432.8200000012</v>
      </c>
      <c r="F27" s="73"/>
      <c r="G27" s="155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7467800.3599999994</v>
      </c>
      <c r="E28" s="366">
        <v>6558760.8099999996</v>
      </c>
      <c r="F28" s="73"/>
      <c r="G28" s="155"/>
      <c r="H28" s="243"/>
      <c r="I28" s="243"/>
      <c r="J28" s="216"/>
    </row>
    <row r="29" spans="2:11">
      <c r="B29" s="190" t="s">
        <v>4</v>
      </c>
      <c r="C29" s="183" t="s">
        <v>20</v>
      </c>
      <c r="D29" s="393">
        <v>6631136.8399999999</v>
      </c>
      <c r="E29" s="367">
        <v>6301203.6500000004</v>
      </c>
      <c r="F29" s="73"/>
      <c r="G29" s="155"/>
      <c r="H29" s="243"/>
      <c r="I29" s="243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1">
      <c r="B31" s="190" t="s">
        <v>8</v>
      </c>
      <c r="C31" s="183" t="s">
        <v>22</v>
      </c>
      <c r="D31" s="393">
        <v>836663.52</v>
      </c>
      <c r="E31" s="367">
        <v>257557.15999999881</v>
      </c>
      <c r="F31" s="73"/>
      <c r="G31" s="155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8023188.5699999994</v>
      </c>
      <c r="E32" s="366">
        <v>10480193.630000001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6133898.9500000002</v>
      </c>
      <c r="E33" s="367">
        <v>8757833.6500000004</v>
      </c>
      <c r="F33" s="73"/>
      <c r="G33" s="155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174899.42</v>
      </c>
      <c r="E34" s="367">
        <v>162198.17000000001</v>
      </c>
      <c r="F34" s="73"/>
      <c r="G34" s="155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1376129.15</v>
      </c>
      <c r="E35" s="367">
        <v>1403439.23</v>
      </c>
      <c r="F35" s="73"/>
      <c r="G35" s="155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338261.05</v>
      </c>
      <c r="E39" s="368">
        <v>156722.58000000002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-29822184.309999999</v>
      </c>
      <c r="E40" s="396">
        <v>26658973.699999996</v>
      </c>
      <c r="G40" s="75"/>
      <c r="J40" s="162"/>
    </row>
    <row r="41" spans="2:10" ht="13.5" thickBot="1">
      <c r="B41" s="101" t="s">
        <v>37</v>
      </c>
      <c r="C41" s="102" t="s">
        <v>38</v>
      </c>
      <c r="D41" s="397">
        <v>120532270.65999997</v>
      </c>
      <c r="E41" s="389">
        <f>E26+E27+E40</f>
        <v>152088335.59999996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5.7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225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9151070.1674000006</v>
      </c>
      <c r="E47" s="283">
        <v>9077550.2048000004</v>
      </c>
      <c r="G47" s="226"/>
    </row>
    <row r="48" spans="2:10">
      <c r="B48" s="195" t="s">
        <v>6</v>
      </c>
      <c r="C48" s="196" t="s">
        <v>41</v>
      </c>
      <c r="D48" s="310">
        <v>9067127.1673999988</v>
      </c>
      <c r="E48" s="325">
        <v>8850865.2681999989</v>
      </c>
      <c r="G48" s="253"/>
      <c r="J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16.4909</v>
      </c>
      <c r="E50" s="151">
        <v>14.249499999999999</v>
      </c>
      <c r="G50" s="217"/>
    </row>
    <row r="51" spans="2:7">
      <c r="B51" s="193" t="s">
        <v>6</v>
      </c>
      <c r="C51" s="194" t="s">
        <v>111</v>
      </c>
      <c r="D51" s="310">
        <v>12.9611</v>
      </c>
      <c r="E51" s="151">
        <v>14.249499999999999</v>
      </c>
      <c r="G51" s="181"/>
    </row>
    <row r="52" spans="2:7" ht="12.75" customHeight="1">
      <c r="B52" s="193" t="s">
        <v>8</v>
      </c>
      <c r="C52" s="194" t="s">
        <v>112</v>
      </c>
      <c r="D52" s="310">
        <v>16.9269</v>
      </c>
      <c r="E52" s="151">
        <v>17.183399999999999</v>
      </c>
    </row>
    <row r="53" spans="2:7" ht="13.5" thickBot="1">
      <c r="B53" s="197" t="s">
        <v>9</v>
      </c>
      <c r="C53" s="198" t="s">
        <v>41</v>
      </c>
      <c r="D53" s="308">
        <v>13.2933</v>
      </c>
      <c r="E53" s="326">
        <v>17.183400000000002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152439319.05000001</v>
      </c>
      <c r="E58" s="31">
        <f>D58/E21</f>
        <v>1.0023077604775892</v>
      </c>
    </row>
    <row r="59" spans="2:7" ht="25.5">
      <c r="B59" s="21" t="s">
        <v>4</v>
      </c>
      <c r="C59" s="22" t="s">
        <v>44</v>
      </c>
      <c r="D59" s="81">
        <v>0</v>
      </c>
      <c r="E59" s="82">
        <v>0</v>
      </c>
    </row>
    <row r="60" spans="2:7" ht="24" customHeight="1">
      <c r="B60" s="14" t="s">
        <v>6</v>
      </c>
      <c r="C60" s="15" t="s">
        <v>45</v>
      </c>
      <c r="D60" s="79">
        <v>0</v>
      </c>
      <c r="E60" s="80">
        <v>0</v>
      </c>
    </row>
    <row r="61" spans="2:7">
      <c r="B61" s="14" t="s">
        <v>8</v>
      </c>
      <c r="C61" s="15" t="s">
        <v>46</v>
      </c>
      <c r="D61" s="79">
        <v>0</v>
      </c>
      <c r="E61" s="80">
        <v>0</v>
      </c>
    </row>
    <row r="62" spans="2:7">
      <c r="B62" s="14" t="s">
        <v>9</v>
      </c>
      <c r="C62" s="15" t="s">
        <v>47</v>
      </c>
      <c r="D62" s="79">
        <v>0</v>
      </c>
      <c r="E62" s="80">
        <v>0</v>
      </c>
    </row>
    <row r="63" spans="2:7">
      <c r="B63" s="14" t="s">
        <v>29</v>
      </c>
      <c r="C63" s="15" t="s">
        <v>48</v>
      </c>
      <c r="D63" s="79">
        <v>0</v>
      </c>
      <c r="E63" s="80">
        <v>0</v>
      </c>
    </row>
    <row r="64" spans="2:7">
      <c r="B64" s="21" t="s">
        <v>31</v>
      </c>
      <c r="C64" s="22" t="s">
        <v>49</v>
      </c>
      <c r="D64" s="314">
        <f>E12-153219.55</f>
        <v>152286099.5</v>
      </c>
      <c r="E64" s="82">
        <f>D64/E21</f>
        <v>1.0013003226001507</v>
      </c>
      <c r="G64" s="73"/>
    </row>
    <row r="65" spans="2:7">
      <c r="B65" s="21" t="s">
        <v>33</v>
      </c>
      <c r="C65" s="22" t="s">
        <v>115</v>
      </c>
      <c r="D65" s="81">
        <v>0</v>
      </c>
      <c r="E65" s="82">
        <v>0</v>
      </c>
      <c r="G65" s="73"/>
    </row>
    <row r="66" spans="2:7">
      <c r="B66" s="21" t="s">
        <v>50</v>
      </c>
      <c r="C66" s="22" t="s">
        <v>51</v>
      </c>
      <c r="D66" s="81">
        <v>0</v>
      </c>
      <c r="E66" s="82">
        <v>0</v>
      </c>
      <c r="G66" s="73"/>
    </row>
    <row r="67" spans="2:7">
      <c r="B67" s="14" t="s">
        <v>52</v>
      </c>
      <c r="C67" s="15" t="s">
        <v>53</v>
      </c>
      <c r="D67" s="79">
        <v>0</v>
      </c>
      <c r="E67" s="80">
        <v>0</v>
      </c>
    </row>
    <row r="68" spans="2:7">
      <c r="B68" s="14" t="s">
        <v>54</v>
      </c>
      <c r="C68" s="15" t="s">
        <v>55</v>
      </c>
      <c r="D68" s="79">
        <v>0</v>
      </c>
      <c r="E68" s="80">
        <v>0</v>
      </c>
    </row>
    <row r="69" spans="2:7">
      <c r="B69" s="14" t="s">
        <v>56</v>
      </c>
      <c r="C69" s="15" t="s">
        <v>57</v>
      </c>
      <c r="D69" s="309">
        <v>153219.54999999999</v>
      </c>
      <c r="E69" s="80">
        <f>D69/E21</f>
        <v>1.0074378774383797E-3</v>
      </c>
    </row>
    <row r="70" spans="2:7">
      <c r="B70" s="114" t="s">
        <v>58</v>
      </c>
      <c r="C70" s="11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0</v>
      </c>
      <c r="E72" s="121">
        <f>D72/E21</f>
        <v>0</v>
      </c>
    </row>
    <row r="73" spans="2:7">
      <c r="B73" s="23" t="s">
        <v>62</v>
      </c>
      <c r="C73" s="24" t="s">
        <v>65</v>
      </c>
      <c r="D73" s="25">
        <f>E17</f>
        <v>350983.45</v>
      </c>
      <c r="E73" s="26">
        <f>D73/E21</f>
        <v>2.3077604775891829E-3</v>
      </c>
    </row>
    <row r="74" spans="2:7">
      <c r="B74" s="122" t="s">
        <v>64</v>
      </c>
      <c r="C74" s="123" t="s">
        <v>66</v>
      </c>
      <c r="D74" s="124">
        <f>D58+D71+D72-D73</f>
        <v>152088335.60000002</v>
      </c>
      <c r="E74" s="67">
        <f>E58+E71+E72-E73</f>
        <v>1</v>
      </c>
    </row>
    <row r="75" spans="2:7">
      <c r="B75" s="14" t="s">
        <v>4</v>
      </c>
      <c r="C75" s="15" t="s">
        <v>67</v>
      </c>
      <c r="D75" s="79">
        <f>D74</f>
        <v>152088335.60000002</v>
      </c>
      <c r="E75" s="80">
        <f>E74</f>
        <v>1</v>
      </c>
    </row>
    <row r="76" spans="2:7">
      <c r="B76" s="14" t="s">
        <v>6</v>
      </c>
      <c r="C76" s="15" t="s">
        <v>116</v>
      </c>
      <c r="D76" s="79">
        <v>0</v>
      </c>
      <c r="E76" s="80">
        <v>0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56"/>
  <dimension ref="A1:L81"/>
  <sheetViews>
    <sheetView zoomScale="80" zoomScaleNormal="80" workbookViewId="0">
      <selection activeCell="H36" sqref="H3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0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160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1467619.25</v>
      </c>
      <c r="E11" s="377">
        <v>1120576.23</v>
      </c>
    </row>
    <row r="12" spans="2:12">
      <c r="B12" s="182" t="s">
        <v>4</v>
      </c>
      <c r="C12" s="245" t="s">
        <v>5</v>
      </c>
      <c r="D12" s="378">
        <v>1467619.25</v>
      </c>
      <c r="E12" s="379">
        <v>1120576.23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1467619.25</v>
      </c>
      <c r="E21" s="389">
        <v>1120576.23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3043794.16</v>
      </c>
      <c r="E26" s="399">
        <f>D21</f>
        <v>1467619.25</v>
      </c>
      <c r="G26" s="75"/>
    </row>
    <row r="27" spans="2:11">
      <c r="B27" s="9" t="s">
        <v>17</v>
      </c>
      <c r="C27" s="10" t="s">
        <v>108</v>
      </c>
      <c r="D27" s="400">
        <v>-150617.04</v>
      </c>
      <c r="E27" s="412">
        <v>-666201.1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0.03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0.03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150617.04</v>
      </c>
      <c r="E32" s="413">
        <v>666201.13</v>
      </c>
      <c r="F32" s="73"/>
      <c r="G32" s="75"/>
      <c r="H32" s="243"/>
      <c r="I32" s="73"/>
      <c r="J32" s="75"/>
    </row>
    <row r="33" spans="2:12">
      <c r="B33" s="190" t="s">
        <v>4</v>
      </c>
      <c r="C33" s="245" t="s">
        <v>25</v>
      </c>
      <c r="D33" s="416">
        <v>130348.7</v>
      </c>
      <c r="E33" s="414">
        <v>647892.34</v>
      </c>
      <c r="F33" s="73"/>
      <c r="G33" s="73"/>
      <c r="H33" s="243"/>
      <c r="I33" s="73"/>
      <c r="J33" s="75"/>
    </row>
    <row r="34" spans="2:12">
      <c r="B34" s="190" t="s">
        <v>6</v>
      </c>
      <c r="C34" s="183" t="s">
        <v>26</v>
      </c>
      <c r="D34" s="401">
        <v>0</v>
      </c>
      <c r="E34" s="414">
        <v>4100.78</v>
      </c>
      <c r="F34" s="73"/>
      <c r="G34" s="73"/>
      <c r="H34" s="243"/>
      <c r="I34" s="73"/>
      <c r="J34" s="75"/>
    </row>
    <row r="35" spans="2:12">
      <c r="B35" s="190" t="s">
        <v>8</v>
      </c>
      <c r="C35" s="183" t="s">
        <v>27</v>
      </c>
      <c r="D35" s="401">
        <v>1899.81</v>
      </c>
      <c r="E35" s="414">
        <v>2257</v>
      </c>
      <c r="F35" s="73"/>
      <c r="G35" s="73"/>
      <c r="H35" s="243"/>
      <c r="I35" s="73"/>
      <c r="J35" s="75"/>
    </row>
    <row r="36" spans="2:12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2" ht="25.5">
      <c r="B37" s="190" t="s">
        <v>29</v>
      </c>
      <c r="C37" s="183" t="s">
        <v>30</v>
      </c>
      <c r="D37" s="401">
        <v>18368.53</v>
      </c>
      <c r="E37" s="414">
        <v>11951.01</v>
      </c>
      <c r="F37" s="73"/>
      <c r="G37" s="73"/>
      <c r="H37" s="243"/>
      <c r="I37" s="73"/>
      <c r="J37" s="75"/>
    </row>
    <row r="38" spans="2:12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2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2" ht="13.5" thickBot="1">
      <c r="B40" s="99" t="s">
        <v>35</v>
      </c>
      <c r="C40" s="100" t="s">
        <v>36</v>
      </c>
      <c r="D40" s="403">
        <v>-1047272.19</v>
      </c>
      <c r="E40" s="404">
        <v>319158.08</v>
      </c>
      <c r="G40" s="75"/>
      <c r="H40" s="237"/>
    </row>
    <row r="41" spans="2:12" ht="13.5" thickBot="1">
      <c r="B41" s="101" t="s">
        <v>37</v>
      </c>
      <c r="C41" s="102" t="s">
        <v>38</v>
      </c>
      <c r="D41" s="405">
        <v>1845904.9300000002</v>
      </c>
      <c r="E41" s="363">
        <f>E26+E27+E40</f>
        <v>1120576.23</v>
      </c>
      <c r="F41" s="78"/>
      <c r="G41" s="75"/>
    </row>
    <row r="42" spans="2:12">
      <c r="B42" s="95"/>
      <c r="C42" s="95"/>
      <c r="D42" s="96"/>
      <c r="E42" s="96"/>
      <c r="F42" s="78"/>
      <c r="G42" s="68"/>
    </row>
    <row r="43" spans="2:12" ht="13.5">
      <c r="B43" s="461" t="s">
        <v>60</v>
      </c>
      <c r="C43" s="462"/>
      <c r="D43" s="462"/>
      <c r="E43" s="462"/>
      <c r="G43" s="73"/>
    </row>
    <row r="44" spans="2:12" ht="18" customHeight="1" thickBot="1">
      <c r="B44" s="459" t="s">
        <v>118</v>
      </c>
      <c r="C44" s="463"/>
      <c r="D44" s="463"/>
      <c r="E44" s="463"/>
      <c r="G44" s="73"/>
    </row>
    <row r="45" spans="2:12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2">
      <c r="B46" s="13" t="s">
        <v>18</v>
      </c>
      <c r="C46" s="30" t="s">
        <v>109</v>
      </c>
      <c r="D46" s="103"/>
      <c r="E46" s="28"/>
      <c r="G46" s="73"/>
    </row>
    <row r="47" spans="2:12">
      <c r="B47" s="193" t="s">
        <v>4</v>
      </c>
      <c r="C47" s="194" t="s">
        <v>40</v>
      </c>
      <c r="D47" s="310">
        <v>55993.27</v>
      </c>
      <c r="E47" s="151">
        <v>44072.65</v>
      </c>
      <c r="G47" s="73"/>
    </row>
    <row r="48" spans="2:12">
      <c r="B48" s="195" t="s">
        <v>6</v>
      </c>
      <c r="C48" s="196" t="s">
        <v>41</v>
      </c>
      <c r="D48" s="310">
        <v>52440.481</v>
      </c>
      <c r="E48" s="337">
        <v>26853.012999999999</v>
      </c>
      <c r="G48" s="73"/>
      <c r="H48" s="215"/>
      <c r="I48" s="162"/>
      <c r="J48" s="162"/>
      <c r="K48" s="162"/>
      <c r="L48" s="162"/>
    </row>
    <row r="49" spans="2:7">
      <c r="B49" s="122" t="s">
        <v>23</v>
      </c>
      <c r="C49" s="126" t="s">
        <v>110</v>
      </c>
      <c r="D49" s="311"/>
      <c r="E49" s="293"/>
    </row>
    <row r="50" spans="2:7">
      <c r="B50" s="193" t="s">
        <v>4</v>
      </c>
      <c r="C50" s="194" t="s">
        <v>40</v>
      </c>
      <c r="D50" s="310">
        <v>54.36</v>
      </c>
      <c r="E50" s="293">
        <v>33.299999999999997</v>
      </c>
      <c r="G50" s="181"/>
    </row>
    <row r="51" spans="2:7">
      <c r="B51" s="193" t="s">
        <v>6</v>
      </c>
      <c r="C51" s="194" t="s">
        <v>111</v>
      </c>
      <c r="D51" s="310">
        <v>33.65</v>
      </c>
      <c r="E51" s="293">
        <v>32.58</v>
      </c>
      <c r="G51" s="181"/>
    </row>
    <row r="52" spans="2:7">
      <c r="B52" s="193" t="s">
        <v>8</v>
      </c>
      <c r="C52" s="194" t="s">
        <v>112</v>
      </c>
      <c r="D52" s="310">
        <v>54.36</v>
      </c>
      <c r="E52" s="293">
        <v>41.73</v>
      </c>
    </row>
    <row r="53" spans="2:7" ht="13.5" customHeight="1" thickBot="1">
      <c r="B53" s="197" t="s">
        <v>9</v>
      </c>
      <c r="C53" s="198" t="s">
        <v>41</v>
      </c>
      <c r="D53" s="308">
        <v>35.200000000000003</v>
      </c>
      <c r="E53" s="333">
        <v>41.73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1120576.23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1120576.23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1120576.23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1120576.23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Arkusz57"/>
  <dimension ref="A1:L81"/>
  <sheetViews>
    <sheetView zoomScale="80" zoomScaleNormal="80" workbookViewId="0">
      <selection activeCell="I21" sqref="I2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161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163792.53</v>
      </c>
      <c r="E11" s="377">
        <v>125169.01</v>
      </c>
    </row>
    <row r="12" spans="2:12">
      <c r="B12" s="182" t="s">
        <v>4</v>
      </c>
      <c r="C12" s="183" t="s">
        <v>5</v>
      </c>
      <c r="D12" s="378">
        <v>163792.53</v>
      </c>
      <c r="E12" s="379">
        <v>125169.01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163792.53</v>
      </c>
      <c r="E21" s="389">
        <v>125169.01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204904.85</v>
      </c>
      <c r="E26" s="399">
        <f>D21</f>
        <v>163792.53</v>
      </c>
      <c r="G26" s="75"/>
    </row>
    <row r="27" spans="2:11">
      <c r="B27" s="9" t="s">
        <v>17</v>
      </c>
      <c r="C27" s="10" t="s">
        <v>108</v>
      </c>
      <c r="D27" s="400">
        <v>-2389.92</v>
      </c>
      <c r="E27" s="412">
        <v>-44308.66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0.06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0.06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2389.92</v>
      </c>
      <c r="E32" s="413">
        <v>44308.72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0</v>
      </c>
      <c r="E33" s="414">
        <v>42647.4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923.21</v>
      </c>
      <c r="E35" s="414">
        <v>849.11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1466.71</v>
      </c>
      <c r="E37" s="414">
        <v>812.21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-43432.61</v>
      </c>
      <c r="E40" s="404">
        <v>5685.14</v>
      </c>
      <c r="G40" s="75"/>
    </row>
    <row r="41" spans="2:10" ht="13.5" thickBot="1">
      <c r="B41" s="101" t="s">
        <v>37</v>
      </c>
      <c r="C41" s="102" t="s">
        <v>38</v>
      </c>
      <c r="D41" s="405">
        <v>159082.32</v>
      </c>
      <c r="E41" s="363">
        <f>E26+E27+E40</f>
        <v>125169.01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17633.808000000001</v>
      </c>
      <c r="E47" s="151">
        <v>17097.341</v>
      </c>
      <c r="G47" s="73"/>
    </row>
    <row r="48" spans="2:10">
      <c r="B48" s="195" t="s">
        <v>6</v>
      </c>
      <c r="C48" s="196" t="s">
        <v>41</v>
      </c>
      <c r="D48" s="310">
        <v>17405.067999999999</v>
      </c>
      <c r="E48" s="334">
        <v>12554.565000000001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11.62</v>
      </c>
      <c r="E50" s="289">
        <v>9.58</v>
      </c>
      <c r="G50" s="181"/>
    </row>
    <row r="51" spans="2:7">
      <c r="B51" s="193" t="s">
        <v>6</v>
      </c>
      <c r="C51" s="194" t="s">
        <v>111</v>
      </c>
      <c r="D51" s="310">
        <v>9.14</v>
      </c>
      <c r="E51" s="289">
        <v>9.5500000000000007</v>
      </c>
      <c r="G51" s="181"/>
    </row>
    <row r="52" spans="2:7">
      <c r="B52" s="193" t="s">
        <v>8</v>
      </c>
      <c r="C52" s="194" t="s">
        <v>112</v>
      </c>
      <c r="D52" s="310">
        <v>11.620000000000001</v>
      </c>
      <c r="E52" s="289">
        <v>10.119999999999999</v>
      </c>
    </row>
    <row r="53" spans="2:7" ht="13.5" thickBot="1">
      <c r="B53" s="197" t="s">
        <v>9</v>
      </c>
      <c r="C53" s="198" t="s">
        <v>41</v>
      </c>
      <c r="D53" s="308">
        <v>9.14</v>
      </c>
      <c r="E53" s="333">
        <v>9.9700000000000006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125169.01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125169.01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125169.01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125169.01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Arkusz58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162</v>
      </c>
      <c r="C6" s="458"/>
      <c r="D6" s="458"/>
      <c r="E6" s="458"/>
    </row>
    <row r="7" spans="2:12" ht="14.25">
      <c r="B7" s="210"/>
      <c r="C7" s="210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11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235178.54</v>
      </c>
      <c r="E11" s="377">
        <v>241146.44</v>
      </c>
    </row>
    <row r="12" spans="2:12">
      <c r="B12" s="182" t="s">
        <v>4</v>
      </c>
      <c r="C12" s="183" t="s">
        <v>5</v>
      </c>
      <c r="D12" s="378">
        <v>235178.54</v>
      </c>
      <c r="E12" s="379">
        <v>241146.44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235178.54</v>
      </c>
      <c r="E21" s="389">
        <v>241146.44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8">
        <v>234314.36</v>
      </c>
      <c r="E26" s="399">
        <f>D21</f>
        <v>235178.54</v>
      </c>
      <c r="G26" s="75"/>
    </row>
    <row r="27" spans="2:11">
      <c r="B27" s="9" t="s">
        <v>17</v>
      </c>
      <c r="C27" s="10" t="s">
        <v>108</v>
      </c>
      <c r="D27" s="400">
        <v>-1848.81</v>
      </c>
      <c r="E27" s="412">
        <v>-1901.55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0">
        <v>0</v>
      </c>
      <c r="E28" s="413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401">
        <v>0</v>
      </c>
      <c r="E29" s="414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401">
        <v>0</v>
      </c>
      <c r="E30" s="414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401">
        <v>0</v>
      </c>
      <c r="E31" s="414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0">
        <v>1848.81</v>
      </c>
      <c r="E32" s="413">
        <v>1901.55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401">
        <v>0</v>
      </c>
      <c r="E33" s="414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401">
        <v>0</v>
      </c>
      <c r="E34" s="414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401">
        <v>0</v>
      </c>
      <c r="E35" s="414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401">
        <v>0</v>
      </c>
      <c r="E36" s="414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401">
        <v>1848.81</v>
      </c>
      <c r="E37" s="414">
        <v>1901.55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401">
        <v>0</v>
      </c>
      <c r="E38" s="414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02">
        <v>0</v>
      </c>
      <c r="E39" s="415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03">
        <v>-2270.34</v>
      </c>
      <c r="E40" s="404">
        <v>7869.45</v>
      </c>
      <c r="G40" s="75"/>
      <c r="H40" s="237"/>
    </row>
    <row r="41" spans="2:10" ht="13.5" thickBot="1">
      <c r="B41" s="101" t="s">
        <v>37</v>
      </c>
      <c r="C41" s="102" t="s">
        <v>38</v>
      </c>
      <c r="D41" s="405">
        <v>230195.21</v>
      </c>
      <c r="E41" s="363">
        <f>E26+E27+E40</f>
        <v>241146.44000000003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2284.2109999999998</v>
      </c>
      <c r="E47" s="151">
        <v>2247.931</v>
      </c>
      <c r="G47" s="73"/>
    </row>
    <row r="48" spans="2:10">
      <c r="B48" s="195" t="s">
        <v>6</v>
      </c>
      <c r="C48" s="196" t="s">
        <v>41</v>
      </c>
      <c r="D48" s="310">
        <v>2266.1469999999999</v>
      </c>
      <c r="E48" s="332">
        <v>2230.1529999999998</v>
      </c>
      <c r="G48" s="73"/>
    </row>
    <row r="49" spans="2:7">
      <c r="B49" s="122" t="s">
        <v>23</v>
      </c>
      <c r="C49" s="126" t="s">
        <v>110</v>
      </c>
      <c r="D49" s="311"/>
      <c r="E49" s="292"/>
    </row>
    <row r="50" spans="2:7">
      <c r="B50" s="193" t="s">
        <v>4</v>
      </c>
      <c r="C50" s="194" t="s">
        <v>40</v>
      </c>
      <c r="D50" s="310">
        <v>102.58</v>
      </c>
      <c r="E50" s="151">
        <v>104.62</v>
      </c>
      <c r="G50" s="181"/>
    </row>
    <row r="51" spans="2:7">
      <c r="B51" s="193" t="s">
        <v>6</v>
      </c>
      <c r="C51" s="194" t="s">
        <v>111</v>
      </c>
      <c r="D51" s="310">
        <v>100.78</v>
      </c>
      <c r="E51" s="151">
        <v>104.62</v>
      </c>
      <c r="G51" s="181"/>
    </row>
    <row r="52" spans="2:7">
      <c r="B52" s="193" t="s">
        <v>8</v>
      </c>
      <c r="C52" s="194" t="s">
        <v>112</v>
      </c>
      <c r="D52" s="310">
        <v>103.43</v>
      </c>
      <c r="E52" s="151">
        <v>108.87</v>
      </c>
    </row>
    <row r="53" spans="2:7" ht="13.5" thickBot="1">
      <c r="B53" s="197" t="s">
        <v>9</v>
      </c>
      <c r="C53" s="198" t="s">
        <v>41</v>
      </c>
      <c r="D53" s="308">
        <v>101.58</v>
      </c>
      <c r="E53" s="333">
        <v>108.13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241146.44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241146.44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241146.44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241146.44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Arkusz59"/>
  <dimension ref="A1:L81"/>
  <sheetViews>
    <sheetView zoomScale="80" zoomScaleNormal="80" workbookViewId="0">
      <selection activeCell="H34" sqref="H3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163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86548.75</v>
      </c>
      <c r="E11" s="377">
        <v>109506.05</v>
      </c>
    </row>
    <row r="12" spans="2:12">
      <c r="B12" s="182" t="s">
        <v>4</v>
      </c>
      <c r="C12" s="183" t="s">
        <v>5</v>
      </c>
      <c r="D12" s="378">
        <v>86548.75</v>
      </c>
      <c r="E12" s="379">
        <v>109506.05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86548.75</v>
      </c>
      <c r="E21" s="389">
        <v>109506.05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408">
        <v>145277.14000000001</v>
      </c>
      <c r="E26" s="391">
        <f>D21</f>
        <v>86548.75</v>
      </c>
      <c r="G26" s="75"/>
    </row>
    <row r="27" spans="2:11">
      <c r="B27" s="9" t="s">
        <v>17</v>
      </c>
      <c r="C27" s="10" t="s">
        <v>108</v>
      </c>
      <c r="D27" s="409">
        <v>-1144.3599999999999</v>
      </c>
      <c r="E27" s="365">
        <v>-1013.63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409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78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78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78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409">
        <v>1144.3599999999999</v>
      </c>
      <c r="E32" s="366">
        <v>1013.63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78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78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78">
        <v>29.06</v>
      </c>
      <c r="E35" s="367">
        <v>68.3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78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78">
        <v>1115.3</v>
      </c>
      <c r="E37" s="367">
        <v>945.31000000000006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78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410">
        <v>0</v>
      </c>
      <c r="E39" s="368">
        <v>0.02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411">
        <v>-50506.33</v>
      </c>
      <c r="E40" s="396">
        <v>23970.93</v>
      </c>
      <c r="G40" s="75"/>
      <c r="H40" s="237"/>
    </row>
    <row r="41" spans="2:10" ht="13.5" thickBot="1">
      <c r="B41" s="101" t="s">
        <v>37</v>
      </c>
      <c r="C41" s="102" t="s">
        <v>38</v>
      </c>
      <c r="D41" s="388">
        <v>93626.450000000026</v>
      </c>
      <c r="E41" s="389">
        <f>E26+E27+E40</f>
        <v>109506.04999999999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417">
        <v>336.49220000000003</v>
      </c>
      <c r="E47" s="151">
        <v>329.78489999999999</v>
      </c>
      <c r="G47" s="73"/>
    </row>
    <row r="48" spans="2:10">
      <c r="B48" s="195" t="s">
        <v>6</v>
      </c>
      <c r="C48" s="196" t="s">
        <v>41</v>
      </c>
      <c r="D48" s="417">
        <v>333.24950000000001</v>
      </c>
      <c r="E48" s="334">
        <v>326.46469999999999</v>
      </c>
      <c r="G48" s="73"/>
    </row>
    <row r="49" spans="2:7">
      <c r="B49" s="122" t="s">
        <v>23</v>
      </c>
      <c r="C49" s="126" t="s">
        <v>110</v>
      </c>
      <c r="D49" s="418"/>
      <c r="E49" s="289"/>
    </row>
    <row r="50" spans="2:7">
      <c r="B50" s="193" t="s">
        <v>4</v>
      </c>
      <c r="C50" s="194" t="s">
        <v>40</v>
      </c>
      <c r="D50" s="417">
        <v>431.74</v>
      </c>
      <c r="E50" s="289">
        <v>262.44</v>
      </c>
      <c r="G50" s="181"/>
    </row>
    <row r="51" spans="2:7">
      <c r="B51" s="193" t="s">
        <v>6</v>
      </c>
      <c r="C51" s="194" t="s">
        <v>111</v>
      </c>
      <c r="D51" s="417">
        <v>274.32</v>
      </c>
      <c r="E51" s="289">
        <v>261.8</v>
      </c>
      <c r="G51" s="181"/>
    </row>
    <row r="52" spans="2:7">
      <c r="B52" s="193" t="s">
        <v>8</v>
      </c>
      <c r="C52" s="194" t="s">
        <v>112</v>
      </c>
      <c r="D52" s="417">
        <v>435.06</v>
      </c>
      <c r="E52" s="289">
        <v>337.81</v>
      </c>
    </row>
    <row r="53" spans="2:7" ht="14.25" customHeight="1" thickBot="1">
      <c r="B53" s="197" t="s">
        <v>9</v>
      </c>
      <c r="C53" s="198" t="s">
        <v>41</v>
      </c>
      <c r="D53" s="308">
        <v>280.95</v>
      </c>
      <c r="E53" s="333">
        <v>335.43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109506.05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109506.05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109506.05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109506.05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60">
    <pageSetUpPr fitToPage="1"/>
  </sheetPr>
  <dimension ref="A1:L81"/>
  <sheetViews>
    <sheetView zoomScale="80" zoomScaleNormal="80" workbookViewId="0">
      <selection activeCell="I39" sqref="I39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0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231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94097.22</v>
      </c>
      <c r="E11" s="377">
        <v>141639.98000000001</v>
      </c>
    </row>
    <row r="12" spans="2:12">
      <c r="B12" s="182" t="s">
        <v>4</v>
      </c>
      <c r="C12" s="183" t="s">
        <v>5</v>
      </c>
      <c r="D12" s="378">
        <v>94097.22</v>
      </c>
      <c r="E12" s="379">
        <v>141639.98000000001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94097.22</v>
      </c>
      <c r="E21" s="389">
        <v>141639.98000000001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140822.23000000001</v>
      </c>
      <c r="E26" s="391">
        <f>D21</f>
        <v>94097.22</v>
      </c>
      <c r="G26" s="75"/>
      <c r="H26" s="237"/>
    </row>
    <row r="27" spans="2:11">
      <c r="B27" s="9" t="s">
        <v>17</v>
      </c>
      <c r="C27" s="10" t="s">
        <v>108</v>
      </c>
      <c r="D27" s="392">
        <v>-26354.030000000006</v>
      </c>
      <c r="E27" s="365">
        <v>23304.2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13785.49</v>
      </c>
      <c r="E28" s="366">
        <v>27589.32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13733.28</v>
      </c>
      <c r="E29" s="367">
        <v>8131.1500000000005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52.21</v>
      </c>
      <c r="E31" s="367">
        <v>19458.169999999998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40139.520000000004</v>
      </c>
      <c r="E32" s="366">
        <v>4285.12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4051.01</v>
      </c>
      <c r="E33" s="367">
        <v>570.4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240.39000000000001</v>
      </c>
      <c r="E35" s="367">
        <v>535.54999999999995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436.87</v>
      </c>
      <c r="E37" s="367">
        <v>732.46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35411.25</v>
      </c>
      <c r="E39" s="368">
        <v>2446.71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-33771.599999999999</v>
      </c>
      <c r="E40" s="396">
        <v>24238.560000000001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80696.600000000006</v>
      </c>
      <c r="E41" s="389">
        <f>E26+E27+E40</f>
        <v>141639.98000000001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188.62309999999999</v>
      </c>
      <c r="E47" s="151">
        <v>158.62379999999999</v>
      </c>
      <c r="G47" s="73"/>
    </row>
    <row r="48" spans="2:10">
      <c r="B48" s="195" t="s">
        <v>6</v>
      </c>
      <c r="C48" s="196" t="s">
        <v>41</v>
      </c>
      <c r="D48" s="310">
        <v>142.8486</v>
      </c>
      <c r="E48" s="334">
        <v>191.7578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746.58</v>
      </c>
      <c r="E50" s="289">
        <v>593.21</v>
      </c>
      <c r="G50" s="181"/>
    </row>
    <row r="51" spans="2:7">
      <c r="B51" s="193" t="s">
        <v>6</v>
      </c>
      <c r="C51" s="194" t="s">
        <v>111</v>
      </c>
      <c r="D51" s="310">
        <v>547.94000000000005</v>
      </c>
      <c r="E51" s="289">
        <v>593.21</v>
      </c>
      <c r="G51" s="181"/>
    </row>
    <row r="52" spans="2:7">
      <c r="B52" s="193" t="s">
        <v>8</v>
      </c>
      <c r="C52" s="194" t="s">
        <v>112</v>
      </c>
      <c r="D52" s="310">
        <v>767.32</v>
      </c>
      <c r="E52" s="289">
        <v>739.91</v>
      </c>
    </row>
    <row r="53" spans="2:7" ht="13.5" customHeight="1" thickBot="1">
      <c r="B53" s="197" t="s">
        <v>9</v>
      </c>
      <c r="C53" s="198" t="s">
        <v>41</v>
      </c>
      <c r="D53" s="308">
        <v>564.91</v>
      </c>
      <c r="E53" s="333">
        <v>738.64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20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141639.98000000001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141639.98000000001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141639.98000000001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141639.98000000001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61"/>
  <dimension ref="A1:L81"/>
  <sheetViews>
    <sheetView zoomScale="80" zoomScaleNormal="80" workbookViewId="0">
      <selection activeCell="I25" sqref="I2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85546875" customWidth="1"/>
    <col min="9" max="9" width="13.28515625" customWidth="1"/>
    <col min="10" max="10" width="13.5703125" customWidth="1"/>
    <col min="11" max="11" width="14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238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177747.22</v>
      </c>
      <c r="E11" s="377">
        <v>193893.28</v>
      </c>
    </row>
    <row r="12" spans="2:12">
      <c r="B12" s="108" t="s">
        <v>4</v>
      </c>
      <c r="C12" s="6" t="s">
        <v>5</v>
      </c>
      <c r="D12" s="378">
        <v>177747.22</v>
      </c>
      <c r="E12" s="379">
        <v>193893.28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177747.22</v>
      </c>
      <c r="E21" s="389">
        <v>193893.28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37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226081.09</v>
      </c>
      <c r="E26" s="391">
        <f>D21</f>
        <v>177747.22</v>
      </c>
      <c r="G26" s="75"/>
    </row>
    <row r="27" spans="2:11">
      <c r="B27" s="9" t="s">
        <v>17</v>
      </c>
      <c r="C27" s="10" t="s">
        <v>108</v>
      </c>
      <c r="D27" s="392">
        <v>-4798.82</v>
      </c>
      <c r="E27" s="365">
        <v>-20959.300000000003</v>
      </c>
      <c r="F27" s="73"/>
      <c r="G27" s="244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13568.869999999999</v>
      </c>
      <c r="E28" s="366">
        <v>4952.17</v>
      </c>
      <c r="F28" s="73"/>
      <c r="G28" s="24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7770.58</v>
      </c>
      <c r="E29" s="367">
        <v>4952.16</v>
      </c>
      <c r="F29" s="73"/>
      <c r="G29" s="24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24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5798.29</v>
      </c>
      <c r="E31" s="367">
        <v>0.01</v>
      </c>
      <c r="F31" s="73"/>
      <c r="G31" s="24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18367.689999999999</v>
      </c>
      <c r="E32" s="366">
        <v>25911.47</v>
      </c>
      <c r="F32" s="73"/>
      <c r="G32" s="244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2360.87</v>
      </c>
      <c r="E33" s="367">
        <v>22519.38</v>
      </c>
      <c r="F33" s="73"/>
      <c r="G33" s="24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0</v>
      </c>
      <c r="E34" s="367">
        <v>0</v>
      </c>
      <c r="F34" s="73"/>
      <c r="G34" s="24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387.27</v>
      </c>
      <c r="E35" s="367">
        <v>364.52</v>
      </c>
      <c r="F35" s="73"/>
      <c r="G35" s="24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24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1214.04</v>
      </c>
      <c r="E37" s="367">
        <v>1129.49</v>
      </c>
      <c r="F37" s="73"/>
      <c r="G37" s="24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24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14405.51</v>
      </c>
      <c r="E39" s="368">
        <v>1898.08</v>
      </c>
      <c r="F39" s="73"/>
      <c r="G39" s="24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-52013.03</v>
      </c>
      <c r="E40" s="396">
        <v>37105.360000000001</v>
      </c>
      <c r="G40" s="75"/>
    </row>
    <row r="41" spans="2:10" ht="13.5" thickBot="1">
      <c r="B41" s="101" t="s">
        <v>37</v>
      </c>
      <c r="C41" s="102" t="s">
        <v>38</v>
      </c>
      <c r="D41" s="397">
        <v>169269.24</v>
      </c>
      <c r="E41" s="389">
        <f>E26+E27+E40</f>
        <v>193893.27999999997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7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586.72069999999997</v>
      </c>
      <c r="E47" s="151">
        <v>580.56970000000001</v>
      </c>
      <c r="G47" s="73"/>
      <c r="H47" s="161"/>
    </row>
    <row r="48" spans="2:10">
      <c r="B48" s="125" t="s">
        <v>6</v>
      </c>
      <c r="C48" s="22" t="s">
        <v>41</v>
      </c>
      <c r="D48" s="310">
        <v>568.01760000000002</v>
      </c>
      <c r="E48" s="334">
        <v>522.45439999999996</v>
      </c>
      <c r="G48" s="161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04" t="s">
        <v>4</v>
      </c>
      <c r="C50" s="15" t="s">
        <v>40</v>
      </c>
      <c r="D50" s="310">
        <v>385.33</v>
      </c>
      <c r="E50" s="289">
        <v>306.16000000000003</v>
      </c>
      <c r="G50" s="181"/>
    </row>
    <row r="51" spans="2:7">
      <c r="B51" s="104" t="s">
        <v>6</v>
      </c>
      <c r="C51" s="15" t="s">
        <v>111</v>
      </c>
      <c r="D51" s="310">
        <v>290.08</v>
      </c>
      <c r="E51" s="289">
        <v>306.16000000000003</v>
      </c>
      <c r="G51" s="181"/>
    </row>
    <row r="52" spans="2:7">
      <c r="B52" s="104" t="s">
        <v>8</v>
      </c>
      <c r="C52" s="15" t="s">
        <v>112</v>
      </c>
      <c r="D52" s="310">
        <v>400.01</v>
      </c>
      <c r="E52" s="289">
        <v>371.12</v>
      </c>
    </row>
    <row r="53" spans="2:7" ht="12.75" customHeight="1" thickBot="1">
      <c r="B53" s="105" t="s">
        <v>9</v>
      </c>
      <c r="C53" s="17" t="s">
        <v>41</v>
      </c>
      <c r="D53" s="308">
        <v>298</v>
      </c>
      <c r="E53" s="333">
        <v>371.12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193893.28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193893.28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193893.28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193893.28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Arkusz62"/>
  <dimension ref="A1:L81"/>
  <sheetViews>
    <sheetView zoomScale="80" zoomScaleNormal="80" workbookViewId="0">
      <selection activeCell="E13" sqref="E13:E2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5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164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558736.05000000005</v>
      </c>
      <c r="E11" s="377">
        <v>657898.99</v>
      </c>
    </row>
    <row r="12" spans="2:12">
      <c r="B12" s="182" t="s">
        <v>4</v>
      </c>
      <c r="C12" s="183" t="s">
        <v>5</v>
      </c>
      <c r="D12" s="378">
        <v>558736.05000000005</v>
      </c>
      <c r="E12" s="379">
        <v>657898.99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558736.05000000005</v>
      </c>
      <c r="E21" s="389">
        <v>657898.99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746346.53</v>
      </c>
      <c r="E26" s="234">
        <f>D21</f>
        <v>558736.05000000005</v>
      </c>
      <c r="G26" s="75"/>
    </row>
    <row r="27" spans="2:11">
      <c r="B27" s="9" t="s">
        <v>17</v>
      </c>
      <c r="C27" s="10" t="s">
        <v>108</v>
      </c>
      <c r="D27" s="392">
        <v>-11595.009999999998</v>
      </c>
      <c r="E27" s="365">
        <v>6828.130000000001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14399.880000000001</v>
      </c>
      <c r="E28" s="366">
        <v>12706.95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14399.880000000001</v>
      </c>
      <c r="E29" s="367">
        <v>4800.07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7906.88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25994.89</v>
      </c>
      <c r="E32" s="366">
        <v>5878.82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6576.6500000000005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13440.32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179.12</v>
      </c>
      <c r="E35" s="367">
        <v>195.48000000000002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5798.8</v>
      </c>
      <c r="E37" s="367">
        <v>5683.34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-192952.54</v>
      </c>
      <c r="E40" s="396">
        <v>92334.81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541798.98</v>
      </c>
      <c r="E41" s="150">
        <f>E26+E27+E40</f>
        <v>657898.99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879.95960000000002</v>
      </c>
      <c r="E47" s="151">
        <v>870.87509999999997</v>
      </c>
      <c r="G47" s="73"/>
    </row>
    <row r="48" spans="2:10">
      <c r="B48" s="195" t="s">
        <v>6</v>
      </c>
      <c r="C48" s="196" t="s">
        <v>41</v>
      </c>
      <c r="D48" s="310">
        <v>864.43029999999999</v>
      </c>
      <c r="E48" s="334">
        <v>880.01469999999995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848.16</v>
      </c>
      <c r="E50" s="289">
        <v>641.58000000000004</v>
      </c>
      <c r="G50" s="181"/>
    </row>
    <row r="51" spans="2:7">
      <c r="B51" s="193" t="s">
        <v>6</v>
      </c>
      <c r="C51" s="194" t="s">
        <v>111</v>
      </c>
      <c r="D51" s="310">
        <v>605.07000000000005</v>
      </c>
      <c r="E51" s="289">
        <v>641.58000000000004</v>
      </c>
      <c r="G51" s="181"/>
    </row>
    <row r="52" spans="2:7">
      <c r="B52" s="193" t="s">
        <v>8</v>
      </c>
      <c r="C52" s="194" t="s">
        <v>112</v>
      </c>
      <c r="D52" s="310">
        <v>851.03</v>
      </c>
      <c r="E52" s="289">
        <v>747.6</v>
      </c>
    </row>
    <row r="53" spans="2:7" ht="13.5" customHeight="1" thickBot="1">
      <c r="B53" s="197" t="s">
        <v>9</v>
      </c>
      <c r="C53" s="198" t="s">
        <v>41</v>
      </c>
      <c r="D53" s="308">
        <v>626.77</v>
      </c>
      <c r="E53" s="333">
        <v>747.6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657898.99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657898.99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657898.99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657898.99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Arkusz63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1406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229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33070.28</v>
      </c>
      <c r="E11" s="377">
        <v>36196</v>
      </c>
    </row>
    <row r="12" spans="2:12">
      <c r="B12" s="182" t="s">
        <v>4</v>
      </c>
      <c r="C12" s="183" t="s">
        <v>5</v>
      </c>
      <c r="D12" s="378">
        <v>33070.28</v>
      </c>
      <c r="E12" s="379">
        <v>36196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33070.28</v>
      </c>
      <c r="E21" s="389">
        <v>36196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135761.29999999999</v>
      </c>
      <c r="E26" s="391">
        <f>D21</f>
        <v>33070.28</v>
      </c>
      <c r="G26" s="75"/>
    </row>
    <row r="27" spans="2:11">
      <c r="B27" s="9" t="s">
        <v>17</v>
      </c>
      <c r="C27" s="10" t="s">
        <v>108</v>
      </c>
      <c r="D27" s="392">
        <v>-41187.82</v>
      </c>
      <c r="E27" s="365">
        <v>-2505.59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3362.35</v>
      </c>
      <c r="E28" s="366">
        <v>515.5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3362.35</v>
      </c>
      <c r="E29" s="367">
        <v>515.41999999999996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0.08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44550.17</v>
      </c>
      <c r="E32" s="366">
        <v>3021.09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979.4</v>
      </c>
      <c r="E33" s="367">
        <v>2812.54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124.22</v>
      </c>
      <c r="E35" s="367">
        <v>50.78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429.39</v>
      </c>
      <c r="E37" s="367">
        <v>157.77000000000001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43017.159999999996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-31402.06</v>
      </c>
      <c r="E40" s="396">
        <v>5631.31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63171.419999999984</v>
      </c>
      <c r="E41" s="389">
        <f>E26+E27+E40</f>
        <v>36196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563.06790000000001</v>
      </c>
      <c r="E47" s="151">
        <v>171.33969999999999</v>
      </c>
      <c r="G47" s="73"/>
    </row>
    <row r="48" spans="2:10">
      <c r="B48" s="195" t="s">
        <v>6</v>
      </c>
      <c r="C48" s="196" t="s">
        <v>41</v>
      </c>
      <c r="D48" s="310">
        <v>347.34379999999999</v>
      </c>
      <c r="E48" s="334">
        <v>160.11680000000001</v>
      </c>
      <c r="G48" s="201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241.11</v>
      </c>
      <c r="E50" s="289">
        <v>193.01</v>
      </c>
      <c r="G50" s="181"/>
    </row>
    <row r="51" spans="2:7">
      <c r="B51" s="193" t="s">
        <v>6</v>
      </c>
      <c r="C51" s="194" t="s">
        <v>111</v>
      </c>
      <c r="D51" s="310">
        <v>177.58</v>
      </c>
      <c r="E51" s="289">
        <v>193.01</v>
      </c>
      <c r="G51" s="181"/>
    </row>
    <row r="52" spans="2:7">
      <c r="B52" s="193" t="s">
        <v>8</v>
      </c>
      <c r="C52" s="194" t="s">
        <v>112</v>
      </c>
      <c r="D52" s="310">
        <v>241.11</v>
      </c>
      <c r="E52" s="289">
        <v>226.06</v>
      </c>
    </row>
    <row r="53" spans="2:7" ht="14.25" customHeight="1" thickBot="1">
      <c r="B53" s="197" t="s">
        <v>9</v>
      </c>
      <c r="C53" s="198" t="s">
        <v>41</v>
      </c>
      <c r="D53" s="308">
        <v>181.87</v>
      </c>
      <c r="E53" s="333">
        <v>226.06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36196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36196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36196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36196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Arkusz64"/>
  <dimension ref="A1:L81"/>
  <sheetViews>
    <sheetView zoomScale="80" zoomScaleNormal="80" workbookViewId="0">
      <selection activeCell="H35" sqref="H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140625" customWidth="1"/>
    <col min="9" max="9" width="13.28515625" customWidth="1"/>
    <col min="10" max="10" width="13.5703125" customWidth="1"/>
    <col min="11" max="11" width="13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165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41471.33</v>
      </c>
      <c r="E11" s="377">
        <v>39409.660000000003</v>
      </c>
    </row>
    <row r="12" spans="2:12">
      <c r="B12" s="182" t="s">
        <v>4</v>
      </c>
      <c r="C12" s="183" t="s">
        <v>5</v>
      </c>
      <c r="D12" s="378">
        <v>41471.33</v>
      </c>
      <c r="E12" s="379">
        <v>39409.660000000003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41471.33</v>
      </c>
      <c r="E21" s="389">
        <v>39409.660000000003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  <c r="H25" s="237"/>
    </row>
    <row r="26" spans="2:11">
      <c r="B26" s="97" t="s">
        <v>15</v>
      </c>
      <c r="C26" s="98" t="s">
        <v>16</v>
      </c>
      <c r="D26" s="390">
        <v>68530.490000000005</v>
      </c>
      <c r="E26" s="391">
        <f>D21</f>
        <v>41471.33</v>
      </c>
      <c r="G26" s="75"/>
      <c r="H26" s="237"/>
    </row>
    <row r="27" spans="2:11">
      <c r="B27" s="9" t="s">
        <v>17</v>
      </c>
      <c r="C27" s="10" t="s">
        <v>108</v>
      </c>
      <c r="D27" s="392">
        <v>-19057.150000000001</v>
      </c>
      <c r="E27" s="365">
        <v>-3706.5500000000011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963.07</v>
      </c>
      <c r="E28" s="366">
        <v>833.53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963.07</v>
      </c>
      <c r="E29" s="367">
        <v>833.53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20020.22</v>
      </c>
      <c r="E32" s="366">
        <v>4540.0800000000008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3310.67</v>
      </c>
      <c r="E33" s="367">
        <v>4008.1800000000003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110.04</v>
      </c>
      <c r="E35" s="367">
        <v>106.79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291.06</v>
      </c>
      <c r="E37" s="367">
        <v>182.84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16308.45</v>
      </c>
      <c r="E39" s="368">
        <v>242.27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-8665.98</v>
      </c>
      <c r="E40" s="396">
        <v>1644.8799999999999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40807.360000000001</v>
      </c>
      <c r="E41" s="389">
        <f>E26+E27+E40</f>
        <v>39409.659999999996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  <c r="H43" s="237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420">
        <v>735.93740000000003</v>
      </c>
      <c r="E47" s="151">
        <v>507.79149999999998</v>
      </c>
      <c r="G47" s="73"/>
      <c r="H47" s="161"/>
    </row>
    <row r="48" spans="2:10">
      <c r="B48" s="195" t="s">
        <v>6</v>
      </c>
      <c r="C48" s="196" t="s">
        <v>41</v>
      </c>
      <c r="D48" s="420">
        <v>496.31909999999999</v>
      </c>
      <c r="E48" s="291">
        <v>464.73649999999998</v>
      </c>
      <c r="G48" s="161"/>
    </row>
    <row r="49" spans="2:7">
      <c r="B49" s="122" t="s">
        <v>23</v>
      </c>
      <c r="C49" s="126" t="s">
        <v>110</v>
      </c>
      <c r="D49" s="420"/>
      <c r="E49" s="282"/>
    </row>
    <row r="50" spans="2:7">
      <c r="B50" s="193" t="s">
        <v>4</v>
      </c>
      <c r="C50" s="194" t="s">
        <v>40</v>
      </c>
      <c r="D50" s="420">
        <v>93.12</v>
      </c>
      <c r="E50" s="282">
        <v>81.67</v>
      </c>
      <c r="G50" s="181"/>
    </row>
    <row r="51" spans="2:7">
      <c r="B51" s="193" t="s">
        <v>6</v>
      </c>
      <c r="C51" s="194" t="s">
        <v>111</v>
      </c>
      <c r="D51" s="420">
        <v>79.55</v>
      </c>
      <c r="E51" s="282">
        <v>79.459999999999994</v>
      </c>
      <c r="G51" s="181"/>
    </row>
    <row r="52" spans="2:7">
      <c r="B52" s="193" t="s">
        <v>8</v>
      </c>
      <c r="C52" s="194" t="s">
        <v>112</v>
      </c>
      <c r="D52" s="420">
        <v>95.51</v>
      </c>
      <c r="E52" s="282">
        <v>88.35</v>
      </c>
    </row>
    <row r="53" spans="2:7" ht="13.5" customHeight="1" thickBot="1">
      <c r="B53" s="197" t="s">
        <v>9</v>
      </c>
      <c r="C53" s="198" t="s">
        <v>41</v>
      </c>
      <c r="D53" s="308">
        <v>82.22</v>
      </c>
      <c r="E53" s="333">
        <v>84.8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39409.660000000003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39409.660000000003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39409.660000000003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39409.660000000003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Arkusz65"/>
  <dimension ref="A1:L81"/>
  <sheetViews>
    <sheetView zoomScale="80" zoomScaleNormal="80" workbookViewId="0">
      <selection activeCell="H28" sqref="H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7109375" customWidth="1"/>
    <col min="9" max="9" width="13.28515625" customWidth="1"/>
    <col min="10" max="10" width="13.5703125" customWidth="1"/>
    <col min="11" max="11" width="13.1406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166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155108.75</v>
      </c>
      <c r="E11" s="377">
        <v>144627.75</v>
      </c>
    </row>
    <row r="12" spans="2:12">
      <c r="B12" s="108" t="s">
        <v>4</v>
      </c>
      <c r="C12" s="6" t="s">
        <v>5</v>
      </c>
      <c r="D12" s="378">
        <v>155108.75</v>
      </c>
      <c r="E12" s="379">
        <v>144627.75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155108.75</v>
      </c>
      <c r="E21" s="389">
        <v>144627.75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37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127174.57</v>
      </c>
      <c r="E26" s="391">
        <f>D21</f>
        <v>155108.75</v>
      </c>
      <c r="G26" s="75"/>
      <c r="H26" s="237"/>
    </row>
    <row r="27" spans="2:11">
      <c r="B27" s="9" t="s">
        <v>17</v>
      </c>
      <c r="C27" s="10" t="s">
        <v>108</v>
      </c>
      <c r="D27" s="392">
        <v>54399.15</v>
      </c>
      <c r="E27" s="365">
        <v>-16403.580000000002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70939.41</v>
      </c>
      <c r="E28" s="366">
        <v>4835.33</v>
      </c>
      <c r="F28" s="73"/>
      <c r="G28" s="7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6641.74</v>
      </c>
      <c r="E29" s="367">
        <v>4835.33</v>
      </c>
      <c r="F29" s="73"/>
      <c r="G29" s="7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64297.67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16540.260000000002</v>
      </c>
      <c r="E32" s="366">
        <v>21238.91</v>
      </c>
      <c r="F32" s="73"/>
      <c r="G32" s="75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13803.44</v>
      </c>
      <c r="E33" s="367">
        <v>19827.400000000001</v>
      </c>
      <c r="F33" s="73"/>
      <c r="G33" s="7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619.81000000000006</v>
      </c>
      <c r="E35" s="367">
        <v>504.01</v>
      </c>
      <c r="F35" s="73"/>
      <c r="G35" s="7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1141.9000000000001</v>
      </c>
      <c r="E37" s="367">
        <v>907.47</v>
      </c>
      <c r="F37" s="73"/>
      <c r="G37" s="7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975.11</v>
      </c>
      <c r="E39" s="368">
        <v>0.03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-4561.05</v>
      </c>
      <c r="E40" s="396">
        <v>5922.58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177012.67</v>
      </c>
      <c r="E41" s="389">
        <f>E26+E27+E40</f>
        <v>144627.74999999997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7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758.97929999999997</v>
      </c>
      <c r="E47" s="151">
        <v>921.67539999999997</v>
      </c>
      <c r="G47" s="73"/>
      <c r="H47" s="161"/>
    </row>
    <row r="48" spans="2:10">
      <c r="B48" s="125" t="s">
        <v>6</v>
      </c>
      <c r="C48" s="22" t="s">
        <v>41</v>
      </c>
      <c r="D48" s="310">
        <v>1065.5710999999999</v>
      </c>
      <c r="E48" s="334">
        <v>827.76869999999997</v>
      </c>
      <c r="G48" s="201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04" t="s">
        <v>4</v>
      </c>
      <c r="C50" s="15" t="s">
        <v>40</v>
      </c>
      <c r="D50" s="310">
        <v>167.56</v>
      </c>
      <c r="E50" s="289">
        <v>168.29</v>
      </c>
      <c r="G50" s="181"/>
    </row>
    <row r="51" spans="2:7">
      <c r="B51" s="104" t="s">
        <v>6</v>
      </c>
      <c r="C51" s="15" t="s">
        <v>111</v>
      </c>
      <c r="D51" s="310">
        <v>164.53</v>
      </c>
      <c r="E51" s="289">
        <v>166.16</v>
      </c>
      <c r="G51" s="181"/>
    </row>
    <row r="52" spans="2:7">
      <c r="B52" s="104" t="s">
        <v>8</v>
      </c>
      <c r="C52" s="15" t="s">
        <v>112</v>
      </c>
      <c r="D52" s="310">
        <v>189.27</v>
      </c>
      <c r="E52" s="289">
        <v>189.17</v>
      </c>
    </row>
    <row r="53" spans="2:7" ht="12.75" customHeight="1" thickBot="1">
      <c r="B53" s="105" t="s">
        <v>9</v>
      </c>
      <c r="C53" s="17" t="s">
        <v>41</v>
      </c>
      <c r="D53" s="308">
        <v>166.12</v>
      </c>
      <c r="E53" s="333">
        <v>174.72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144627.75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144627.75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144627.75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144627.75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5.7109375" customWidth="1"/>
    <col min="11" max="11" width="14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85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  <c r="G9" s="208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46996861.670000002</v>
      </c>
      <c r="E11" s="377">
        <f>SUM(E12:E14)</f>
        <v>54819398.480000004</v>
      </c>
    </row>
    <row r="12" spans="2:12">
      <c r="B12" s="108" t="s">
        <v>4</v>
      </c>
      <c r="C12" s="205" t="s">
        <v>5</v>
      </c>
      <c r="D12" s="378">
        <v>46806197.780000001</v>
      </c>
      <c r="E12" s="379">
        <f>54831229.79+63998.79-81501.87</f>
        <v>54813726.710000001</v>
      </c>
      <c r="H12" s="73"/>
    </row>
    <row r="13" spans="2:12">
      <c r="B13" s="108" t="s">
        <v>6</v>
      </c>
      <c r="C13" s="205" t="s">
        <v>7</v>
      </c>
      <c r="D13" s="380">
        <v>190663.89</v>
      </c>
      <c r="E13" s="381">
        <v>0</v>
      </c>
      <c r="G13" s="73"/>
      <c r="H13" s="73"/>
    </row>
    <row r="14" spans="2:12">
      <c r="B14" s="108" t="s">
        <v>8</v>
      </c>
      <c r="C14" s="205" t="s">
        <v>10</v>
      </c>
      <c r="D14" s="380">
        <v>0</v>
      </c>
      <c r="E14" s="381">
        <f>E15</f>
        <v>5671.77</v>
      </c>
      <c r="H14" s="73"/>
    </row>
    <row r="15" spans="2:12">
      <c r="B15" s="108" t="s">
        <v>103</v>
      </c>
      <c r="C15" s="205" t="s">
        <v>11</v>
      </c>
      <c r="D15" s="380">
        <v>0</v>
      </c>
      <c r="E15" s="381">
        <v>5671.77</v>
      </c>
      <c r="H15" s="73"/>
    </row>
    <row r="16" spans="2:12">
      <c r="B16" s="109" t="s">
        <v>104</v>
      </c>
      <c r="C16" s="206" t="s">
        <v>12</v>
      </c>
      <c r="D16" s="382">
        <v>0</v>
      </c>
      <c r="E16" s="383">
        <v>0</v>
      </c>
      <c r="H16" s="73"/>
    </row>
    <row r="17" spans="2:11">
      <c r="B17" s="9" t="s">
        <v>13</v>
      </c>
      <c r="C17" s="207" t="s">
        <v>65</v>
      </c>
      <c r="D17" s="384">
        <v>110355.46</v>
      </c>
      <c r="E17" s="385">
        <f>E18</f>
        <v>164409.66</v>
      </c>
      <c r="H17" s="73"/>
    </row>
    <row r="18" spans="2:11">
      <c r="B18" s="108" t="s">
        <v>4</v>
      </c>
      <c r="C18" s="205" t="s">
        <v>11</v>
      </c>
      <c r="D18" s="382">
        <v>110355.46</v>
      </c>
      <c r="E18" s="383">
        <v>164409.66</v>
      </c>
    </row>
    <row r="19" spans="2:11" ht="15" customHeight="1">
      <c r="B19" s="108" t="s">
        <v>6</v>
      </c>
      <c r="C19" s="205" t="s">
        <v>105</v>
      </c>
      <c r="D19" s="380">
        <v>0</v>
      </c>
      <c r="E19" s="381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46886506.210000001</v>
      </c>
      <c r="E21" s="389">
        <f>E11-E17</f>
        <v>54654988.820000008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6.5" customHeight="1" thickBot="1">
      <c r="B24" s="459" t="s">
        <v>102</v>
      </c>
      <c r="C24" s="473"/>
      <c r="D24" s="473"/>
      <c r="E24" s="473"/>
      <c r="K24" s="181"/>
    </row>
    <row r="25" spans="2:11" ht="13.5" thickBot="1">
      <c r="B25" s="88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58023316.279999994</v>
      </c>
      <c r="E26" s="391">
        <f>D21</f>
        <v>46886506.210000001</v>
      </c>
      <c r="G26" s="75"/>
    </row>
    <row r="27" spans="2:11">
      <c r="B27" s="9" t="s">
        <v>17</v>
      </c>
      <c r="C27" s="10" t="s">
        <v>108</v>
      </c>
      <c r="D27" s="392">
        <v>-91166.769999999553</v>
      </c>
      <c r="E27" s="365">
        <v>-1922733.5500000012</v>
      </c>
      <c r="F27" s="73"/>
      <c r="G27" s="155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3431050.2</v>
      </c>
      <c r="E28" s="366">
        <v>2934467.6999999997</v>
      </c>
      <c r="F28" s="73"/>
      <c r="G28" s="155"/>
      <c r="H28" s="243"/>
      <c r="I28" s="243"/>
      <c r="J28" s="216"/>
    </row>
    <row r="29" spans="2:11">
      <c r="B29" s="106" t="s">
        <v>4</v>
      </c>
      <c r="C29" s="6" t="s">
        <v>20</v>
      </c>
      <c r="D29" s="393">
        <v>2810298.31</v>
      </c>
      <c r="E29" s="367">
        <v>2590316.7999999998</v>
      </c>
      <c r="F29" s="73"/>
      <c r="G29" s="155"/>
      <c r="H29" s="243"/>
      <c r="I29" s="243"/>
      <c r="J29" s="216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1">
      <c r="B31" s="106" t="s">
        <v>8</v>
      </c>
      <c r="C31" s="6" t="s">
        <v>22</v>
      </c>
      <c r="D31" s="393">
        <v>620751.8899999999</v>
      </c>
      <c r="E31" s="367">
        <v>344150.89999999997</v>
      </c>
      <c r="F31" s="73"/>
      <c r="G31" s="155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3522216.9699999997</v>
      </c>
      <c r="E32" s="366">
        <v>4857201.2500000009</v>
      </c>
      <c r="F32" s="73"/>
      <c r="G32" s="155"/>
      <c r="H32" s="243"/>
      <c r="I32" s="243"/>
      <c r="J32" s="216"/>
    </row>
    <row r="33" spans="2:10">
      <c r="B33" s="106" t="s">
        <v>4</v>
      </c>
      <c r="C33" s="6" t="s">
        <v>25</v>
      </c>
      <c r="D33" s="393">
        <v>2499363.36</v>
      </c>
      <c r="E33" s="367">
        <v>4055889.58</v>
      </c>
      <c r="F33" s="73"/>
      <c r="G33" s="155"/>
      <c r="H33" s="243"/>
      <c r="I33" s="243"/>
      <c r="J33" s="216"/>
    </row>
    <row r="34" spans="2:10">
      <c r="B34" s="106" t="s">
        <v>6</v>
      </c>
      <c r="C34" s="6" t="s">
        <v>26</v>
      </c>
      <c r="D34" s="393">
        <v>32836.83</v>
      </c>
      <c r="E34" s="367">
        <v>66697</v>
      </c>
      <c r="F34" s="73"/>
      <c r="G34" s="155"/>
      <c r="H34" s="243"/>
      <c r="I34" s="243"/>
      <c r="J34" s="216"/>
    </row>
    <row r="35" spans="2:10">
      <c r="B35" s="106" t="s">
        <v>8</v>
      </c>
      <c r="C35" s="6" t="s">
        <v>27</v>
      </c>
      <c r="D35" s="393">
        <v>650428.27</v>
      </c>
      <c r="E35" s="367">
        <v>654263.23</v>
      </c>
      <c r="F35" s="73"/>
      <c r="G35" s="155"/>
      <c r="H35" s="243"/>
      <c r="I35" s="243"/>
      <c r="J35" s="216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06" t="s">
        <v>29</v>
      </c>
      <c r="C37" s="6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07" t="s">
        <v>33</v>
      </c>
      <c r="C39" s="12" t="s">
        <v>34</v>
      </c>
      <c r="D39" s="394">
        <v>339588.51</v>
      </c>
      <c r="E39" s="368">
        <v>80351.44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-14742475.130000001</v>
      </c>
      <c r="E40" s="396">
        <v>9691216.160000002</v>
      </c>
      <c r="G40" s="75"/>
    </row>
    <row r="41" spans="2:10" ht="13.5" thickBot="1">
      <c r="B41" s="101" t="s">
        <v>37</v>
      </c>
      <c r="C41" s="102" t="s">
        <v>38</v>
      </c>
      <c r="D41" s="397">
        <v>43189674.379999988</v>
      </c>
      <c r="E41" s="389">
        <f>E26+E27+E40</f>
        <v>54654988.82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5.75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88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4058935.7831000001</v>
      </c>
      <c r="E47" s="283">
        <v>4073504.6143999998</v>
      </c>
      <c r="G47" s="226"/>
    </row>
    <row r="48" spans="2:10">
      <c r="B48" s="195" t="s">
        <v>6</v>
      </c>
      <c r="C48" s="196" t="s">
        <v>41</v>
      </c>
      <c r="D48" s="310">
        <v>4040660.5898000002</v>
      </c>
      <c r="E48" s="327">
        <v>3922438.1688999999</v>
      </c>
      <c r="G48" s="253"/>
      <c r="J48" s="16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14.295199999999999</v>
      </c>
      <c r="E50" s="283">
        <v>11.5101</v>
      </c>
      <c r="G50" s="217"/>
    </row>
    <row r="51" spans="2:7">
      <c r="B51" s="193" t="s">
        <v>6</v>
      </c>
      <c r="C51" s="194" t="s">
        <v>111</v>
      </c>
      <c r="D51" s="310">
        <v>10.2844</v>
      </c>
      <c r="E51" s="283">
        <v>11.5101</v>
      </c>
      <c r="G51" s="181"/>
    </row>
    <row r="52" spans="2:7" ht="12.75" customHeight="1">
      <c r="B52" s="193" t="s">
        <v>8</v>
      </c>
      <c r="C52" s="194" t="s">
        <v>112</v>
      </c>
      <c r="D52" s="310">
        <v>14.733000000000001</v>
      </c>
      <c r="E52" s="283">
        <v>13.9339</v>
      </c>
    </row>
    <row r="53" spans="2:7" ht="13.5" thickBot="1">
      <c r="B53" s="197" t="s">
        <v>9</v>
      </c>
      <c r="C53" s="198" t="s">
        <v>41</v>
      </c>
      <c r="D53" s="308">
        <v>10.688800000000001</v>
      </c>
      <c r="E53" s="267">
        <v>13.933900000000001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8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54813726.710000001</v>
      </c>
      <c r="E58" s="31">
        <f>D58/E21</f>
        <v>1.0029043623176428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E12-63998.79</f>
        <v>54749727.920000002</v>
      </c>
      <c r="E64" s="82">
        <f>D64/E21</f>
        <v>1.0017334026050577</v>
      </c>
    </row>
    <row r="65" spans="2:7">
      <c r="B65" s="285" t="s">
        <v>33</v>
      </c>
      <c r="C65" s="196" t="s">
        <v>115</v>
      </c>
      <c r="D65" s="81">
        <v>0</v>
      </c>
      <c r="E65" s="82">
        <v>0</v>
      </c>
      <c r="G65" s="73"/>
    </row>
    <row r="66" spans="2:7">
      <c r="B66" s="285" t="s">
        <v>50</v>
      </c>
      <c r="C66" s="196" t="s">
        <v>51</v>
      </c>
      <c r="D66" s="81">
        <v>0</v>
      </c>
      <c r="E66" s="82">
        <v>0</v>
      </c>
    </row>
    <row r="67" spans="2:7">
      <c r="B67" s="286" t="s">
        <v>52</v>
      </c>
      <c r="C67" s="194" t="s">
        <v>53</v>
      </c>
      <c r="D67" s="79">
        <v>0</v>
      </c>
      <c r="E67" s="80">
        <v>0</v>
      </c>
    </row>
    <row r="68" spans="2:7">
      <c r="B68" s="286" t="s">
        <v>54</v>
      </c>
      <c r="C68" s="194" t="s">
        <v>55</v>
      </c>
      <c r="D68" s="79">
        <v>0</v>
      </c>
      <c r="E68" s="80">
        <v>0</v>
      </c>
    </row>
    <row r="69" spans="2:7">
      <c r="B69" s="286" t="s">
        <v>56</v>
      </c>
      <c r="C69" s="194" t="s">
        <v>57</v>
      </c>
      <c r="D69" s="309">
        <v>63998.79</v>
      </c>
      <c r="E69" s="80">
        <f>D69/E21</f>
        <v>1.1709597125849343E-3</v>
      </c>
    </row>
    <row r="70" spans="2:7">
      <c r="B70" s="287" t="s">
        <v>58</v>
      </c>
      <c r="C70" s="23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5671.77</v>
      </c>
      <c r="E72" s="121">
        <f>D72/E21</f>
        <v>1.0377405836966374E-4</v>
      </c>
    </row>
    <row r="73" spans="2:7">
      <c r="B73" s="23" t="s">
        <v>62</v>
      </c>
      <c r="C73" s="24" t="s">
        <v>65</v>
      </c>
      <c r="D73" s="25">
        <f>E17</f>
        <v>164409.66</v>
      </c>
      <c r="E73" s="26">
        <f>D73/E21</f>
        <v>3.0081363760125269E-3</v>
      </c>
    </row>
    <row r="74" spans="2:7">
      <c r="B74" s="122" t="s">
        <v>64</v>
      </c>
      <c r="C74" s="123" t="s">
        <v>66</v>
      </c>
      <c r="D74" s="124">
        <f>D58+D71+D72-D73</f>
        <v>54654988.820000008</v>
      </c>
      <c r="E74" s="67">
        <f>E58+E71+E72-E73</f>
        <v>0.99999999999999989</v>
      </c>
    </row>
    <row r="75" spans="2:7">
      <c r="B75" s="286" t="s">
        <v>4</v>
      </c>
      <c r="C75" s="194" t="s">
        <v>67</v>
      </c>
      <c r="D75" s="79">
        <f>D74</f>
        <v>54654988.820000008</v>
      </c>
      <c r="E75" s="80">
        <f>E74</f>
        <v>0.99999999999999989</v>
      </c>
    </row>
    <row r="76" spans="2:7">
      <c r="B76" s="286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Arkusz66"/>
  <dimension ref="A1:L81"/>
  <sheetViews>
    <sheetView zoomScale="80" zoomScaleNormal="80" workbookViewId="0">
      <selection activeCell="G1" sqref="G1:N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205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71019.87</v>
      </c>
      <c r="E11" s="377">
        <v>74855.45</v>
      </c>
    </row>
    <row r="12" spans="2:12">
      <c r="B12" s="108" t="s">
        <v>4</v>
      </c>
      <c r="C12" s="6" t="s">
        <v>5</v>
      </c>
      <c r="D12" s="378">
        <v>71019.87</v>
      </c>
      <c r="E12" s="379">
        <v>74855.45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71019.87</v>
      </c>
      <c r="E21" s="389">
        <v>74855.45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37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78615.820000000007</v>
      </c>
      <c r="E26" s="391">
        <f>D21</f>
        <v>71019.87</v>
      </c>
      <c r="G26" s="75"/>
    </row>
    <row r="27" spans="2:11">
      <c r="B27" s="9" t="s">
        <v>17</v>
      </c>
      <c r="C27" s="10" t="s">
        <v>108</v>
      </c>
      <c r="D27" s="392">
        <v>-11040.119999999999</v>
      </c>
      <c r="E27" s="365">
        <v>43.900000000000091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5569.38</v>
      </c>
      <c r="E28" s="366">
        <v>1112.8</v>
      </c>
      <c r="F28" s="73"/>
      <c r="G28" s="7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1406.6200000000001</v>
      </c>
      <c r="E29" s="367">
        <v>1112.8</v>
      </c>
      <c r="F29" s="73"/>
      <c r="G29" s="7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4162.76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16609.5</v>
      </c>
      <c r="E32" s="366">
        <v>1068.8999999999999</v>
      </c>
      <c r="F32" s="73"/>
      <c r="G32" s="75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7335.1</v>
      </c>
      <c r="E33" s="367">
        <v>640.93000000000006</v>
      </c>
      <c r="F33" s="73"/>
      <c r="G33" s="7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194.24</v>
      </c>
      <c r="E35" s="367">
        <v>180.05</v>
      </c>
      <c r="F35" s="73"/>
      <c r="G35" s="7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269.19</v>
      </c>
      <c r="E37" s="367">
        <v>247.87</v>
      </c>
      <c r="F37" s="73"/>
      <c r="G37" s="7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8810.9699999999993</v>
      </c>
      <c r="E39" s="368">
        <v>0.05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-1603.92</v>
      </c>
      <c r="E40" s="396">
        <v>3791.68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65971.780000000013</v>
      </c>
      <c r="E41" s="389">
        <f>E26+E27+E40</f>
        <v>74855.449999999983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7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582.90070000000003</v>
      </c>
      <c r="E47" s="151">
        <v>519.41690000000006</v>
      </c>
      <c r="G47" s="73"/>
    </row>
    <row r="48" spans="2:10">
      <c r="B48" s="125" t="s">
        <v>6</v>
      </c>
      <c r="C48" s="22" t="s">
        <v>41</v>
      </c>
      <c r="D48" s="310">
        <v>499.29450000000003</v>
      </c>
      <c r="E48" s="334">
        <v>519.75729999999999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04" t="s">
        <v>4</v>
      </c>
      <c r="C50" s="15" t="s">
        <v>40</v>
      </c>
      <c r="D50" s="310">
        <v>134.87</v>
      </c>
      <c r="E50" s="289">
        <v>136.72999999999999</v>
      </c>
      <c r="G50" s="181"/>
    </row>
    <row r="51" spans="2:7">
      <c r="B51" s="104" t="s">
        <v>6</v>
      </c>
      <c r="C51" s="15" t="s">
        <v>111</v>
      </c>
      <c r="D51" s="310">
        <v>130.71</v>
      </c>
      <c r="E51" s="289">
        <v>136.72999999999999</v>
      </c>
      <c r="G51" s="181"/>
    </row>
    <row r="52" spans="2:7">
      <c r="B52" s="104" t="s">
        <v>8</v>
      </c>
      <c r="C52" s="15" t="s">
        <v>112</v>
      </c>
      <c r="D52" s="310">
        <v>135.78</v>
      </c>
      <c r="E52" s="289">
        <v>144.11000000000001</v>
      </c>
    </row>
    <row r="53" spans="2:7" ht="13.5" customHeight="1" thickBot="1">
      <c r="B53" s="105" t="s">
        <v>9</v>
      </c>
      <c r="C53" s="17" t="s">
        <v>41</v>
      </c>
      <c r="D53" s="308">
        <v>132.13</v>
      </c>
      <c r="E53" s="333">
        <v>144.02000000000001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74855.45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74855.45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74855.45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74855.45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Arkusz67"/>
  <dimension ref="A1:L81"/>
  <sheetViews>
    <sheetView zoomScale="80" zoomScaleNormal="80" workbookViewId="0">
      <selection activeCell="H21" sqref="H2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1.140625" customWidth="1"/>
    <col min="9" max="9" width="13.28515625" customWidth="1"/>
    <col min="10" max="10" width="13.5703125" customWidth="1"/>
    <col min="11" max="11" width="12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167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154136.49</v>
      </c>
      <c r="E11" s="377">
        <v>136322.13</v>
      </c>
    </row>
    <row r="12" spans="2:12">
      <c r="B12" s="108" t="s">
        <v>4</v>
      </c>
      <c r="C12" s="6" t="s">
        <v>5</v>
      </c>
      <c r="D12" s="378">
        <v>154136.49</v>
      </c>
      <c r="E12" s="379">
        <v>136322.13</v>
      </c>
    </row>
    <row r="13" spans="2:12">
      <c r="B13" s="108" t="s">
        <v>6</v>
      </c>
      <c r="C13" s="69" t="s">
        <v>7</v>
      </c>
      <c r="D13" s="380">
        <v>0</v>
      </c>
      <c r="E13" s="442">
        <v>0</v>
      </c>
    </row>
    <row r="14" spans="2:12">
      <c r="B14" s="108" t="s">
        <v>8</v>
      </c>
      <c r="C14" s="69" t="s">
        <v>10</v>
      </c>
      <c r="D14" s="380">
        <v>0</v>
      </c>
      <c r="E14" s="442">
        <v>0</v>
      </c>
      <c r="G14" s="68"/>
    </row>
    <row r="15" spans="2:12">
      <c r="B15" s="108" t="s">
        <v>103</v>
      </c>
      <c r="C15" s="69" t="s">
        <v>11</v>
      </c>
      <c r="D15" s="380">
        <v>0</v>
      </c>
      <c r="E15" s="442">
        <v>0</v>
      </c>
    </row>
    <row r="16" spans="2:12">
      <c r="B16" s="109" t="s">
        <v>104</v>
      </c>
      <c r="C16" s="93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08" t="s">
        <v>4</v>
      </c>
      <c r="C18" s="6" t="s">
        <v>11</v>
      </c>
      <c r="D18" s="382">
        <v>0</v>
      </c>
      <c r="E18" s="443">
        <v>0</v>
      </c>
    </row>
    <row r="19" spans="2:11" ht="15" customHeight="1">
      <c r="B19" s="108" t="s">
        <v>6</v>
      </c>
      <c r="C19" s="69" t="s">
        <v>105</v>
      </c>
      <c r="D19" s="380">
        <v>0</v>
      </c>
      <c r="E19" s="442">
        <v>0</v>
      </c>
    </row>
    <row r="20" spans="2:11" ht="13.5" thickBot="1">
      <c r="B20" s="110" t="s">
        <v>8</v>
      </c>
      <c r="C20" s="70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154136.49</v>
      </c>
      <c r="E21" s="389">
        <v>136322.13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2"/>
      <c r="D23" s="472"/>
      <c r="E23" s="472"/>
      <c r="G23" s="73"/>
    </row>
    <row r="24" spans="2:11" ht="15.75" customHeight="1" thickBot="1">
      <c r="B24" s="459" t="s">
        <v>102</v>
      </c>
      <c r="C24" s="473"/>
      <c r="D24" s="473"/>
      <c r="E24" s="473"/>
    </row>
    <row r="25" spans="2:11" ht="13.5" thickBot="1">
      <c r="B25" s="137"/>
      <c r="C25" s="5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219714.18</v>
      </c>
      <c r="E26" s="234">
        <f>D21</f>
        <v>154136.49</v>
      </c>
      <c r="G26" s="75"/>
    </row>
    <row r="27" spans="2:11">
      <c r="B27" s="9" t="s">
        <v>17</v>
      </c>
      <c r="C27" s="10" t="s">
        <v>108</v>
      </c>
      <c r="D27" s="392">
        <v>-47144.51</v>
      </c>
      <c r="E27" s="365">
        <v>-5380.7500000000009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6602.07</v>
      </c>
      <c r="E28" s="366">
        <v>6493.96</v>
      </c>
      <c r="F28" s="73"/>
      <c r="G28" s="73"/>
      <c r="H28" s="243"/>
      <c r="I28" s="73"/>
      <c r="J28" s="75"/>
    </row>
    <row r="29" spans="2:11">
      <c r="B29" s="106" t="s">
        <v>4</v>
      </c>
      <c r="C29" s="6" t="s">
        <v>20</v>
      </c>
      <c r="D29" s="393">
        <v>6602.07</v>
      </c>
      <c r="E29" s="367">
        <v>6074.74</v>
      </c>
      <c r="F29" s="73"/>
      <c r="G29" s="73"/>
      <c r="H29" s="243"/>
      <c r="I29" s="73"/>
      <c r="J29" s="75"/>
    </row>
    <row r="30" spans="2:11">
      <c r="B30" s="106" t="s">
        <v>6</v>
      </c>
      <c r="C30" s="6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06" t="s">
        <v>8</v>
      </c>
      <c r="C31" s="6" t="s">
        <v>22</v>
      </c>
      <c r="D31" s="393">
        <v>0</v>
      </c>
      <c r="E31" s="367">
        <v>419.22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53746.58</v>
      </c>
      <c r="E32" s="366">
        <v>11874.710000000001</v>
      </c>
      <c r="F32" s="73"/>
      <c r="G32" s="75"/>
      <c r="H32" s="243"/>
      <c r="I32" s="73"/>
      <c r="J32" s="75"/>
    </row>
    <row r="33" spans="2:10">
      <c r="B33" s="106" t="s">
        <v>4</v>
      </c>
      <c r="C33" s="6" t="s">
        <v>25</v>
      </c>
      <c r="D33" s="393">
        <v>18910.28</v>
      </c>
      <c r="E33" s="367">
        <v>10641.7</v>
      </c>
      <c r="F33" s="73"/>
      <c r="G33" s="73"/>
      <c r="H33" s="243"/>
      <c r="I33" s="73"/>
      <c r="J33" s="75"/>
    </row>
    <row r="34" spans="2:10">
      <c r="B34" s="106" t="s">
        <v>6</v>
      </c>
      <c r="C34" s="6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06" t="s">
        <v>8</v>
      </c>
      <c r="C35" s="6" t="s">
        <v>27</v>
      </c>
      <c r="D35" s="393">
        <v>775.85</v>
      </c>
      <c r="E35" s="367">
        <v>687.85</v>
      </c>
      <c r="F35" s="73"/>
      <c r="G35" s="73"/>
      <c r="H35" s="243"/>
      <c r="I35" s="73"/>
      <c r="J35" s="75"/>
    </row>
    <row r="36" spans="2:10">
      <c r="B36" s="106" t="s">
        <v>9</v>
      </c>
      <c r="C36" s="6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06" t="s">
        <v>29</v>
      </c>
      <c r="C37" s="6" t="s">
        <v>30</v>
      </c>
      <c r="D37" s="393">
        <v>617.55000000000007</v>
      </c>
      <c r="E37" s="367">
        <v>544.74</v>
      </c>
      <c r="F37" s="73"/>
      <c r="G37" s="73"/>
      <c r="H37" s="243"/>
      <c r="I37" s="73"/>
      <c r="J37" s="75"/>
    </row>
    <row r="38" spans="2:10">
      <c r="B38" s="106" t="s">
        <v>31</v>
      </c>
      <c r="C38" s="6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07" t="s">
        <v>33</v>
      </c>
      <c r="C39" s="12" t="s">
        <v>34</v>
      </c>
      <c r="D39" s="394">
        <v>33442.9</v>
      </c>
      <c r="E39" s="368">
        <v>0.42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-9132.67</v>
      </c>
      <c r="E40" s="396">
        <v>-12433.609999999999</v>
      </c>
      <c r="G40" s="75"/>
    </row>
    <row r="41" spans="2:10" ht="13.5" thickBot="1">
      <c r="B41" s="101" t="s">
        <v>37</v>
      </c>
      <c r="C41" s="102" t="s">
        <v>38</v>
      </c>
      <c r="D41" s="306">
        <v>163436.99999999997</v>
      </c>
      <c r="E41" s="150">
        <f>E26+E27+E40</f>
        <v>136322.13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7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718.02020000000005</v>
      </c>
      <c r="E47" s="151">
        <v>543.40380000000005</v>
      </c>
      <c r="G47" s="73"/>
      <c r="H47" s="161"/>
    </row>
    <row r="48" spans="2:10">
      <c r="B48" s="125" t="s">
        <v>6</v>
      </c>
      <c r="C48" s="22" t="s">
        <v>41</v>
      </c>
      <c r="D48" s="310">
        <v>550.08920000000001</v>
      </c>
      <c r="E48" s="334">
        <v>523.97329999999999</v>
      </c>
      <c r="G48" s="201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04" t="s">
        <v>4</v>
      </c>
      <c r="C50" s="15" t="s">
        <v>40</v>
      </c>
      <c r="D50" s="310">
        <v>306</v>
      </c>
      <c r="E50" s="289">
        <v>283.64999999999998</v>
      </c>
      <c r="G50" s="181"/>
    </row>
    <row r="51" spans="2:7">
      <c r="B51" s="104" t="s">
        <v>6</v>
      </c>
      <c r="C51" s="15" t="s">
        <v>111</v>
      </c>
      <c r="D51" s="310">
        <v>272.19</v>
      </c>
      <c r="E51" s="289">
        <v>255.05</v>
      </c>
      <c r="G51" s="181"/>
    </row>
    <row r="52" spans="2:7">
      <c r="B52" s="104" t="s">
        <v>8</v>
      </c>
      <c r="C52" s="15" t="s">
        <v>112</v>
      </c>
      <c r="D52" s="310">
        <v>312.76</v>
      </c>
      <c r="E52" s="289">
        <v>301.12</v>
      </c>
    </row>
    <row r="53" spans="2:7" ht="12.75" customHeight="1" thickBot="1">
      <c r="B53" s="105" t="s">
        <v>9</v>
      </c>
      <c r="C53" s="17" t="s">
        <v>41</v>
      </c>
      <c r="D53" s="308">
        <v>297.11</v>
      </c>
      <c r="E53" s="333">
        <v>260.17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136322.13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136322.13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136322.13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136322.13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Arkusz69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9"/>
      <c r="C4" s="149"/>
      <c r="D4" s="149"/>
      <c r="E4" s="149"/>
      <c r="H4" s="162"/>
      <c r="I4" s="162"/>
      <c r="J4" s="165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230</v>
      </c>
      <c r="C6" s="458"/>
      <c r="D6" s="458"/>
      <c r="E6" s="458"/>
    </row>
    <row r="7" spans="2:12" ht="14.25">
      <c r="B7" s="172"/>
      <c r="C7" s="172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73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7885.2</v>
      </c>
      <c r="E11" s="377">
        <v>8518.81</v>
      </c>
    </row>
    <row r="12" spans="2:12">
      <c r="B12" s="182" t="s">
        <v>4</v>
      </c>
      <c r="C12" s="183" t="s">
        <v>5</v>
      </c>
      <c r="D12" s="378">
        <v>7885.2</v>
      </c>
      <c r="E12" s="379">
        <v>8518.81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7885.2</v>
      </c>
      <c r="E21" s="389">
        <v>8518.81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8745.86</v>
      </c>
      <c r="E26" s="234">
        <f>D21</f>
        <v>7885.2</v>
      </c>
      <c r="G26" s="75"/>
    </row>
    <row r="27" spans="2:11">
      <c r="B27" s="9" t="s">
        <v>17</v>
      </c>
      <c r="C27" s="10" t="s">
        <v>108</v>
      </c>
      <c r="D27" s="392">
        <v>69.510000000000005</v>
      </c>
      <c r="E27" s="365">
        <v>-102.32000000000001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166.15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166.15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96.64</v>
      </c>
      <c r="E32" s="366">
        <v>102.32000000000001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27.41</v>
      </c>
      <c r="E35" s="367">
        <v>32.020000000000003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69.23</v>
      </c>
      <c r="E37" s="367">
        <v>70.290000000000006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-1204.5899999999999</v>
      </c>
      <c r="E40" s="396">
        <v>735.93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7610.7800000000007</v>
      </c>
      <c r="E41" s="150">
        <f>E26+E27+E40</f>
        <v>8518.81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89.152500000000003</v>
      </c>
      <c r="E47" s="151">
        <v>88.877399999999994</v>
      </c>
      <c r="G47" s="73"/>
    </row>
    <row r="48" spans="2:10">
      <c r="B48" s="195" t="s">
        <v>6</v>
      </c>
      <c r="C48" s="196" t="s">
        <v>41</v>
      </c>
      <c r="D48" s="310">
        <v>89.9726</v>
      </c>
      <c r="E48" s="334">
        <v>87.786600000000007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98.1</v>
      </c>
      <c r="E50" s="289">
        <v>88.72</v>
      </c>
      <c r="G50" s="181"/>
    </row>
    <row r="51" spans="2:7">
      <c r="B51" s="193" t="s">
        <v>6</v>
      </c>
      <c r="C51" s="194" t="s">
        <v>111</v>
      </c>
      <c r="D51" s="310">
        <v>81.11</v>
      </c>
      <c r="E51" s="289">
        <v>88.72</v>
      </c>
      <c r="G51" s="181"/>
    </row>
    <row r="52" spans="2:7">
      <c r="B52" s="193" t="s">
        <v>8</v>
      </c>
      <c r="C52" s="194" t="s">
        <v>112</v>
      </c>
      <c r="D52" s="310">
        <v>98.14</v>
      </c>
      <c r="E52" s="289">
        <v>97.04</v>
      </c>
    </row>
    <row r="53" spans="2:7" ht="13.5" thickBot="1">
      <c r="B53" s="197" t="s">
        <v>9</v>
      </c>
      <c r="C53" s="198" t="s">
        <v>41</v>
      </c>
      <c r="D53" s="308">
        <v>84.59</v>
      </c>
      <c r="E53" s="333">
        <v>97.04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8518.81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8518.81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8518.81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8518.81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Arkusz70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14.25">
      <c r="B5" s="457" t="s">
        <v>1</v>
      </c>
      <c r="C5" s="457"/>
      <c r="D5" s="457"/>
      <c r="E5" s="457"/>
    </row>
    <row r="6" spans="2:12" ht="14.25">
      <c r="B6" s="458" t="s">
        <v>206</v>
      </c>
      <c r="C6" s="458"/>
      <c r="D6" s="458"/>
      <c r="E6" s="458"/>
    </row>
    <row r="7" spans="2:12" ht="14.25">
      <c r="B7" s="157"/>
      <c r="C7" s="157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58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21546.61</v>
      </c>
      <c r="E11" s="377">
        <v>21920.69</v>
      </c>
    </row>
    <row r="12" spans="2:12">
      <c r="B12" s="182" t="s">
        <v>4</v>
      </c>
      <c r="C12" s="183" t="s">
        <v>5</v>
      </c>
      <c r="D12" s="378">
        <v>21546.61</v>
      </c>
      <c r="E12" s="379">
        <v>21920.69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21546.61</v>
      </c>
      <c r="E21" s="389">
        <v>21920.69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  <c r="H25" s="237"/>
    </row>
    <row r="26" spans="2:11">
      <c r="B26" s="97" t="s">
        <v>15</v>
      </c>
      <c r="C26" s="98" t="s">
        <v>16</v>
      </c>
      <c r="D26" s="302">
        <v>44427.360000000001</v>
      </c>
      <c r="E26" s="234">
        <f>D21</f>
        <v>21546.61</v>
      </c>
      <c r="G26" s="75"/>
      <c r="H26" s="237"/>
    </row>
    <row r="27" spans="2:11">
      <c r="B27" s="9" t="s">
        <v>17</v>
      </c>
      <c r="C27" s="10" t="s">
        <v>108</v>
      </c>
      <c r="D27" s="392">
        <v>252.10000000000002</v>
      </c>
      <c r="E27" s="365">
        <v>-891.06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516.93000000000006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516.93000000000006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264.83000000000004</v>
      </c>
      <c r="E32" s="366">
        <v>891.06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726.38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93.56</v>
      </c>
      <c r="E35" s="367">
        <v>89.38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171.27</v>
      </c>
      <c r="E37" s="367">
        <v>75.3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-1313.18</v>
      </c>
      <c r="E40" s="396">
        <v>1265.1400000000001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43366.28</v>
      </c>
      <c r="E41" s="150">
        <f>E26+E27+E40</f>
        <v>21920.69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169.6413</v>
      </c>
      <c r="E47" s="151">
        <v>81.730500000000006</v>
      </c>
      <c r="G47" s="73"/>
    </row>
    <row r="48" spans="2:10">
      <c r="B48" s="195" t="s">
        <v>6</v>
      </c>
      <c r="C48" s="196" t="s">
        <v>41</v>
      </c>
      <c r="D48" s="310">
        <v>170.6326</v>
      </c>
      <c r="E48" s="334">
        <v>78.515299999999996</v>
      </c>
      <c r="G48" s="73"/>
    </row>
    <row r="49" spans="2:7">
      <c r="B49" s="122" t="s">
        <v>23</v>
      </c>
      <c r="C49" s="126" t="s">
        <v>110</v>
      </c>
      <c r="D49" s="311"/>
      <c r="E49" s="289"/>
    </row>
    <row r="50" spans="2:7">
      <c r="B50" s="193" t="s">
        <v>4</v>
      </c>
      <c r="C50" s="194" t="s">
        <v>40</v>
      </c>
      <c r="D50" s="310">
        <v>261.89</v>
      </c>
      <c r="E50" s="289">
        <v>263.63</v>
      </c>
      <c r="G50" s="181"/>
    </row>
    <row r="51" spans="2:7">
      <c r="B51" s="193" t="s">
        <v>6</v>
      </c>
      <c r="C51" s="194" t="s">
        <v>111</v>
      </c>
      <c r="D51" s="310">
        <v>252.41</v>
      </c>
      <c r="E51" s="289">
        <v>263.63</v>
      </c>
      <c r="G51" s="181"/>
    </row>
    <row r="52" spans="2:7">
      <c r="B52" s="193" t="s">
        <v>8</v>
      </c>
      <c r="C52" s="194" t="s">
        <v>112</v>
      </c>
      <c r="D52" s="310">
        <v>263.22000000000003</v>
      </c>
      <c r="E52" s="289">
        <v>279.19</v>
      </c>
    </row>
    <row r="53" spans="2:7" ht="13.5" thickBot="1">
      <c r="B53" s="197" t="s">
        <v>9</v>
      </c>
      <c r="C53" s="198" t="s">
        <v>41</v>
      </c>
      <c r="D53" s="308">
        <v>254.15</v>
      </c>
      <c r="E53" s="333">
        <v>279.19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21920.69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21920.69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21920.69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21920.69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Arkusz71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9.7109375" customWidth="1"/>
    <col min="12" max="12" width="12.42578125" bestFit="1" customWidth="1"/>
  </cols>
  <sheetData>
    <row r="1" spans="2:12" customFormat="1">
      <c r="B1" s="2"/>
      <c r="C1" s="2"/>
      <c r="D1" s="3"/>
      <c r="E1" s="3"/>
    </row>
    <row r="2" spans="2:12" customFormat="1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customFormat="1" ht="15.75">
      <c r="B3" s="456" t="s">
        <v>244</v>
      </c>
      <c r="C3" s="456"/>
      <c r="D3" s="456"/>
      <c r="E3" s="456"/>
      <c r="H3" s="163"/>
      <c r="I3" s="163"/>
      <c r="J3" s="165"/>
    </row>
    <row r="4" spans="2:12" customFormat="1" ht="15">
      <c r="B4" s="149"/>
      <c r="C4" s="149"/>
      <c r="D4" s="149"/>
      <c r="E4" s="149"/>
      <c r="H4" s="162"/>
      <c r="I4" s="162"/>
      <c r="J4" s="165"/>
    </row>
    <row r="5" spans="2:12" customFormat="1" ht="14.25">
      <c r="B5" s="457" t="s">
        <v>1</v>
      </c>
      <c r="C5" s="457"/>
      <c r="D5" s="457"/>
      <c r="E5" s="457"/>
    </row>
    <row r="6" spans="2:12" customFormat="1" ht="14.25" customHeight="1">
      <c r="B6" s="458" t="s">
        <v>168</v>
      </c>
      <c r="C6" s="458"/>
      <c r="D6" s="458"/>
      <c r="E6" s="458"/>
    </row>
    <row r="7" spans="2:12" customFormat="1" ht="14.25">
      <c r="B7" s="157"/>
      <c r="C7" s="157"/>
      <c r="D7" s="296"/>
      <c r="E7" s="296"/>
    </row>
    <row r="8" spans="2:12" customFormat="1" ht="13.5">
      <c r="B8" s="460" t="s">
        <v>18</v>
      </c>
      <c r="C8" s="466"/>
      <c r="D8" s="466"/>
      <c r="E8" s="466"/>
    </row>
    <row r="9" spans="2:12" customFormat="1" ht="16.5" thickBot="1">
      <c r="B9" s="459" t="s">
        <v>100</v>
      </c>
      <c r="C9" s="459"/>
      <c r="D9" s="459"/>
      <c r="E9" s="459"/>
    </row>
    <row r="10" spans="2:12" customFormat="1" ht="13.5" thickBot="1">
      <c r="B10" s="158"/>
      <c r="C10" s="77" t="s">
        <v>2</v>
      </c>
      <c r="D10" s="274" t="s">
        <v>236</v>
      </c>
      <c r="E10" s="246" t="s">
        <v>242</v>
      </c>
    </row>
    <row r="11" spans="2:12" customFormat="1">
      <c r="B11" s="92" t="s">
        <v>3</v>
      </c>
      <c r="C11" s="130" t="s">
        <v>106</v>
      </c>
      <c r="D11" s="376">
        <v>31553.91</v>
      </c>
      <c r="E11" s="377">
        <v>35541.279999999999</v>
      </c>
    </row>
    <row r="12" spans="2:12" customFormat="1">
      <c r="B12" s="182" t="s">
        <v>4</v>
      </c>
      <c r="C12" s="183" t="s">
        <v>5</v>
      </c>
      <c r="D12" s="378">
        <v>31553.91</v>
      </c>
      <c r="E12" s="379">
        <v>35541.279999999999</v>
      </c>
    </row>
    <row r="13" spans="2:12" customFormat="1">
      <c r="B13" s="182" t="s">
        <v>6</v>
      </c>
      <c r="C13" s="184" t="s">
        <v>7</v>
      </c>
      <c r="D13" s="380">
        <v>0</v>
      </c>
      <c r="E13" s="442">
        <v>0</v>
      </c>
    </row>
    <row r="14" spans="2:12" customFormat="1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 customFormat="1">
      <c r="B15" s="182" t="s">
        <v>103</v>
      </c>
      <c r="C15" s="184" t="s">
        <v>11</v>
      </c>
      <c r="D15" s="380">
        <v>0</v>
      </c>
      <c r="E15" s="442">
        <v>0</v>
      </c>
    </row>
    <row r="16" spans="2:12" customFormat="1">
      <c r="B16" s="185" t="s">
        <v>104</v>
      </c>
      <c r="C16" s="186" t="s">
        <v>12</v>
      </c>
      <c r="D16" s="382">
        <v>0</v>
      </c>
      <c r="E16" s="443">
        <v>0</v>
      </c>
    </row>
    <row r="17" spans="2:11" customFormat="1">
      <c r="B17" s="9" t="s">
        <v>13</v>
      </c>
      <c r="C17" s="11" t="s">
        <v>65</v>
      </c>
      <c r="D17" s="384">
        <v>0</v>
      </c>
      <c r="E17" s="444">
        <v>0</v>
      </c>
    </row>
    <row r="18" spans="2:11" customFormat="1">
      <c r="B18" s="182" t="s">
        <v>4</v>
      </c>
      <c r="C18" s="183" t="s">
        <v>11</v>
      </c>
      <c r="D18" s="382">
        <v>0</v>
      </c>
      <c r="E18" s="443">
        <v>0</v>
      </c>
    </row>
    <row r="19" spans="2:11" customFormat="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customFormat="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customFormat="1" ht="13.5" thickBot="1">
      <c r="B21" s="468" t="s">
        <v>107</v>
      </c>
      <c r="C21" s="469"/>
      <c r="D21" s="388">
        <v>31553.91</v>
      </c>
      <c r="E21" s="389">
        <v>35541.279999999999</v>
      </c>
      <c r="F21" s="78"/>
      <c r="G21" s="78"/>
      <c r="H21" s="169"/>
      <c r="J21" s="227"/>
      <c r="K21" s="169"/>
    </row>
    <row r="22" spans="2:11" customFormat="1">
      <c r="B22" s="4"/>
      <c r="C22" s="7"/>
      <c r="D22" s="8"/>
      <c r="E22" s="8"/>
      <c r="G22" s="73"/>
    </row>
    <row r="23" spans="2:11" customFormat="1" ht="13.5">
      <c r="B23" s="460" t="s">
        <v>101</v>
      </c>
      <c r="C23" s="470"/>
      <c r="D23" s="470"/>
      <c r="E23" s="470"/>
      <c r="G23" s="73"/>
    </row>
    <row r="24" spans="2:11" customFormat="1" ht="15.75" customHeight="1" thickBot="1">
      <c r="B24" s="459" t="s">
        <v>102</v>
      </c>
      <c r="C24" s="471"/>
      <c r="D24" s="471"/>
      <c r="E24" s="471"/>
    </row>
    <row r="25" spans="2:11" customFormat="1" ht="13.5" thickBot="1">
      <c r="B25" s="220"/>
      <c r="C25" s="189" t="s">
        <v>2</v>
      </c>
      <c r="D25" s="274" t="s">
        <v>243</v>
      </c>
      <c r="E25" s="246" t="s">
        <v>242</v>
      </c>
    </row>
    <row r="26" spans="2:11" customFormat="1">
      <c r="B26" s="97" t="s">
        <v>15</v>
      </c>
      <c r="C26" s="98" t="s">
        <v>16</v>
      </c>
      <c r="D26" s="390">
        <v>38533.43</v>
      </c>
      <c r="E26" s="391">
        <f>D21</f>
        <v>31553.91</v>
      </c>
      <c r="G26" s="75"/>
    </row>
    <row r="27" spans="2:11" customFormat="1">
      <c r="B27" s="9" t="s">
        <v>17</v>
      </c>
      <c r="C27" s="10" t="s">
        <v>108</v>
      </c>
      <c r="D27" s="392">
        <v>38.009999999999991</v>
      </c>
      <c r="E27" s="365">
        <v>5.0300000000000011</v>
      </c>
      <c r="F27" s="73"/>
      <c r="G27" s="75"/>
      <c r="H27" s="243"/>
      <c r="I27" s="73"/>
      <c r="J27" s="75"/>
    </row>
    <row r="28" spans="2:11" customFormat="1">
      <c r="B28" s="9" t="s">
        <v>18</v>
      </c>
      <c r="C28" s="10" t="s">
        <v>19</v>
      </c>
      <c r="D28" s="392">
        <v>234.78</v>
      </c>
      <c r="E28" s="366">
        <v>211.05</v>
      </c>
      <c r="F28" s="73"/>
      <c r="G28" s="73"/>
      <c r="H28" s="243"/>
      <c r="I28" s="73"/>
      <c r="J28" s="75"/>
    </row>
    <row r="29" spans="2:11" customFormat="1">
      <c r="B29" s="190" t="s">
        <v>4</v>
      </c>
      <c r="C29" s="183" t="s">
        <v>20</v>
      </c>
      <c r="D29" s="393">
        <v>234.78</v>
      </c>
      <c r="E29" s="367">
        <v>211.03</v>
      </c>
      <c r="F29" s="73"/>
      <c r="G29" s="73"/>
      <c r="H29" s="243"/>
      <c r="I29" s="73"/>
      <c r="J29" s="75"/>
    </row>
    <row r="30" spans="2:11" customFormat="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 customFormat="1">
      <c r="B31" s="190" t="s">
        <v>8</v>
      </c>
      <c r="C31" s="183" t="s">
        <v>22</v>
      </c>
      <c r="D31" s="393">
        <v>0</v>
      </c>
      <c r="E31" s="367">
        <v>0.02</v>
      </c>
      <c r="F31" s="73"/>
      <c r="G31" s="73"/>
      <c r="H31" s="243"/>
      <c r="I31" s="73"/>
      <c r="J31" s="75"/>
    </row>
    <row r="32" spans="2:11" customFormat="1">
      <c r="B32" s="94" t="s">
        <v>23</v>
      </c>
      <c r="C32" s="11" t="s">
        <v>24</v>
      </c>
      <c r="D32" s="392">
        <v>196.77</v>
      </c>
      <c r="E32" s="366">
        <v>206.02</v>
      </c>
      <c r="F32" s="73"/>
      <c r="G32" s="75"/>
      <c r="H32" s="243"/>
      <c r="I32" s="73"/>
      <c r="J32" s="75"/>
    </row>
    <row r="33" spans="2:10" customFormat="1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 customFormat="1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 customFormat="1">
      <c r="B35" s="190" t="s">
        <v>8</v>
      </c>
      <c r="C35" s="183" t="s">
        <v>27</v>
      </c>
      <c r="D35" s="393">
        <v>58.27</v>
      </c>
      <c r="E35" s="367">
        <v>65.56</v>
      </c>
      <c r="F35" s="73"/>
      <c r="G35" s="73"/>
      <c r="H35" s="243"/>
      <c r="I35" s="73"/>
      <c r="J35" s="75"/>
    </row>
    <row r="36" spans="2:10" customFormat="1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customFormat="1" ht="25.5">
      <c r="B37" s="190" t="s">
        <v>29</v>
      </c>
      <c r="C37" s="183" t="s">
        <v>30</v>
      </c>
      <c r="D37" s="393">
        <v>138.5</v>
      </c>
      <c r="E37" s="367">
        <v>140.46</v>
      </c>
      <c r="F37" s="73"/>
      <c r="G37" s="73"/>
      <c r="H37" s="243"/>
      <c r="I37" s="73"/>
      <c r="J37" s="75"/>
    </row>
    <row r="38" spans="2:10" customFormat="1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 customFormat="1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customFormat="1" ht="13.5" thickBot="1">
      <c r="B40" s="99" t="s">
        <v>35</v>
      </c>
      <c r="C40" s="100" t="s">
        <v>36</v>
      </c>
      <c r="D40" s="395">
        <v>-7902.35</v>
      </c>
      <c r="E40" s="396">
        <v>3982.3399999999997</v>
      </c>
      <c r="G40" s="75"/>
    </row>
    <row r="41" spans="2:10" customFormat="1" ht="13.5" thickBot="1">
      <c r="B41" s="101" t="s">
        <v>37</v>
      </c>
      <c r="C41" s="102" t="s">
        <v>38</v>
      </c>
      <c r="D41" s="397">
        <v>30669.090000000004</v>
      </c>
      <c r="E41" s="389">
        <f>E26+E27+E40</f>
        <v>35541.279999999999</v>
      </c>
      <c r="F41" s="78"/>
      <c r="G41" s="75"/>
    </row>
    <row r="42" spans="2:10" customFormat="1">
      <c r="B42" s="95"/>
      <c r="C42" s="95"/>
      <c r="D42" s="96"/>
      <c r="E42" s="96"/>
      <c r="F42" s="78"/>
      <c r="G42" s="68"/>
    </row>
    <row r="43" spans="2:10" customFormat="1" ht="13.5">
      <c r="B43" s="461" t="s">
        <v>60</v>
      </c>
      <c r="C43" s="462"/>
      <c r="D43" s="462"/>
      <c r="E43" s="462"/>
      <c r="G43" s="73"/>
    </row>
    <row r="44" spans="2:10" customFormat="1" ht="18" customHeight="1" thickBot="1">
      <c r="B44" s="459" t="s">
        <v>118</v>
      </c>
      <c r="C44" s="463"/>
      <c r="D44" s="463"/>
      <c r="E44" s="463"/>
      <c r="G44" s="73"/>
    </row>
    <row r="45" spans="2:10" customFormat="1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 customFormat="1">
      <c r="B46" s="13" t="s">
        <v>18</v>
      </c>
      <c r="C46" s="30" t="s">
        <v>109</v>
      </c>
      <c r="D46" s="103"/>
      <c r="E46" s="28"/>
      <c r="G46" s="73"/>
    </row>
    <row r="47" spans="2:10" customFormat="1">
      <c r="B47" s="193" t="s">
        <v>4</v>
      </c>
      <c r="C47" s="194" t="s">
        <v>40</v>
      </c>
      <c r="D47" s="310">
        <v>899.89329999999995</v>
      </c>
      <c r="E47" s="151">
        <v>895.40030000000002</v>
      </c>
      <c r="G47" s="73"/>
    </row>
    <row r="48" spans="2:10" customFormat="1">
      <c r="B48" s="195" t="s">
        <v>6</v>
      </c>
      <c r="C48" s="196" t="s">
        <v>41</v>
      </c>
      <c r="D48" s="310">
        <v>900.97199999999998</v>
      </c>
      <c r="E48" s="332">
        <v>895.69770000000005</v>
      </c>
      <c r="G48" s="73"/>
    </row>
    <row r="49" spans="2:7" customFormat="1">
      <c r="B49" s="122" t="s">
        <v>23</v>
      </c>
      <c r="C49" s="126" t="s">
        <v>110</v>
      </c>
      <c r="D49" s="311"/>
      <c r="E49" s="292"/>
    </row>
    <row r="50" spans="2:7" customFormat="1">
      <c r="B50" s="193" t="s">
        <v>4</v>
      </c>
      <c r="C50" s="194" t="s">
        <v>40</v>
      </c>
      <c r="D50" s="310">
        <v>42.82</v>
      </c>
      <c r="E50" s="151">
        <v>35.24</v>
      </c>
      <c r="G50" s="181"/>
    </row>
    <row r="51" spans="2:7" customFormat="1">
      <c r="B51" s="193" t="s">
        <v>6</v>
      </c>
      <c r="C51" s="194" t="s">
        <v>111</v>
      </c>
      <c r="D51" s="310">
        <v>32.660000000000004</v>
      </c>
      <c r="E51" s="151">
        <v>35.24</v>
      </c>
      <c r="G51" s="181"/>
    </row>
    <row r="52" spans="2:7" customFormat="1">
      <c r="B52" s="193" t="s">
        <v>8</v>
      </c>
      <c r="C52" s="194" t="s">
        <v>112</v>
      </c>
      <c r="D52" s="310">
        <v>42.9</v>
      </c>
      <c r="E52" s="151">
        <v>39.68</v>
      </c>
    </row>
    <row r="53" spans="2:7" customFormat="1" ht="13.5" thickBot="1">
      <c r="B53" s="197" t="s">
        <v>9</v>
      </c>
      <c r="C53" s="198" t="s">
        <v>41</v>
      </c>
      <c r="D53" s="308">
        <v>34.04</v>
      </c>
      <c r="E53" s="333">
        <v>39.68</v>
      </c>
    </row>
    <row r="54" spans="2:7" customFormat="1">
      <c r="B54" s="111"/>
      <c r="C54" s="112"/>
      <c r="D54" s="113"/>
      <c r="E54" s="113"/>
    </row>
    <row r="55" spans="2:7" customFormat="1" ht="13.5">
      <c r="B55" s="461" t="s">
        <v>62</v>
      </c>
      <c r="C55" s="466"/>
      <c r="D55" s="466"/>
      <c r="E55" s="466"/>
    </row>
    <row r="56" spans="2:7" customFormat="1" ht="14.25" thickBot="1">
      <c r="B56" s="459" t="s">
        <v>113</v>
      </c>
      <c r="C56" s="467"/>
      <c r="D56" s="467"/>
      <c r="E56" s="467"/>
    </row>
    <row r="57" spans="2:7" customFormat="1" ht="23.25" thickBot="1">
      <c r="B57" s="454" t="s">
        <v>42</v>
      </c>
      <c r="C57" s="455"/>
      <c r="D57" s="18" t="s">
        <v>119</v>
      </c>
      <c r="E57" s="19" t="s">
        <v>114</v>
      </c>
    </row>
    <row r="58" spans="2:7" customFormat="1">
      <c r="B58" s="20" t="s">
        <v>18</v>
      </c>
      <c r="C58" s="128" t="s">
        <v>43</v>
      </c>
      <c r="D58" s="129">
        <f>D64</f>
        <v>35541.279999999999</v>
      </c>
      <c r="E58" s="31">
        <f>D58/E21</f>
        <v>1</v>
      </c>
    </row>
    <row r="59" spans="2:7" customFormat="1" ht="25.5">
      <c r="B59" s="125" t="s">
        <v>4</v>
      </c>
      <c r="C59" s="22" t="s">
        <v>44</v>
      </c>
      <c r="D59" s="81">
        <v>0</v>
      </c>
      <c r="E59" s="82">
        <v>0</v>
      </c>
    </row>
    <row r="60" spans="2:7" customFormat="1" ht="25.5">
      <c r="B60" s="104" t="s">
        <v>6</v>
      </c>
      <c r="C60" s="15" t="s">
        <v>45</v>
      </c>
      <c r="D60" s="79">
        <v>0</v>
      </c>
      <c r="E60" s="80">
        <v>0</v>
      </c>
    </row>
    <row r="61" spans="2:7" customFormat="1">
      <c r="B61" s="104" t="s">
        <v>8</v>
      </c>
      <c r="C61" s="15" t="s">
        <v>46</v>
      </c>
      <c r="D61" s="79">
        <v>0</v>
      </c>
      <c r="E61" s="80">
        <v>0</v>
      </c>
    </row>
    <row r="62" spans="2:7" customFormat="1">
      <c r="B62" s="104" t="s">
        <v>9</v>
      </c>
      <c r="C62" s="15" t="s">
        <v>47</v>
      </c>
      <c r="D62" s="79">
        <v>0</v>
      </c>
      <c r="E62" s="80">
        <v>0</v>
      </c>
    </row>
    <row r="63" spans="2:7" customFormat="1">
      <c r="B63" s="104" t="s">
        <v>29</v>
      </c>
      <c r="C63" s="15" t="s">
        <v>48</v>
      </c>
      <c r="D63" s="79">
        <v>0</v>
      </c>
      <c r="E63" s="80">
        <v>0</v>
      </c>
    </row>
    <row r="64" spans="2:7" customFormat="1">
      <c r="B64" s="125" t="s">
        <v>31</v>
      </c>
      <c r="C64" s="22" t="s">
        <v>49</v>
      </c>
      <c r="D64" s="81">
        <f>E21</f>
        <v>35541.279999999999</v>
      </c>
      <c r="E64" s="82">
        <f>E58</f>
        <v>1</v>
      </c>
    </row>
    <row r="65" spans="2:5" customFormat="1">
      <c r="B65" s="125" t="s">
        <v>33</v>
      </c>
      <c r="C65" s="22" t="s">
        <v>115</v>
      </c>
      <c r="D65" s="81">
        <v>0</v>
      </c>
      <c r="E65" s="82">
        <v>0</v>
      </c>
    </row>
    <row r="66" spans="2:5" customFormat="1">
      <c r="B66" s="125" t="s">
        <v>50</v>
      </c>
      <c r="C66" s="22" t="s">
        <v>51</v>
      </c>
      <c r="D66" s="81">
        <v>0</v>
      </c>
      <c r="E66" s="82">
        <v>0</v>
      </c>
    </row>
    <row r="67" spans="2:5" customFormat="1">
      <c r="B67" s="104" t="s">
        <v>52</v>
      </c>
      <c r="C67" s="15" t="s">
        <v>53</v>
      </c>
      <c r="D67" s="79">
        <v>0</v>
      </c>
      <c r="E67" s="80">
        <v>0</v>
      </c>
    </row>
    <row r="68" spans="2:5" customFormat="1">
      <c r="B68" s="104" t="s">
        <v>54</v>
      </c>
      <c r="C68" s="15" t="s">
        <v>55</v>
      </c>
      <c r="D68" s="79">
        <v>0</v>
      </c>
      <c r="E68" s="80">
        <v>0</v>
      </c>
    </row>
    <row r="69" spans="2:5" customFormat="1">
      <c r="B69" s="104" t="s">
        <v>56</v>
      </c>
      <c r="C69" s="15" t="s">
        <v>57</v>
      </c>
      <c r="D69" s="239">
        <v>0</v>
      </c>
      <c r="E69" s="80">
        <v>0</v>
      </c>
    </row>
    <row r="70" spans="2:5" customFormat="1">
      <c r="B70" s="131" t="s">
        <v>58</v>
      </c>
      <c r="C70" s="115" t="s">
        <v>59</v>
      </c>
      <c r="D70" s="116">
        <v>0</v>
      </c>
      <c r="E70" s="117">
        <v>0</v>
      </c>
    </row>
    <row r="71" spans="2:5" customFormat="1">
      <c r="B71" s="132" t="s">
        <v>23</v>
      </c>
      <c r="C71" s="123" t="s">
        <v>61</v>
      </c>
      <c r="D71" s="124">
        <v>0</v>
      </c>
      <c r="E71" s="67">
        <v>0</v>
      </c>
    </row>
    <row r="72" spans="2:5" customFormat="1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 customFormat="1">
      <c r="B73" s="134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32" t="s">
        <v>64</v>
      </c>
      <c r="C74" s="123" t="s">
        <v>66</v>
      </c>
      <c r="D74" s="124">
        <f>D58</f>
        <v>35541.279999999999</v>
      </c>
      <c r="E74" s="67">
        <f>E58+E72-E73</f>
        <v>1</v>
      </c>
    </row>
    <row r="75" spans="2:5" customFormat="1">
      <c r="B75" s="104" t="s">
        <v>4</v>
      </c>
      <c r="C75" s="15" t="s">
        <v>67</v>
      </c>
      <c r="D75" s="79">
        <f>D74</f>
        <v>35541.279999999999</v>
      </c>
      <c r="E75" s="80">
        <f>E74</f>
        <v>1</v>
      </c>
    </row>
    <row r="76" spans="2:5" customFormat="1">
      <c r="B76" s="104" t="s">
        <v>6</v>
      </c>
      <c r="C76" s="15" t="s">
        <v>116</v>
      </c>
      <c r="D76" s="79">
        <v>0</v>
      </c>
      <c r="E76" s="80">
        <v>0</v>
      </c>
    </row>
    <row r="77" spans="2:5" customFormat="1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 customFormat="1">
      <c r="B78" s="2"/>
      <c r="C78" s="2"/>
      <c r="D78" s="3"/>
      <c r="E78" s="3"/>
    </row>
    <row r="79" spans="2:5" customFormat="1">
      <c r="B79" s="2"/>
      <c r="C79" s="2"/>
      <c r="D79" s="3"/>
      <c r="E79" s="3"/>
    </row>
    <row r="80" spans="2:5" customFormat="1">
      <c r="B80" s="2"/>
      <c r="C80" s="2"/>
      <c r="D80" s="3"/>
      <c r="E80" s="3"/>
    </row>
    <row r="81" spans="2:5" customFormat="1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Arkusz73">
    <pageSetUpPr fitToPage="1"/>
  </sheetPr>
  <dimension ref="A1:L81"/>
  <sheetViews>
    <sheetView zoomScale="80" zoomScaleNormal="80" workbookViewId="0">
      <selection activeCell="H28" sqref="H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219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372968.05</v>
      </c>
      <c r="E11" s="377">
        <v>354584.33</v>
      </c>
    </row>
    <row r="12" spans="2:12">
      <c r="B12" s="182" t="s">
        <v>4</v>
      </c>
      <c r="C12" s="183" t="s">
        <v>5</v>
      </c>
      <c r="D12" s="378">
        <v>372968.05</v>
      </c>
      <c r="E12" s="379">
        <v>354584.33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372968.05</v>
      </c>
      <c r="E21" s="389">
        <v>354584.33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568198.77</v>
      </c>
      <c r="E26" s="391">
        <f>D21</f>
        <v>372968.05</v>
      </c>
      <c r="G26" s="75"/>
      <c r="H26" s="237"/>
      <c r="I26" s="237"/>
    </row>
    <row r="27" spans="2:11">
      <c r="B27" s="9" t="s">
        <v>17</v>
      </c>
      <c r="C27" s="10" t="s">
        <v>108</v>
      </c>
      <c r="D27" s="392">
        <v>-77229.55</v>
      </c>
      <c r="E27" s="365">
        <v>-5331.01</v>
      </c>
      <c r="F27" s="73"/>
      <c r="G27" s="75"/>
      <c r="H27" s="243"/>
      <c r="I27" s="243"/>
      <c r="J27" s="75"/>
    </row>
    <row r="28" spans="2:11">
      <c r="B28" s="9" t="s">
        <v>18</v>
      </c>
      <c r="C28" s="10" t="s">
        <v>19</v>
      </c>
      <c r="D28" s="392">
        <v>7.6</v>
      </c>
      <c r="E28" s="366">
        <v>0.2</v>
      </c>
      <c r="F28" s="73"/>
      <c r="G28" s="73"/>
      <c r="H28" s="243"/>
      <c r="I28" s="24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24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243"/>
      <c r="J30" s="75"/>
    </row>
    <row r="31" spans="2:11">
      <c r="B31" s="190" t="s">
        <v>8</v>
      </c>
      <c r="C31" s="183" t="s">
        <v>22</v>
      </c>
      <c r="D31" s="393">
        <v>7.6</v>
      </c>
      <c r="E31" s="367">
        <v>0.2</v>
      </c>
      <c r="F31" s="73"/>
      <c r="G31" s="73"/>
      <c r="H31" s="243"/>
      <c r="I31" s="243"/>
      <c r="J31" s="75"/>
    </row>
    <row r="32" spans="2:11">
      <c r="B32" s="94" t="s">
        <v>23</v>
      </c>
      <c r="C32" s="11" t="s">
        <v>24</v>
      </c>
      <c r="D32" s="392">
        <v>77237.150000000009</v>
      </c>
      <c r="E32" s="366">
        <v>5331.21</v>
      </c>
      <c r="F32" s="73"/>
      <c r="G32" s="75"/>
      <c r="H32" s="243"/>
      <c r="I32" s="243"/>
      <c r="J32" s="75"/>
    </row>
    <row r="33" spans="2:10">
      <c r="B33" s="190" t="s">
        <v>4</v>
      </c>
      <c r="C33" s="183" t="s">
        <v>25</v>
      </c>
      <c r="D33" s="393">
        <v>71622.33</v>
      </c>
      <c r="E33" s="367">
        <v>0</v>
      </c>
      <c r="F33" s="73"/>
      <c r="G33" s="73"/>
      <c r="H33" s="243"/>
      <c r="I33" s="24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2232.02</v>
      </c>
      <c r="F34" s="73"/>
      <c r="G34" s="73"/>
      <c r="H34" s="243"/>
      <c r="I34" s="243"/>
      <c r="J34" s="75"/>
    </row>
    <row r="35" spans="2:10">
      <c r="B35" s="190" t="s">
        <v>8</v>
      </c>
      <c r="C35" s="183" t="s">
        <v>27</v>
      </c>
      <c r="D35" s="393">
        <v>1404.42</v>
      </c>
      <c r="E35" s="367">
        <v>139.27000000000001</v>
      </c>
      <c r="F35" s="73"/>
      <c r="G35" s="73"/>
      <c r="H35" s="243"/>
      <c r="I35" s="24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243"/>
      <c r="J36" s="75"/>
    </row>
    <row r="37" spans="2:10" ht="25.5">
      <c r="B37" s="190" t="s">
        <v>29</v>
      </c>
      <c r="C37" s="183" t="s">
        <v>30</v>
      </c>
      <c r="D37" s="393">
        <v>4210.3999999999996</v>
      </c>
      <c r="E37" s="367">
        <v>2959.92</v>
      </c>
      <c r="F37" s="73"/>
      <c r="G37" s="73"/>
      <c r="H37" s="243"/>
      <c r="I37" s="24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24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243"/>
      <c r="J39" s="75"/>
    </row>
    <row r="40" spans="2:10" ht="13.5" thickBot="1">
      <c r="B40" s="99" t="s">
        <v>35</v>
      </c>
      <c r="C40" s="100" t="s">
        <v>36</v>
      </c>
      <c r="D40" s="395">
        <v>-82303.600000000006</v>
      </c>
      <c r="E40" s="396">
        <v>-13052.71</v>
      </c>
      <c r="G40" s="75"/>
      <c r="H40" s="237"/>
      <c r="I40" s="237"/>
    </row>
    <row r="41" spans="2:10" ht="13.5" thickBot="1">
      <c r="B41" s="101" t="s">
        <v>37</v>
      </c>
      <c r="C41" s="102" t="s">
        <v>38</v>
      </c>
      <c r="D41" s="397">
        <v>408665.62</v>
      </c>
      <c r="E41" s="389">
        <f>E26+E27+E40</f>
        <v>354584.32999999996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877.22900000000004</v>
      </c>
      <c r="E47" s="151">
        <v>720.23800000000006</v>
      </c>
      <c r="G47" s="73"/>
    </row>
    <row r="48" spans="2:10">
      <c r="B48" s="195" t="s">
        <v>6</v>
      </c>
      <c r="C48" s="196" t="s">
        <v>41</v>
      </c>
      <c r="D48" s="310">
        <v>744.91099999999994</v>
      </c>
      <c r="E48" s="151">
        <v>710.10599999999999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647.72</v>
      </c>
      <c r="E50" s="151">
        <v>517.84</v>
      </c>
      <c r="G50" s="181"/>
    </row>
    <row r="51" spans="2:7">
      <c r="B51" s="193" t="s">
        <v>6</v>
      </c>
      <c r="C51" s="194" t="s">
        <v>111</v>
      </c>
      <c r="D51" s="310">
        <v>537.32000000000005</v>
      </c>
      <c r="E51" s="151">
        <v>491.01</v>
      </c>
      <c r="G51" s="181"/>
    </row>
    <row r="52" spans="2:7">
      <c r="B52" s="193" t="s">
        <v>8</v>
      </c>
      <c r="C52" s="194" t="s">
        <v>112</v>
      </c>
      <c r="D52" s="310">
        <v>654.80000000000007</v>
      </c>
      <c r="E52" s="151">
        <v>571.05999999999995</v>
      </c>
    </row>
    <row r="53" spans="2:7" ht="12.75" customHeight="1" thickBot="1">
      <c r="B53" s="197" t="s">
        <v>9</v>
      </c>
      <c r="C53" s="198" t="s">
        <v>41</v>
      </c>
      <c r="D53" s="308">
        <v>548.61</v>
      </c>
      <c r="E53" s="329">
        <v>499.34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354584.33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354584.33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354584.33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354584.33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43" orientation="portrait" r:id="rId1"/>
  <headerFooter alignWithMargins="0">
    <oddHeader>&amp;C&amp;"Calibri"&amp;10&amp;K000000Confidential&amp;1#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Arkusz74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169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10123293.83</v>
      </c>
      <c r="E11" s="377">
        <v>10163379.75</v>
      </c>
    </row>
    <row r="12" spans="2:12">
      <c r="B12" s="182" t="s">
        <v>4</v>
      </c>
      <c r="C12" s="183" t="s">
        <v>5</v>
      </c>
      <c r="D12" s="378">
        <v>10123293.83</v>
      </c>
      <c r="E12" s="379">
        <v>10163379.75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10123293.83</v>
      </c>
      <c r="E21" s="389">
        <v>10163379.75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10812935.18</v>
      </c>
      <c r="E26" s="391">
        <f>D21</f>
        <v>10123293.83</v>
      </c>
      <c r="G26" s="75"/>
      <c r="H26" s="237"/>
    </row>
    <row r="27" spans="2:11">
      <c r="B27" s="9" t="s">
        <v>17</v>
      </c>
      <c r="C27" s="10" t="s">
        <v>108</v>
      </c>
      <c r="D27" s="392">
        <v>-151389.52000000002</v>
      </c>
      <c r="E27" s="365">
        <v>-80819.260000000009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0.03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0.03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151389.52000000002</v>
      </c>
      <c r="E32" s="366">
        <v>80819.290000000008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71714.38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398.53</v>
      </c>
      <c r="E35" s="367">
        <v>487.47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79276.61</v>
      </c>
      <c r="E37" s="367">
        <v>80331.820000000007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-1010508.85</v>
      </c>
      <c r="E40" s="396">
        <v>120905.18000000001</v>
      </c>
      <c r="G40" s="75"/>
    </row>
    <row r="41" spans="2:10" ht="13.5" thickBot="1">
      <c r="B41" s="101" t="s">
        <v>37</v>
      </c>
      <c r="C41" s="102" t="s">
        <v>38</v>
      </c>
      <c r="D41" s="397">
        <v>9651036.8100000005</v>
      </c>
      <c r="E41" s="389">
        <f>E26+E27+E40</f>
        <v>10163379.75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17731.937000000002</v>
      </c>
      <c r="E47" s="151">
        <v>17332.032999999999</v>
      </c>
      <c r="G47" s="73"/>
    </row>
    <row r="48" spans="2:10">
      <c r="B48" s="195" t="s">
        <v>6</v>
      </c>
      <c r="C48" s="196" t="s">
        <v>41</v>
      </c>
      <c r="D48" s="310">
        <v>17472.050999999999</v>
      </c>
      <c r="E48" s="151">
        <v>17193.429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609.79999999999995</v>
      </c>
      <c r="E50" s="151">
        <v>584.08000000000004</v>
      </c>
      <c r="G50" s="181"/>
    </row>
    <row r="51" spans="2:7">
      <c r="B51" s="193" t="s">
        <v>6</v>
      </c>
      <c r="C51" s="194" t="s">
        <v>111</v>
      </c>
      <c r="D51" s="310">
        <v>507.5</v>
      </c>
      <c r="E51" s="151">
        <v>557.13</v>
      </c>
      <c r="G51" s="181"/>
    </row>
    <row r="52" spans="2:7">
      <c r="B52" s="193" t="s">
        <v>8</v>
      </c>
      <c r="C52" s="194" t="s">
        <v>112</v>
      </c>
      <c r="D52" s="310">
        <v>618.29</v>
      </c>
      <c r="E52" s="151">
        <v>605.9</v>
      </c>
    </row>
    <row r="53" spans="2:7" ht="14.25" customHeight="1" thickBot="1">
      <c r="B53" s="197" t="s">
        <v>9</v>
      </c>
      <c r="C53" s="198" t="s">
        <v>41</v>
      </c>
      <c r="D53" s="308">
        <v>552.37</v>
      </c>
      <c r="E53" s="329">
        <v>591.12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10163379.75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10163379.75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10163379.75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10163379.75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Arkusz75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36"/>
      <c r="C4" s="136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170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65896.22</v>
      </c>
      <c r="E11" s="377">
        <v>66869.320000000007</v>
      </c>
    </row>
    <row r="12" spans="2:12">
      <c r="B12" s="182" t="s">
        <v>4</v>
      </c>
      <c r="C12" s="183" t="s">
        <v>5</v>
      </c>
      <c r="D12" s="378">
        <v>65896.22</v>
      </c>
      <c r="E12" s="379">
        <v>66869.320000000007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65896.22</v>
      </c>
      <c r="E21" s="389">
        <v>66869.320000000007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67237.53</v>
      </c>
      <c r="E26" s="391">
        <f>D21</f>
        <v>65896.22</v>
      </c>
      <c r="G26" s="75"/>
    </row>
    <row r="27" spans="2:11">
      <c r="B27" s="9" t="s">
        <v>17</v>
      </c>
      <c r="C27" s="10" t="s">
        <v>108</v>
      </c>
      <c r="D27" s="392">
        <v>-517.18000000000006</v>
      </c>
      <c r="E27" s="365">
        <v>-546.8900000000001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/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517.18000000000006</v>
      </c>
      <c r="E32" s="366">
        <v>546.8900000000001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5.07</v>
      </c>
      <c r="E35" s="367">
        <v>18.580000000000002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512.11</v>
      </c>
      <c r="E37" s="367">
        <v>528.31000000000006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-3929.21</v>
      </c>
      <c r="E40" s="396">
        <v>1519.99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62791.140000000007</v>
      </c>
      <c r="E41" s="389">
        <f>E26+E27+E40</f>
        <v>66869.320000000007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153.59100000000001</v>
      </c>
      <c r="E47" s="151">
        <v>151.1</v>
      </c>
      <c r="G47" s="73"/>
    </row>
    <row r="48" spans="2:10">
      <c r="B48" s="195" t="s">
        <v>6</v>
      </c>
      <c r="C48" s="196" t="s">
        <v>41</v>
      </c>
      <c r="D48" s="310">
        <v>152.36500000000001</v>
      </c>
      <c r="E48" s="151">
        <v>149.864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437.77</v>
      </c>
      <c r="E50" s="151">
        <v>436.11</v>
      </c>
      <c r="G50" s="181"/>
    </row>
    <row r="51" spans="2:7">
      <c r="B51" s="193" t="s">
        <v>6</v>
      </c>
      <c r="C51" s="194" t="s">
        <v>111</v>
      </c>
      <c r="D51" s="310">
        <v>411.66</v>
      </c>
      <c r="E51" s="151">
        <v>435.77</v>
      </c>
      <c r="G51" s="181"/>
    </row>
    <row r="52" spans="2:7">
      <c r="B52" s="193" t="s">
        <v>8</v>
      </c>
      <c r="C52" s="194" t="s">
        <v>112</v>
      </c>
      <c r="D52" s="310">
        <v>438.75</v>
      </c>
      <c r="E52" s="151">
        <v>447.71</v>
      </c>
    </row>
    <row r="53" spans="2:7" ht="13.5" customHeight="1" thickBot="1">
      <c r="B53" s="197" t="s">
        <v>9</v>
      </c>
      <c r="C53" s="198" t="s">
        <v>41</v>
      </c>
      <c r="D53" s="308">
        <v>412.11</v>
      </c>
      <c r="E53" s="267">
        <v>446.2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66869.320000000007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66869.320000000007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66869.320000000007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66869.320000000007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Arkusz76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3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171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92534.67</v>
      </c>
      <c r="E11" s="377">
        <v>107921.01</v>
      </c>
    </row>
    <row r="12" spans="2:12">
      <c r="B12" s="182" t="s">
        <v>4</v>
      </c>
      <c r="C12" s="183" t="s">
        <v>5</v>
      </c>
      <c r="D12" s="378">
        <v>92534.67</v>
      </c>
      <c r="E12" s="379">
        <v>107921.01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92534.67</v>
      </c>
      <c r="E21" s="389">
        <v>107921.01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151619.93</v>
      </c>
      <c r="E26" s="391">
        <f>D21</f>
        <v>92534.67</v>
      </c>
      <c r="G26" s="75"/>
    </row>
    <row r="27" spans="2:11">
      <c r="B27" s="9" t="s">
        <v>17</v>
      </c>
      <c r="C27" s="10" t="s">
        <v>108</v>
      </c>
      <c r="D27" s="392">
        <v>-25262.410000000003</v>
      </c>
      <c r="E27" s="365">
        <v>-337.61000000000013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4763.55</v>
      </c>
      <c r="E28" s="366">
        <v>2929.42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3472.73</v>
      </c>
      <c r="E29" s="367">
        <v>2929.42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1290.8200000000002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30025.960000000003</v>
      </c>
      <c r="E32" s="366">
        <v>3267.03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28544.99</v>
      </c>
      <c r="E33" s="367">
        <v>2439.0700000000002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333.90000000000003</v>
      </c>
      <c r="E35" s="367">
        <v>182.43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1058.57</v>
      </c>
      <c r="E37" s="367">
        <v>645.25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88.5</v>
      </c>
      <c r="E39" s="368">
        <v>0.28000000000000003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-36629.480000000003</v>
      </c>
      <c r="E40" s="396">
        <v>15723.95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89728.039999999979</v>
      </c>
      <c r="E41" s="389">
        <f>E26+E27+E40</f>
        <v>107921.01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381.40499999999997</v>
      </c>
      <c r="E47" s="151">
        <v>296.61399999999998</v>
      </c>
      <c r="G47" s="275"/>
      <c r="H47" s="154"/>
    </row>
    <row r="48" spans="2:10">
      <c r="B48" s="195" t="s">
        <v>6</v>
      </c>
      <c r="C48" s="196" t="s">
        <v>41</v>
      </c>
      <c r="D48" s="310">
        <v>297.41800000000001</v>
      </c>
      <c r="E48" s="151">
        <v>295.82799999999997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397.53</v>
      </c>
      <c r="E50" s="151">
        <v>311.97000000000003</v>
      </c>
      <c r="G50" s="181"/>
    </row>
    <row r="51" spans="2:7">
      <c r="B51" s="193" t="s">
        <v>6</v>
      </c>
      <c r="C51" s="194" t="s">
        <v>111</v>
      </c>
      <c r="D51" s="310">
        <v>298.95</v>
      </c>
      <c r="E51" s="151">
        <v>311.97000000000003</v>
      </c>
      <c r="G51" s="181"/>
    </row>
    <row r="52" spans="2:7">
      <c r="B52" s="193" t="s">
        <v>8</v>
      </c>
      <c r="C52" s="194" t="s">
        <v>112</v>
      </c>
      <c r="D52" s="310">
        <v>403.48</v>
      </c>
      <c r="E52" s="151">
        <v>364.81</v>
      </c>
    </row>
    <row r="53" spans="2:7" ht="13.5" customHeight="1" thickBot="1">
      <c r="B53" s="197" t="s">
        <v>9</v>
      </c>
      <c r="C53" s="198" t="s">
        <v>41</v>
      </c>
      <c r="D53" s="308">
        <v>301.69</v>
      </c>
      <c r="E53" s="267">
        <v>364.81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107921.01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107921.01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107921.01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107921.01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Arkusz77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5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36"/>
      <c r="C4" s="136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172</v>
      </c>
      <c r="C6" s="458"/>
      <c r="D6" s="458"/>
      <c r="E6" s="458"/>
    </row>
    <row r="7" spans="2:12" ht="14.25">
      <c r="B7" s="135"/>
      <c r="C7" s="135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7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410869.54</v>
      </c>
      <c r="E11" s="377">
        <v>443428.6</v>
      </c>
    </row>
    <row r="12" spans="2:12">
      <c r="B12" s="182" t="s">
        <v>4</v>
      </c>
      <c r="C12" s="183" t="s">
        <v>5</v>
      </c>
      <c r="D12" s="378">
        <v>410869.54</v>
      </c>
      <c r="E12" s="379">
        <v>443428.6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410869.54</v>
      </c>
      <c r="E21" s="389">
        <v>443428.6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  <c r="K22" s="68"/>
    </row>
    <row r="23" spans="2:11" ht="13.5">
      <c r="B23" s="460" t="s">
        <v>101</v>
      </c>
      <c r="C23" s="470"/>
      <c r="D23" s="470"/>
      <c r="E23" s="470"/>
      <c r="G23" s="162"/>
    </row>
    <row r="24" spans="2:11" ht="15.75" customHeight="1" thickBot="1">
      <c r="B24" s="459" t="s">
        <v>102</v>
      </c>
      <c r="C24" s="471"/>
      <c r="D24" s="471"/>
      <c r="E24" s="471"/>
      <c r="G24" s="73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449585.2</v>
      </c>
      <c r="E26" s="391">
        <f>D21</f>
        <v>410869.54</v>
      </c>
      <c r="G26" s="75"/>
    </row>
    <row r="27" spans="2:11">
      <c r="B27" s="9" t="s">
        <v>17</v>
      </c>
      <c r="C27" s="10" t="s">
        <v>108</v>
      </c>
      <c r="D27" s="392">
        <v>-3594.8199999999997</v>
      </c>
      <c r="E27" s="365">
        <v>-8444.68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4025.42</v>
      </c>
      <c r="E28" s="366">
        <v>2974.9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3153.77</v>
      </c>
      <c r="E29" s="367">
        <v>2974.9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871.65000000000009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7620.24</v>
      </c>
      <c r="E32" s="366">
        <v>11419.58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2877.8</v>
      </c>
      <c r="E33" s="367">
        <v>7301.34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571.03</v>
      </c>
      <c r="E35" s="367">
        <v>565.66999999999996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3465.03</v>
      </c>
      <c r="E37" s="367">
        <v>3552.39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706.38</v>
      </c>
      <c r="E39" s="368">
        <v>0.18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-49414.15</v>
      </c>
      <c r="E40" s="396">
        <v>41003.740000000005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396576.23</v>
      </c>
      <c r="E41" s="389">
        <f>E26+E27+E40</f>
        <v>443428.6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1568.9590000000001</v>
      </c>
      <c r="E47" s="151">
        <v>1559.2180000000001</v>
      </c>
      <c r="G47" s="73"/>
      <c r="H47" s="161"/>
    </row>
    <row r="48" spans="2:10">
      <c r="B48" s="195" t="s">
        <v>6</v>
      </c>
      <c r="C48" s="196" t="s">
        <v>41</v>
      </c>
      <c r="D48" s="310">
        <v>1554.9570000000001</v>
      </c>
      <c r="E48" s="151">
        <v>1528.3789999999999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286.55</v>
      </c>
      <c r="E50" s="151">
        <v>263.51</v>
      </c>
      <c r="G50" s="181"/>
    </row>
    <row r="51" spans="2:7">
      <c r="B51" s="193" t="s">
        <v>6</v>
      </c>
      <c r="C51" s="194" t="s">
        <v>111</v>
      </c>
      <c r="D51" s="310">
        <v>244.84</v>
      </c>
      <c r="E51" s="151">
        <v>263.51</v>
      </c>
      <c r="G51" s="181"/>
    </row>
    <row r="52" spans="2:7">
      <c r="B52" s="193" t="s">
        <v>8</v>
      </c>
      <c r="C52" s="194" t="s">
        <v>112</v>
      </c>
      <c r="D52" s="310">
        <v>288.66000000000003</v>
      </c>
      <c r="E52" s="151">
        <v>290.13</v>
      </c>
    </row>
    <row r="53" spans="2:7" ht="14.25" customHeight="1" thickBot="1">
      <c r="B53" s="197" t="s">
        <v>9</v>
      </c>
      <c r="C53" s="198" t="s">
        <v>41</v>
      </c>
      <c r="D53" s="308">
        <v>255.04</v>
      </c>
      <c r="E53" s="267">
        <v>290.13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443428.6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443428.6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443428.6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443428.6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L81"/>
  <sheetViews>
    <sheetView topLeftCell="A4"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7.5703125" customWidth="1"/>
    <col min="12" max="12" width="13.1406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86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  <c r="I10" s="73"/>
    </row>
    <row r="11" spans="2:12">
      <c r="B11" s="92" t="s">
        <v>3</v>
      </c>
      <c r="C11" s="204" t="s">
        <v>106</v>
      </c>
      <c r="D11" s="376">
        <v>58192321.609999999</v>
      </c>
      <c r="E11" s="377">
        <f>SUM(E12:E14)</f>
        <v>66756991.810000002</v>
      </c>
      <c r="I11" s="73"/>
    </row>
    <row r="12" spans="2:12">
      <c r="B12" s="182" t="s">
        <v>4</v>
      </c>
      <c r="C12" s="240" t="s">
        <v>5</v>
      </c>
      <c r="D12" s="378">
        <v>58154295.960000001</v>
      </c>
      <c r="E12" s="379">
        <f>66782705.28+60458.86-105620.65</f>
        <v>66737543.490000002</v>
      </c>
      <c r="G12" s="73"/>
      <c r="I12" s="73"/>
    </row>
    <row r="13" spans="2:12">
      <c r="B13" s="182" t="s">
        <v>6</v>
      </c>
      <c r="C13" s="240" t="s">
        <v>7</v>
      </c>
      <c r="D13" s="380">
        <v>3145.89</v>
      </c>
      <c r="E13" s="381">
        <v>0</v>
      </c>
      <c r="I13" s="73"/>
    </row>
    <row r="14" spans="2:12">
      <c r="B14" s="182" t="s">
        <v>8</v>
      </c>
      <c r="C14" s="240" t="s">
        <v>10</v>
      </c>
      <c r="D14" s="380">
        <v>34879.760000000002</v>
      </c>
      <c r="E14" s="381">
        <f>E15</f>
        <v>19448.32</v>
      </c>
      <c r="G14" s="73"/>
      <c r="I14" s="73"/>
    </row>
    <row r="15" spans="2:12">
      <c r="B15" s="182" t="s">
        <v>103</v>
      </c>
      <c r="C15" s="240" t="s">
        <v>11</v>
      </c>
      <c r="D15" s="380">
        <v>34879.760000000002</v>
      </c>
      <c r="E15" s="381">
        <v>19448.32</v>
      </c>
      <c r="I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177746.89</v>
      </c>
      <c r="E17" s="385">
        <f>E18</f>
        <v>149611</v>
      </c>
    </row>
    <row r="18" spans="2:11">
      <c r="B18" s="182" t="s">
        <v>4</v>
      </c>
      <c r="C18" s="240" t="s">
        <v>11</v>
      </c>
      <c r="D18" s="382">
        <v>177746.89</v>
      </c>
      <c r="E18" s="383">
        <v>149611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58014574.719999999</v>
      </c>
      <c r="E21" s="389">
        <f>E11-E17</f>
        <v>66607380.810000002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5.75">
      <c r="B23" s="460"/>
      <c r="C23" s="470"/>
      <c r="D23" s="470"/>
      <c r="E23" s="470"/>
      <c r="G23" s="73"/>
      <c r="K23" s="181"/>
    </row>
    <row r="24" spans="2:11" ht="17.2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76168686.020000011</v>
      </c>
      <c r="E26" s="391">
        <f>D21</f>
        <v>58014574.719999999</v>
      </c>
      <c r="G26" s="75"/>
    </row>
    <row r="27" spans="2:11">
      <c r="B27" s="9" t="s">
        <v>17</v>
      </c>
      <c r="C27" s="10" t="s">
        <v>108</v>
      </c>
      <c r="D27" s="392">
        <v>329008.6799999997</v>
      </c>
      <c r="E27" s="365">
        <v>-3370274.3600000013</v>
      </c>
      <c r="F27" s="73"/>
      <c r="G27" s="155"/>
      <c r="H27" s="243"/>
      <c r="I27" s="243"/>
      <c r="J27" s="216"/>
    </row>
    <row r="28" spans="2:11">
      <c r="B28" s="9" t="s">
        <v>18</v>
      </c>
      <c r="C28" s="10" t="s">
        <v>19</v>
      </c>
      <c r="D28" s="392">
        <v>7329800.79</v>
      </c>
      <c r="E28" s="366">
        <v>4221019.71</v>
      </c>
      <c r="F28" s="73"/>
      <c r="G28" s="155"/>
      <c r="H28" s="243"/>
      <c r="I28" s="243"/>
      <c r="J28" s="216"/>
    </row>
    <row r="29" spans="2:11">
      <c r="B29" s="190" t="s">
        <v>4</v>
      </c>
      <c r="C29" s="183" t="s">
        <v>20</v>
      </c>
      <c r="D29" s="393">
        <v>4161979.87</v>
      </c>
      <c r="E29" s="367">
        <v>3647608.77</v>
      </c>
      <c r="F29" s="73"/>
      <c r="G29" s="155"/>
      <c r="H29" s="243"/>
      <c r="I29" s="243"/>
      <c r="J29" s="216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1">
      <c r="B31" s="190" t="s">
        <v>8</v>
      </c>
      <c r="C31" s="183" t="s">
        <v>22</v>
      </c>
      <c r="D31" s="393">
        <v>3167820.92</v>
      </c>
      <c r="E31" s="367">
        <v>573410.94000000006</v>
      </c>
      <c r="F31" s="73"/>
      <c r="G31" s="155"/>
      <c r="H31" s="243"/>
      <c r="I31" s="243"/>
      <c r="J31" s="216"/>
    </row>
    <row r="32" spans="2:11">
      <c r="B32" s="94" t="s">
        <v>23</v>
      </c>
      <c r="C32" s="11" t="s">
        <v>24</v>
      </c>
      <c r="D32" s="392">
        <v>7000792.1100000003</v>
      </c>
      <c r="E32" s="366">
        <v>7591294.0700000012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3195908.22</v>
      </c>
      <c r="E33" s="367">
        <v>6820432.9800000004</v>
      </c>
      <c r="F33" s="73"/>
      <c r="G33" s="155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46568.840000000004</v>
      </c>
      <c r="E34" s="367">
        <v>133849.5</v>
      </c>
      <c r="F34" s="73"/>
      <c r="G34" s="155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599764.97</v>
      </c>
      <c r="E35" s="367">
        <v>585075.69000000006</v>
      </c>
      <c r="F35" s="73"/>
      <c r="G35" s="155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3158550.08</v>
      </c>
      <c r="E39" s="368">
        <v>51935.9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-23007378.859999999</v>
      </c>
      <c r="E40" s="396">
        <v>11963080.449999999</v>
      </c>
      <c r="G40" s="155"/>
      <c r="H40" s="181"/>
      <c r="I40" s="181"/>
      <c r="J40" s="181"/>
    </row>
    <row r="41" spans="2:10" ht="13.5" thickBot="1">
      <c r="B41" s="101" t="s">
        <v>37</v>
      </c>
      <c r="C41" s="102" t="s">
        <v>38</v>
      </c>
      <c r="D41" s="397">
        <v>53490315.840000018</v>
      </c>
      <c r="E41" s="389">
        <f>E26+E27+E40</f>
        <v>66607380.810000002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3777786.9552000002</v>
      </c>
      <c r="E47" s="283">
        <v>3807678.2612000001</v>
      </c>
      <c r="G47" s="202"/>
    </row>
    <row r="48" spans="2:10">
      <c r="B48" s="195" t="s">
        <v>6</v>
      </c>
      <c r="C48" s="196" t="s">
        <v>41</v>
      </c>
      <c r="D48" s="310">
        <v>3776032.1338999998</v>
      </c>
      <c r="E48" s="327">
        <v>3606959.0433999998</v>
      </c>
      <c r="G48" s="253"/>
      <c r="H48" s="253"/>
      <c r="J48" s="161"/>
    </row>
    <row r="49" spans="2:7">
      <c r="B49" s="122" t="s">
        <v>23</v>
      </c>
      <c r="C49" s="126" t="s">
        <v>110</v>
      </c>
      <c r="D49" s="311"/>
      <c r="E49" s="283"/>
    </row>
    <row r="50" spans="2:7">
      <c r="B50" s="193" t="s">
        <v>4</v>
      </c>
      <c r="C50" s="194" t="s">
        <v>40</v>
      </c>
      <c r="D50" s="310">
        <v>20.162199999999999</v>
      </c>
      <c r="E50" s="283">
        <v>15.2362</v>
      </c>
      <c r="G50" s="217"/>
    </row>
    <row r="51" spans="2:7">
      <c r="B51" s="193" t="s">
        <v>6</v>
      </c>
      <c r="C51" s="194" t="s">
        <v>111</v>
      </c>
      <c r="D51" s="310">
        <v>13.5603</v>
      </c>
      <c r="E51" s="283">
        <v>15.2362</v>
      </c>
      <c r="G51" s="181"/>
    </row>
    <row r="52" spans="2:7">
      <c r="B52" s="193" t="s">
        <v>8</v>
      </c>
      <c r="C52" s="194" t="s">
        <v>112</v>
      </c>
      <c r="D52" s="310">
        <v>20.5578</v>
      </c>
      <c r="E52" s="283">
        <v>18.4664</v>
      </c>
    </row>
    <row r="53" spans="2:7" ht="13.5" thickBot="1">
      <c r="B53" s="197" t="s">
        <v>9</v>
      </c>
      <c r="C53" s="198" t="s">
        <v>41</v>
      </c>
      <c r="D53" s="308">
        <v>14.165700000000001</v>
      </c>
      <c r="E53" s="267">
        <v>18.4664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8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66737543.490000002</v>
      </c>
      <c r="E58" s="31">
        <f>D58/E21</f>
        <v>1.001954178026776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155">
        <f>E12-60458.86</f>
        <v>66677084.630000003</v>
      </c>
      <c r="E64" s="82">
        <f>D64/E21</f>
        <v>1.0010464879290004</v>
      </c>
      <c r="G64" s="73"/>
    </row>
    <row r="65" spans="2:5">
      <c r="B65" s="285" t="s">
        <v>33</v>
      </c>
      <c r="C65" s="196" t="s">
        <v>115</v>
      </c>
      <c r="D65" s="81">
        <v>0</v>
      </c>
      <c r="E65" s="82">
        <v>0</v>
      </c>
    </row>
    <row r="66" spans="2:5">
      <c r="B66" s="285" t="s">
        <v>50</v>
      </c>
      <c r="C66" s="196" t="s">
        <v>51</v>
      </c>
      <c r="D66" s="81">
        <v>0</v>
      </c>
      <c r="E66" s="82">
        <v>0</v>
      </c>
    </row>
    <row r="67" spans="2:5">
      <c r="B67" s="286" t="s">
        <v>52</v>
      </c>
      <c r="C67" s="194" t="s">
        <v>53</v>
      </c>
      <c r="D67" s="79">
        <v>0</v>
      </c>
      <c r="E67" s="80">
        <v>0</v>
      </c>
    </row>
    <row r="68" spans="2:5">
      <c r="B68" s="286" t="s">
        <v>54</v>
      </c>
      <c r="C68" s="194" t="s">
        <v>55</v>
      </c>
      <c r="D68" s="79">
        <v>0</v>
      </c>
      <c r="E68" s="80">
        <v>0</v>
      </c>
    </row>
    <row r="69" spans="2:5">
      <c r="B69" s="286" t="s">
        <v>56</v>
      </c>
      <c r="C69" s="194" t="s">
        <v>57</v>
      </c>
      <c r="D69" s="309">
        <v>60458.86</v>
      </c>
      <c r="E69" s="80">
        <f>D69/E21</f>
        <v>9.0769009777551702E-4</v>
      </c>
    </row>
    <row r="70" spans="2:5">
      <c r="B70" s="287" t="s">
        <v>58</v>
      </c>
      <c r="C70" s="235" t="s">
        <v>59</v>
      </c>
      <c r="D70" s="116">
        <v>0</v>
      </c>
      <c r="E70" s="117">
        <v>0</v>
      </c>
    </row>
    <row r="71" spans="2:5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18" t="s">
        <v>60</v>
      </c>
      <c r="C72" s="119" t="s">
        <v>63</v>
      </c>
      <c r="D72" s="120">
        <f>E14</f>
        <v>19448.32</v>
      </c>
      <c r="E72" s="121">
        <f>D72/E21</f>
        <v>2.9198445823109371E-4</v>
      </c>
    </row>
    <row r="73" spans="2:5">
      <c r="B73" s="23" t="s">
        <v>62</v>
      </c>
      <c r="C73" s="24" t="s">
        <v>65</v>
      </c>
      <c r="D73" s="25">
        <f>E17</f>
        <v>149611</v>
      </c>
      <c r="E73" s="26">
        <f>D73/E21</f>
        <v>2.2461624850070427E-3</v>
      </c>
    </row>
    <row r="74" spans="2:5">
      <c r="B74" s="122" t="s">
        <v>64</v>
      </c>
      <c r="C74" s="123" t="s">
        <v>66</v>
      </c>
      <c r="D74" s="124">
        <f>D58+D71+D72-D73</f>
        <v>66607380.810000002</v>
      </c>
      <c r="E74" s="67">
        <f>E58+E71+E72-E73</f>
        <v>1.0000000000000002</v>
      </c>
    </row>
    <row r="75" spans="2:5">
      <c r="B75" s="286" t="s">
        <v>4</v>
      </c>
      <c r="C75" s="194" t="s">
        <v>67</v>
      </c>
      <c r="D75" s="79">
        <f>D74</f>
        <v>66607380.810000002</v>
      </c>
      <c r="E75" s="80">
        <f>E74</f>
        <v>1.0000000000000002</v>
      </c>
    </row>
    <row r="76" spans="2:5">
      <c r="B76" s="286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Arkusz7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42578125" customWidth="1"/>
    <col min="9" max="9" width="13.28515625" customWidth="1"/>
    <col min="10" max="10" width="13.5703125" customWidth="1"/>
    <col min="11" max="11" width="13.1406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220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172325.31</v>
      </c>
      <c r="E11" s="377">
        <v>171022.49</v>
      </c>
    </row>
    <row r="12" spans="2:12">
      <c r="B12" s="182" t="s">
        <v>4</v>
      </c>
      <c r="C12" s="183" t="s">
        <v>5</v>
      </c>
      <c r="D12" s="378">
        <v>172325.31</v>
      </c>
      <c r="E12" s="379">
        <v>171022.49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172325.31</v>
      </c>
      <c r="E21" s="389">
        <v>171022.49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221893.01</v>
      </c>
      <c r="E26" s="391">
        <f>D21</f>
        <v>172325.31</v>
      </c>
      <c r="G26" s="75"/>
    </row>
    <row r="27" spans="2:11">
      <c r="B27" s="9" t="s">
        <v>17</v>
      </c>
      <c r="C27" s="10" t="s">
        <v>108</v>
      </c>
      <c r="D27" s="392">
        <v>-34912.68</v>
      </c>
      <c r="E27" s="365">
        <v>-12525.699999999999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11664.960000000001</v>
      </c>
      <c r="E28" s="366">
        <v>7547.01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9975.9600000000009</v>
      </c>
      <c r="E29" s="367">
        <v>7547.01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1689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46577.64</v>
      </c>
      <c r="E32" s="366">
        <v>20072.71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39138.980000000003</v>
      </c>
      <c r="E33" s="367">
        <v>18344.07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1379.42</v>
      </c>
      <c r="E35" s="367">
        <v>778.03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1375.13</v>
      </c>
      <c r="E37" s="367">
        <v>947.21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4684.1099999999997</v>
      </c>
      <c r="E39" s="368">
        <v>3.4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-3129.77</v>
      </c>
      <c r="E40" s="396">
        <v>11222.880000000001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183850.56000000003</v>
      </c>
      <c r="E41" s="389">
        <f>E26+E27+E40</f>
        <v>171022.49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6"/>
      <c r="D43" s="466"/>
      <c r="E43" s="466"/>
      <c r="G43" s="73"/>
      <c r="H43" s="237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9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790.35799999999995</v>
      </c>
      <c r="E47" s="151">
        <v>606.52300000000002</v>
      </c>
      <c r="G47" s="73"/>
      <c r="H47" s="161"/>
    </row>
    <row r="48" spans="2:10">
      <c r="B48" s="125" t="s">
        <v>6</v>
      </c>
      <c r="C48" s="22" t="s">
        <v>41</v>
      </c>
      <c r="D48" s="310">
        <v>664.22400000000005</v>
      </c>
      <c r="E48" s="151">
        <v>564.16999999999996</v>
      </c>
      <c r="G48" s="16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280.75</v>
      </c>
      <c r="E50" s="151">
        <v>284.12</v>
      </c>
      <c r="G50" s="181"/>
    </row>
    <row r="51" spans="2:7">
      <c r="B51" s="104" t="s">
        <v>6</v>
      </c>
      <c r="C51" s="15" t="s">
        <v>111</v>
      </c>
      <c r="D51" s="310">
        <v>275.74</v>
      </c>
      <c r="E51" s="151">
        <v>284.12</v>
      </c>
      <c r="G51" s="181"/>
    </row>
    <row r="52" spans="2:7">
      <c r="B52" s="104" t="s">
        <v>8</v>
      </c>
      <c r="C52" s="15" t="s">
        <v>112</v>
      </c>
      <c r="D52" s="310">
        <v>282.49</v>
      </c>
      <c r="E52" s="151">
        <v>303.14</v>
      </c>
    </row>
    <row r="53" spans="2:7" ht="13.5" customHeight="1" thickBot="1">
      <c r="B53" s="105" t="s">
        <v>9</v>
      </c>
      <c r="C53" s="17" t="s">
        <v>41</v>
      </c>
      <c r="D53" s="308">
        <v>276.79000000000002</v>
      </c>
      <c r="E53" s="267">
        <v>303.14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171022.49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171022.49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171022.49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171022.49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Arkusz79"/>
  <dimension ref="A1:L81"/>
  <sheetViews>
    <sheetView topLeftCell="B1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425781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  <c r="H5" s="162"/>
      <c r="I5" s="162"/>
      <c r="J5" s="162"/>
    </row>
    <row r="6" spans="2:12" ht="14.25">
      <c r="B6" s="458" t="s">
        <v>232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48832.7</v>
      </c>
      <c r="E11" s="377">
        <v>47737.69</v>
      </c>
    </row>
    <row r="12" spans="2:12">
      <c r="B12" s="182" t="s">
        <v>4</v>
      </c>
      <c r="C12" s="183" t="s">
        <v>5</v>
      </c>
      <c r="D12" s="378">
        <v>48832.7</v>
      </c>
      <c r="E12" s="379">
        <v>47737.69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48832.7</v>
      </c>
      <c r="E21" s="389">
        <v>47737.69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22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89019.76</v>
      </c>
      <c r="E26" s="391">
        <f>D21</f>
        <v>48832.7</v>
      </c>
      <c r="G26" s="75"/>
    </row>
    <row r="27" spans="2:11">
      <c r="B27" s="9" t="s">
        <v>17</v>
      </c>
      <c r="C27" s="10" t="s">
        <v>108</v>
      </c>
      <c r="D27" s="392">
        <v>-8159.8000000000011</v>
      </c>
      <c r="E27" s="365">
        <v>-1475.05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2827.82</v>
      </c>
      <c r="E28" s="366">
        <v>733.26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1940.21</v>
      </c>
      <c r="E29" s="367">
        <v>732.03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887.61</v>
      </c>
      <c r="E31" s="367">
        <v>1.23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10987.62</v>
      </c>
      <c r="E32" s="366">
        <v>2208.31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10464.15</v>
      </c>
      <c r="E33" s="367">
        <v>1821.5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50.34</v>
      </c>
      <c r="E35" s="367">
        <v>30.84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473.13</v>
      </c>
      <c r="E37" s="367">
        <v>355.97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-23160.959999999999</v>
      </c>
      <c r="E40" s="396">
        <v>380.03999999999996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57698.999999999993</v>
      </c>
      <c r="E41" s="389">
        <f>E26+E27+E40</f>
        <v>47737.689999999995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345.185</v>
      </c>
      <c r="E47" s="151">
        <v>249.12100000000001</v>
      </c>
      <c r="G47" s="73"/>
      <c r="H47" s="161"/>
    </row>
    <row r="48" spans="2:10">
      <c r="B48" s="195" t="s">
        <v>6</v>
      </c>
      <c r="C48" s="196" t="s">
        <v>41</v>
      </c>
      <c r="D48" s="310">
        <v>301.14299999999997</v>
      </c>
      <c r="E48" s="151">
        <v>241.82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257.89</v>
      </c>
      <c r="E50" s="151">
        <v>196.02</v>
      </c>
      <c r="G50" s="181"/>
    </row>
    <row r="51" spans="2:7">
      <c r="B51" s="193" t="s">
        <v>6</v>
      </c>
      <c r="C51" s="194" t="s">
        <v>111</v>
      </c>
      <c r="D51" s="310">
        <v>182.85</v>
      </c>
      <c r="E51" s="151">
        <v>188.86</v>
      </c>
      <c r="G51" s="181"/>
    </row>
    <row r="52" spans="2:7">
      <c r="B52" s="193" t="s">
        <v>8</v>
      </c>
      <c r="C52" s="194" t="s">
        <v>112</v>
      </c>
      <c r="D52" s="310">
        <v>258.54000000000002</v>
      </c>
      <c r="E52" s="151">
        <v>206.48</v>
      </c>
    </row>
    <row r="53" spans="2:7" ht="13.5" thickBot="1">
      <c r="B53" s="197" t="s">
        <v>9</v>
      </c>
      <c r="C53" s="198" t="s">
        <v>41</v>
      </c>
      <c r="D53" s="308">
        <v>191.6</v>
      </c>
      <c r="E53" s="267">
        <v>197.41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47737.69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24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47737.69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47737.69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47737.69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Arkusz80"/>
  <dimension ref="A1:L81"/>
  <sheetViews>
    <sheetView zoomScale="80" zoomScaleNormal="80" workbookViewId="0">
      <selection activeCell="G1" sqref="G1:N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2.28515625" customWidth="1"/>
    <col min="9" max="9" width="13.28515625" customWidth="1"/>
    <col min="10" max="10" width="13.5703125" customWidth="1"/>
    <col min="11" max="11" width="17.1406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77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20229614.890000001</v>
      </c>
      <c r="E11" s="377">
        <v>20597118.449999999</v>
      </c>
    </row>
    <row r="12" spans="2:12">
      <c r="B12" s="182" t="s">
        <v>4</v>
      </c>
      <c r="C12" s="183" t="s">
        <v>5</v>
      </c>
      <c r="D12" s="378">
        <v>20229614.890000001</v>
      </c>
      <c r="E12" s="379">
        <v>20597118.449999999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20229614.890000001</v>
      </c>
      <c r="E21" s="389">
        <v>20597118.449999999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18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25879762.219999999</v>
      </c>
      <c r="E26" s="391">
        <f>D21</f>
        <v>20229614.890000001</v>
      </c>
      <c r="G26" s="75"/>
      <c r="H26" s="237"/>
    </row>
    <row r="27" spans="2:11">
      <c r="B27" s="9" t="s">
        <v>17</v>
      </c>
      <c r="C27" s="10" t="s">
        <v>108</v>
      </c>
      <c r="D27" s="392">
        <v>-1456346.77</v>
      </c>
      <c r="E27" s="365">
        <v>-1403590.65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794358.31</v>
      </c>
      <c r="E28" s="366">
        <v>655944.94000000006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794358.31</v>
      </c>
      <c r="E29" s="367">
        <v>655944.94000000006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2250705.08</v>
      </c>
      <c r="E32" s="366">
        <v>2059535.59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2214335.21</v>
      </c>
      <c r="E33" s="367">
        <v>2023128.3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36369.870000000003</v>
      </c>
      <c r="E34" s="367">
        <v>36407.29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-2114422.29</v>
      </c>
      <c r="E40" s="396">
        <v>1771094.21</v>
      </c>
      <c r="G40" s="75"/>
      <c r="H40" s="258"/>
    </row>
    <row r="41" spans="2:10" ht="13.5" thickBot="1">
      <c r="B41" s="101" t="s">
        <v>37</v>
      </c>
      <c r="C41" s="102" t="s">
        <v>38</v>
      </c>
      <c r="D41" s="397">
        <v>22308993.16</v>
      </c>
      <c r="E41" s="389">
        <f>E26+E27+E40</f>
        <v>20597118.450000003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9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1204432.5301000001</v>
      </c>
      <c r="E47" s="151">
        <v>1084860.7239999999</v>
      </c>
      <c r="G47" s="73"/>
    </row>
    <row r="48" spans="2:10">
      <c r="B48" s="125" t="s">
        <v>6</v>
      </c>
      <c r="C48" s="22" t="s">
        <v>41</v>
      </c>
      <c r="D48" s="310">
        <v>1134769.1022000001</v>
      </c>
      <c r="E48" s="151">
        <v>1013039.4672</v>
      </c>
      <c r="G48" s="16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21.487100000000002</v>
      </c>
      <c r="E50" s="151">
        <v>18.647200000000002</v>
      </c>
      <c r="G50" s="181"/>
    </row>
    <row r="51" spans="2:7">
      <c r="B51" s="104" t="s">
        <v>6</v>
      </c>
      <c r="C51" s="15" t="s">
        <v>111</v>
      </c>
      <c r="D51" s="310">
        <v>19.369600000000002</v>
      </c>
      <c r="E51" s="151">
        <v>18.607099999999999</v>
      </c>
      <c r="G51" s="181"/>
    </row>
    <row r="52" spans="2:7">
      <c r="B52" s="104" t="s">
        <v>8</v>
      </c>
      <c r="C52" s="15" t="s">
        <v>112</v>
      </c>
      <c r="D52" s="310">
        <v>22.6599</v>
      </c>
      <c r="E52" s="151">
        <v>20.652999999999999</v>
      </c>
    </row>
    <row r="53" spans="2:7" ht="13.5" customHeight="1" thickBot="1">
      <c r="B53" s="105" t="s">
        <v>9</v>
      </c>
      <c r="C53" s="17" t="s">
        <v>41</v>
      </c>
      <c r="D53" s="308">
        <v>19.659500000000001</v>
      </c>
      <c r="E53" s="267">
        <v>20.332000000000001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D70</f>
        <v>20597118.449999999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f>E12</f>
        <v>20597118.449999999</v>
      </c>
      <c r="E70" s="117">
        <f>D70/E21</f>
        <v>1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20597118.449999999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20597118.449999999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Arkusz84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4.28515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78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18593372.379999999</v>
      </c>
      <c r="E11" s="377">
        <f>E12</f>
        <v>19488939.57</v>
      </c>
    </row>
    <row r="12" spans="2:12">
      <c r="B12" s="182" t="s">
        <v>4</v>
      </c>
      <c r="C12" s="183" t="s">
        <v>5</v>
      </c>
      <c r="D12" s="378">
        <v>18593372.379999999</v>
      </c>
      <c r="E12" s="379">
        <f>19489029.25-89.68</f>
        <v>19488939.57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18593372.379999999</v>
      </c>
      <c r="E21" s="389">
        <f>E11</f>
        <v>19488939.57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180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24167409.27</v>
      </c>
      <c r="E26" s="391">
        <f>D21</f>
        <v>18593372.379999999</v>
      </c>
      <c r="G26" s="75"/>
      <c r="H26" s="237"/>
    </row>
    <row r="27" spans="2:11">
      <c r="B27" s="9" t="s">
        <v>17</v>
      </c>
      <c r="C27" s="10" t="s">
        <v>108</v>
      </c>
      <c r="D27" s="392">
        <v>-1574146.3599999999</v>
      </c>
      <c r="E27" s="365">
        <v>-1003889.26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753838.89</v>
      </c>
      <c r="E28" s="366">
        <v>621542.84000000008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734853.42</v>
      </c>
      <c r="E29" s="367">
        <v>621542.80000000005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18985.47</v>
      </c>
      <c r="E31" s="367">
        <v>0.04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2327985.25</v>
      </c>
      <c r="E32" s="366">
        <v>1625432.1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2203117.98</v>
      </c>
      <c r="E33" s="367">
        <v>1533881.1600000001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124867.27</v>
      </c>
      <c r="E34" s="367">
        <v>91542.56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8.3800000000000097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-2201383.34</v>
      </c>
      <c r="E40" s="396">
        <v>1899456.4500000002</v>
      </c>
      <c r="G40" s="75"/>
    </row>
    <row r="41" spans="2:10" ht="13.5" thickBot="1">
      <c r="B41" s="101" t="s">
        <v>37</v>
      </c>
      <c r="C41" s="102" t="s">
        <v>38</v>
      </c>
      <c r="D41" s="397">
        <v>20391879.57</v>
      </c>
      <c r="E41" s="389">
        <f>E26+E27+E40</f>
        <v>19488939.569999997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6"/>
      <c r="D43" s="466"/>
      <c r="E43" s="466"/>
      <c r="G43" s="73"/>
    </row>
    <row r="44" spans="2:10" ht="18" customHeight="1" thickBot="1">
      <c r="B44" s="459" t="s">
        <v>118</v>
      </c>
      <c r="C44" s="467"/>
      <c r="D44" s="467"/>
      <c r="E44" s="467"/>
      <c r="G44" s="73"/>
    </row>
    <row r="45" spans="2:10" ht="13.5" thickBot="1">
      <c r="B45" s="139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04" t="s">
        <v>4</v>
      </c>
      <c r="C47" s="15" t="s">
        <v>40</v>
      </c>
      <c r="D47" s="310">
        <v>998401.61239999998</v>
      </c>
      <c r="E47" s="151">
        <v>903705.16910000006</v>
      </c>
      <c r="G47" s="73"/>
      <c r="H47" s="161"/>
    </row>
    <row r="48" spans="2:10">
      <c r="B48" s="125" t="s">
        <v>6</v>
      </c>
      <c r="C48" s="22" t="s">
        <v>41</v>
      </c>
      <c r="D48" s="310">
        <v>931204.08660000004</v>
      </c>
      <c r="E48" s="151">
        <v>858801.02280000004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04" t="s">
        <v>4</v>
      </c>
      <c r="C50" s="15" t="s">
        <v>40</v>
      </c>
      <c r="D50" s="310">
        <v>24.206099999999999</v>
      </c>
      <c r="E50" s="151">
        <v>20.5746</v>
      </c>
      <c r="G50" s="181"/>
    </row>
    <row r="51" spans="2:7">
      <c r="B51" s="104" t="s">
        <v>6</v>
      </c>
      <c r="C51" s="15" t="s">
        <v>111</v>
      </c>
      <c r="D51" s="310">
        <v>21.5489</v>
      </c>
      <c r="E51" s="151">
        <v>20.505500000000001</v>
      </c>
      <c r="G51" s="181"/>
    </row>
    <row r="52" spans="2:7">
      <c r="B52" s="104" t="s">
        <v>8</v>
      </c>
      <c r="C52" s="15" t="s">
        <v>112</v>
      </c>
      <c r="D52" s="310">
        <v>25.649100000000001</v>
      </c>
      <c r="E52" s="151">
        <v>23.007000000000001</v>
      </c>
    </row>
    <row r="53" spans="2:7" ht="12.75" customHeight="1" thickBot="1">
      <c r="B53" s="105" t="s">
        <v>9</v>
      </c>
      <c r="C53" s="17" t="s">
        <v>41</v>
      </c>
      <c r="D53" s="308">
        <v>21.898399999999999</v>
      </c>
      <c r="E53" s="267">
        <v>22.693300000000001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D70</f>
        <v>19488939.57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f>E12</f>
        <v>19488939.57</v>
      </c>
      <c r="E70" s="117">
        <f>D70/E21</f>
        <v>1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19488939.57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19488939.57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Arkusz85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.85546875" customWidth="1"/>
    <col min="9" max="9" width="13.28515625" customWidth="1"/>
    <col min="10" max="10" width="13.5703125" customWidth="1"/>
    <col min="11" max="11" width="13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79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13599489.5</v>
      </c>
      <c r="E11" s="377">
        <v>14447495.039999999</v>
      </c>
    </row>
    <row r="12" spans="2:12">
      <c r="B12" s="182" t="s">
        <v>4</v>
      </c>
      <c r="C12" s="183" t="s">
        <v>5</v>
      </c>
      <c r="D12" s="378">
        <v>13599489.5</v>
      </c>
      <c r="E12" s="379">
        <v>14447495.039999999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13599489.5</v>
      </c>
      <c r="E21" s="389">
        <v>14447495.039999999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18232401.43</v>
      </c>
      <c r="E26" s="391">
        <f>D21</f>
        <v>13599489.5</v>
      </c>
      <c r="G26" s="75"/>
    </row>
    <row r="27" spans="2:11">
      <c r="B27" s="9" t="s">
        <v>17</v>
      </c>
      <c r="C27" s="10" t="s">
        <v>108</v>
      </c>
      <c r="D27" s="392">
        <v>-765095.12000000011</v>
      </c>
      <c r="E27" s="365">
        <v>-599988.29999999981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563403.21</v>
      </c>
      <c r="E28" s="366">
        <v>462181.01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563403.21</v>
      </c>
      <c r="E29" s="367">
        <v>462181.01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1328498.33</v>
      </c>
      <c r="E32" s="366">
        <v>1062169.3099999998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1275237.3500000001</v>
      </c>
      <c r="E33" s="367">
        <v>1011263.08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18519.400000000001</v>
      </c>
      <c r="E34" s="367">
        <v>50906.22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34741.58</v>
      </c>
      <c r="E39" s="368">
        <v>9.9999997764825821E-3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-1806658.89</v>
      </c>
      <c r="E40" s="396">
        <v>1447993.8399999999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15660647.419999998</v>
      </c>
      <c r="E41" s="389">
        <f>E26+E27+E40</f>
        <v>14447495.039999999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809027.31740000006</v>
      </c>
      <c r="E47" s="151">
        <v>712466.51020000002</v>
      </c>
      <c r="G47" s="73"/>
    </row>
    <row r="48" spans="2:10">
      <c r="B48" s="195" t="s">
        <v>6</v>
      </c>
      <c r="C48" s="196" t="s">
        <v>41</v>
      </c>
      <c r="D48" s="310">
        <v>773117.14370000002</v>
      </c>
      <c r="E48" s="151">
        <v>683869.48080000002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22.536200000000001</v>
      </c>
      <c r="E50" s="151">
        <v>19.087900000000001</v>
      </c>
      <c r="G50" s="181"/>
    </row>
    <row r="51" spans="2:7">
      <c r="B51" s="193" t="s">
        <v>6</v>
      </c>
      <c r="C51" s="194" t="s">
        <v>111</v>
      </c>
      <c r="D51" s="310">
        <v>19.9575</v>
      </c>
      <c r="E51" s="151">
        <v>19.0276</v>
      </c>
      <c r="G51" s="181"/>
    </row>
    <row r="52" spans="2:7">
      <c r="B52" s="193" t="s">
        <v>8</v>
      </c>
      <c r="C52" s="194" t="s">
        <v>112</v>
      </c>
      <c r="D52" s="310">
        <v>23.6052</v>
      </c>
      <c r="E52" s="151">
        <v>21.3506</v>
      </c>
    </row>
    <row r="53" spans="2:7" ht="13.5" customHeight="1" thickBot="1">
      <c r="B53" s="197" t="s">
        <v>9</v>
      </c>
      <c r="C53" s="198" t="s">
        <v>41</v>
      </c>
      <c r="D53" s="308">
        <v>20.256499999999999</v>
      </c>
      <c r="E53" s="267">
        <v>21.126100000000001</v>
      </c>
    </row>
    <row r="54" spans="2:7">
      <c r="B54" s="111"/>
      <c r="C54" s="112"/>
      <c r="D54" s="113"/>
      <c r="E54" s="113"/>
    </row>
    <row r="55" spans="2:7" ht="13.5">
      <c r="B55" s="461" t="s">
        <v>245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D70</f>
        <v>14447495.039999999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f>E12</f>
        <v>14447495.039999999</v>
      </c>
      <c r="E70" s="117">
        <f>D70/E21</f>
        <v>1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14447495.039999999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14447495.039999999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Arkusz86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85546875" customWidth="1"/>
    <col min="9" max="9" width="13.28515625" customWidth="1"/>
    <col min="10" max="10" width="13.5703125" customWidth="1"/>
    <col min="11" max="11" width="16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80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16727443.810000001</v>
      </c>
      <c r="E11" s="377">
        <v>18574107.879999999</v>
      </c>
    </row>
    <row r="12" spans="2:12">
      <c r="B12" s="182" t="s">
        <v>4</v>
      </c>
      <c r="C12" s="183" t="s">
        <v>5</v>
      </c>
      <c r="D12" s="378">
        <v>16727443.810000001</v>
      </c>
      <c r="E12" s="379">
        <v>18574107.879999999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16727443.810000001</v>
      </c>
      <c r="E21" s="389">
        <v>18574107.879999999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164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22337013.109999999</v>
      </c>
      <c r="E26" s="391">
        <f>D21</f>
        <v>16727443.810000001</v>
      </c>
      <c r="G26" s="75"/>
    </row>
    <row r="27" spans="2:11">
      <c r="B27" s="9" t="s">
        <v>17</v>
      </c>
      <c r="C27" s="10" t="s">
        <v>108</v>
      </c>
      <c r="D27" s="392">
        <v>-795506.25</v>
      </c>
      <c r="E27" s="365">
        <v>-57363.199999999953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687427.55</v>
      </c>
      <c r="E28" s="366">
        <v>586802.04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687427.55</v>
      </c>
      <c r="E29" s="367">
        <v>586802.04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1482933.8</v>
      </c>
      <c r="E32" s="366">
        <v>644165.24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1418165.44</v>
      </c>
      <c r="E33" s="367">
        <v>644165.23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64768.36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-2226984.48</v>
      </c>
      <c r="E40" s="396">
        <v>1904027.27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19314522.379999999</v>
      </c>
      <c r="E41" s="389">
        <f>E26+E27+E40</f>
        <v>18574107.880000003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421">
        <v>943035.1348</v>
      </c>
      <c r="E47" s="151">
        <v>838480.97030000004</v>
      </c>
      <c r="G47" s="73"/>
    </row>
    <row r="48" spans="2:10">
      <c r="B48" s="195" t="s">
        <v>6</v>
      </c>
      <c r="C48" s="196" t="s">
        <v>41</v>
      </c>
      <c r="D48" s="421">
        <v>908281.83459999994</v>
      </c>
      <c r="E48" s="151">
        <v>835993.69350000005</v>
      </c>
      <c r="G48" s="161"/>
    </row>
    <row r="49" spans="2:7">
      <c r="B49" s="122" t="s">
        <v>23</v>
      </c>
      <c r="C49" s="126" t="s">
        <v>110</v>
      </c>
      <c r="D49" s="422"/>
      <c r="E49" s="151"/>
    </row>
    <row r="50" spans="2:7">
      <c r="B50" s="193" t="s">
        <v>4</v>
      </c>
      <c r="C50" s="194" t="s">
        <v>40</v>
      </c>
      <c r="D50" s="421">
        <v>23.686299999999999</v>
      </c>
      <c r="E50" s="151">
        <v>19.9497</v>
      </c>
      <c r="G50" s="181"/>
    </row>
    <row r="51" spans="2:7">
      <c r="B51" s="193" t="s">
        <v>6</v>
      </c>
      <c r="C51" s="194" t="s">
        <v>111</v>
      </c>
      <c r="D51" s="421">
        <v>20.948600000000003</v>
      </c>
      <c r="E51" s="151">
        <v>19.9497</v>
      </c>
      <c r="G51" s="181"/>
    </row>
    <row r="52" spans="2:7">
      <c r="B52" s="193" t="s">
        <v>8</v>
      </c>
      <c r="C52" s="194" t="s">
        <v>112</v>
      </c>
      <c r="D52" s="421">
        <v>24.944500000000001</v>
      </c>
      <c r="E52" s="151">
        <v>22.526900000000001</v>
      </c>
    </row>
    <row r="53" spans="2:7" ht="13.5" customHeight="1" thickBot="1">
      <c r="B53" s="197" t="s">
        <v>9</v>
      </c>
      <c r="C53" s="198" t="s">
        <v>41</v>
      </c>
      <c r="D53" s="423">
        <v>21.264900000000001</v>
      </c>
      <c r="E53" s="267">
        <v>22.218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D70</f>
        <v>18574107.879999999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f>E12</f>
        <v>18574107.879999999</v>
      </c>
      <c r="E70" s="117">
        <f>D70/E21</f>
        <v>1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18574107.879999999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v>0</v>
      </c>
      <c r="E75" s="80">
        <v>0</v>
      </c>
    </row>
    <row r="76" spans="2:5">
      <c r="B76" s="104" t="s">
        <v>6</v>
      </c>
      <c r="C76" s="15" t="s">
        <v>116</v>
      </c>
      <c r="D76" s="79">
        <f>D74</f>
        <v>18574107.879999999</v>
      </c>
      <c r="E76" s="80">
        <f>E74</f>
        <v>1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Arkusz87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7.140625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247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1069783.58</v>
      </c>
      <c r="E11" s="377">
        <v>1223991.75</v>
      </c>
    </row>
    <row r="12" spans="2:12">
      <c r="B12" s="182" t="s">
        <v>4</v>
      </c>
      <c r="C12" s="183" t="s">
        <v>5</v>
      </c>
      <c r="D12" s="378">
        <v>1069783.58</v>
      </c>
      <c r="E12" s="379">
        <v>1223991.75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1069783.58</v>
      </c>
      <c r="E21" s="389">
        <v>1223991.75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1359304.74</v>
      </c>
      <c r="E26" s="391">
        <f>D21</f>
        <v>1069783.58</v>
      </c>
      <c r="G26" s="75"/>
    </row>
    <row r="27" spans="2:11">
      <c r="B27" s="9" t="s">
        <v>17</v>
      </c>
      <c r="C27" s="10" t="s">
        <v>108</v>
      </c>
      <c r="D27" s="392">
        <v>8381.1500000000015</v>
      </c>
      <c r="E27" s="365">
        <v>-26485.18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45939.93</v>
      </c>
      <c r="E28" s="366">
        <v>14123.94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13581.7</v>
      </c>
      <c r="E29" s="367">
        <v>14123.94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32358.23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37558.78</v>
      </c>
      <c r="E32" s="366">
        <v>40609.120000000003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20994.79</v>
      </c>
      <c r="E33" s="367">
        <v>28038.83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669.76</v>
      </c>
      <c r="E35" s="367">
        <v>3341.48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9246.25</v>
      </c>
      <c r="E37" s="367">
        <v>9228.8000000000011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6647.9800000000005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-292527.61</v>
      </c>
      <c r="E40" s="396">
        <v>180693.35</v>
      </c>
      <c r="G40" s="75"/>
      <c r="H40" s="258"/>
    </row>
    <row r="41" spans="2:10" ht="13.5" thickBot="1">
      <c r="B41" s="101" t="s">
        <v>37</v>
      </c>
      <c r="C41" s="102" t="s">
        <v>38</v>
      </c>
      <c r="D41" s="397">
        <v>1075158.2799999998</v>
      </c>
      <c r="E41" s="389">
        <f>E26+E27+E40</f>
        <v>1223991.75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3450.449912</v>
      </c>
      <c r="E47" s="151">
        <v>3230.31549</v>
      </c>
      <c r="G47" s="73"/>
      <c r="H47" s="161"/>
    </row>
    <row r="48" spans="2:10">
      <c r="B48" s="195" t="s">
        <v>6</v>
      </c>
      <c r="C48" s="196" t="s">
        <v>41</v>
      </c>
      <c r="D48" s="310">
        <v>3474.19227</v>
      </c>
      <c r="E48" s="151">
        <v>3160.40112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393.95</v>
      </c>
      <c r="E50" s="151">
        <v>331.17</v>
      </c>
      <c r="G50" s="181"/>
    </row>
    <row r="51" spans="2:7">
      <c r="B51" s="193" t="s">
        <v>6</v>
      </c>
      <c r="C51" s="194" t="s">
        <v>111</v>
      </c>
      <c r="D51" s="310">
        <v>303.09000000000003</v>
      </c>
      <c r="E51" s="151">
        <v>326.24</v>
      </c>
      <c r="G51" s="181"/>
    </row>
    <row r="52" spans="2:7">
      <c r="B52" s="193" t="s">
        <v>8</v>
      </c>
      <c r="C52" s="194" t="s">
        <v>112</v>
      </c>
      <c r="D52" s="310">
        <v>414.44</v>
      </c>
      <c r="E52" s="151">
        <v>390.12</v>
      </c>
    </row>
    <row r="53" spans="2:7" ht="13.5" customHeight="1" thickBot="1">
      <c r="B53" s="197" t="s">
        <v>9</v>
      </c>
      <c r="C53" s="198" t="s">
        <v>41</v>
      </c>
      <c r="D53" s="308">
        <v>309.47000000000003</v>
      </c>
      <c r="E53" s="267">
        <v>387.29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1223991.75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1223991.75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1223991.75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1223991.75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Arkusz88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2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248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710585.52</v>
      </c>
      <c r="E11" s="377">
        <v>771791.71</v>
      </c>
    </row>
    <row r="12" spans="2:12">
      <c r="B12" s="182" t="s">
        <v>4</v>
      </c>
      <c r="C12" s="183" t="s">
        <v>5</v>
      </c>
      <c r="D12" s="378">
        <v>710585.52</v>
      </c>
      <c r="E12" s="379">
        <v>771791.71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710585.52</v>
      </c>
      <c r="E21" s="389">
        <v>771791.71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881398.23</v>
      </c>
      <c r="E26" s="391">
        <f>D21</f>
        <v>710585.52</v>
      </c>
      <c r="G26" s="75"/>
    </row>
    <row r="27" spans="2:11">
      <c r="B27" s="9" t="s">
        <v>17</v>
      </c>
      <c r="C27" s="10" t="s">
        <v>108</v>
      </c>
      <c r="D27" s="392">
        <v>-124779.07999999999</v>
      </c>
      <c r="E27" s="365">
        <v>2525.7799999999988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20034.349999999999</v>
      </c>
      <c r="E28" s="366">
        <v>16577.87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15911.01</v>
      </c>
      <c r="E29" s="367">
        <v>8670.99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4123.34</v>
      </c>
      <c r="E31" s="367">
        <v>7906.88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144813.43</v>
      </c>
      <c r="E32" s="366">
        <v>14052.09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135812.74</v>
      </c>
      <c r="E33" s="367">
        <v>2932.77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2643.98</v>
      </c>
      <c r="E35" s="367">
        <v>2824.54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5764.6900000000005</v>
      </c>
      <c r="E37" s="367">
        <v>5593.03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592.02</v>
      </c>
      <c r="E39" s="368">
        <v>2701.75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-67823.73</v>
      </c>
      <c r="E40" s="396">
        <v>58680.41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688795.42</v>
      </c>
      <c r="E41" s="389">
        <f>E26+E27+E40</f>
        <v>771791.71000000008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2685.5521910000002</v>
      </c>
      <c r="E47" s="151">
        <v>2270.7491199999999</v>
      </c>
      <c r="G47" s="73"/>
    </row>
    <row r="48" spans="2:10">
      <c r="B48" s="195" t="s">
        <v>6</v>
      </c>
      <c r="C48" s="196" t="s">
        <v>41</v>
      </c>
      <c r="D48" s="310">
        <v>2302.5854800000002</v>
      </c>
      <c r="E48" s="151">
        <v>2277.6795299999999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328.2</v>
      </c>
      <c r="E50" s="151">
        <v>312.93</v>
      </c>
      <c r="G50" s="181"/>
    </row>
    <row r="51" spans="2:7">
      <c r="B51" s="193" t="s">
        <v>6</v>
      </c>
      <c r="C51" s="194" t="s">
        <v>111</v>
      </c>
      <c r="D51" s="310">
        <v>285.98</v>
      </c>
      <c r="E51" s="151">
        <v>312.93</v>
      </c>
      <c r="G51" s="181"/>
    </row>
    <row r="52" spans="2:7">
      <c r="B52" s="193" t="s">
        <v>8</v>
      </c>
      <c r="C52" s="194" t="s">
        <v>112</v>
      </c>
      <c r="D52" s="310">
        <v>332.42</v>
      </c>
      <c r="E52" s="151">
        <v>338.85</v>
      </c>
    </row>
    <row r="53" spans="2:7" ht="12.75" customHeight="1" thickBot="1">
      <c r="B53" s="197" t="s">
        <v>9</v>
      </c>
      <c r="C53" s="198" t="s">
        <v>41</v>
      </c>
      <c r="D53" s="308">
        <v>299.14</v>
      </c>
      <c r="E53" s="267">
        <v>338.85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771791.71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771791.71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771791.71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771791.71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Arkusz89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3.1406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249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3406.56</v>
      </c>
      <c r="E11" s="377">
        <v>3580.33</v>
      </c>
    </row>
    <row r="12" spans="2:12">
      <c r="B12" s="182" t="s">
        <v>4</v>
      </c>
      <c r="C12" s="183" t="s">
        <v>5</v>
      </c>
      <c r="D12" s="378">
        <v>3406.56</v>
      </c>
      <c r="E12" s="379">
        <v>3580.33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3406.56</v>
      </c>
      <c r="E21" s="389">
        <v>3580.33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5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  <c r="G24" s="73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  <c r="G25" s="73"/>
    </row>
    <row r="26" spans="2:11">
      <c r="B26" s="97" t="s">
        <v>15</v>
      </c>
      <c r="C26" s="98" t="s">
        <v>16</v>
      </c>
      <c r="D26" s="390">
        <v>7698.95</v>
      </c>
      <c r="E26" s="391">
        <f>D21</f>
        <v>3406.56</v>
      </c>
      <c r="G26" s="73"/>
    </row>
    <row r="27" spans="2:11">
      <c r="B27" s="9" t="s">
        <v>17</v>
      </c>
      <c r="C27" s="10" t="s">
        <v>108</v>
      </c>
      <c r="D27" s="392">
        <v>-970.17000000000007</v>
      </c>
      <c r="E27" s="365">
        <v>-363.66999999999996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3700.33</v>
      </c>
      <c r="E28" s="366">
        <v>197.24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192.18</v>
      </c>
      <c r="E29" s="367">
        <v>160.35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3508.15</v>
      </c>
      <c r="E31" s="367">
        <v>36.89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4670.5</v>
      </c>
      <c r="E32" s="366">
        <v>560.91</v>
      </c>
      <c r="F32" s="73"/>
      <c r="G32" s="73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4620.92</v>
      </c>
      <c r="E33" s="367">
        <v>512.53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11.31</v>
      </c>
      <c r="E35" s="367">
        <v>11.26</v>
      </c>
      <c r="F35" s="73"/>
      <c r="G35" s="7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38.270000000000003</v>
      </c>
      <c r="E37" s="367">
        <v>37.11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-2147.23</v>
      </c>
      <c r="E40" s="396">
        <v>537.44000000000005</v>
      </c>
      <c r="G40" s="75"/>
    </row>
    <row r="41" spans="2:10" ht="13.5" thickBot="1">
      <c r="B41" s="101" t="s">
        <v>37</v>
      </c>
      <c r="C41" s="102" t="s">
        <v>38</v>
      </c>
      <c r="D41" s="397">
        <v>4581.5499999999993</v>
      </c>
      <c r="E41" s="389">
        <f>E26+E27+E40</f>
        <v>3580.33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38.899284999999999</v>
      </c>
      <c r="E47" s="151">
        <v>20.644590000000001</v>
      </c>
      <c r="G47" s="73"/>
      <c r="H47" s="161"/>
    </row>
    <row r="48" spans="2:10">
      <c r="B48" s="195" t="s">
        <v>6</v>
      </c>
      <c r="C48" s="196" t="s">
        <v>41</v>
      </c>
      <c r="D48" s="310">
        <v>30.74662</v>
      </c>
      <c r="E48" s="151">
        <v>18.230709999999998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197.92</v>
      </c>
      <c r="E50" s="151">
        <v>165.01</v>
      </c>
      <c r="G50" s="181"/>
    </row>
    <row r="51" spans="2:7">
      <c r="B51" s="193" t="s">
        <v>6</v>
      </c>
      <c r="C51" s="194" t="s">
        <v>111</v>
      </c>
      <c r="D51" s="310">
        <v>145</v>
      </c>
      <c r="E51" s="151">
        <v>164.91</v>
      </c>
      <c r="G51" s="181"/>
    </row>
    <row r="52" spans="2:7">
      <c r="B52" s="193" t="s">
        <v>8</v>
      </c>
      <c r="C52" s="194" t="s">
        <v>112</v>
      </c>
      <c r="D52" s="310">
        <v>206.17000000000002</v>
      </c>
      <c r="E52" s="151">
        <v>197.42</v>
      </c>
    </row>
    <row r="53" spans="2:7" ht="13.5" customHeight="1" thickBot="1">
      <c r="B53" s="197" t="s">
        <v>9</v>
      </c>
      <c r="C53" s="198" t="s">
        <v>41</v>
      </c>
      <c r="D53" s="308">
        <v>149.01</v>
      </c>
      <c r="E53" s="267">
        <v>196.39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3580.33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3580.33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3580.33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3580.33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Arkusz90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250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20069.48</v>
      </c>
      <c r="E11" s="377">
        <v>22748.22</v>
      </c>
    </row>
    <row r="12" spans="2:12">
      <c r="B12" s="182" t="s">
        <v>4</v>
      </c>
      <c r="C12" s="183" t="s">
        <v>5</v>
      </c>
      <c r="D12" s="378">
        <v>20069.48</v>
      </c>
      <c r="E12" s="379">
        <v>22748.22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20069.48</v>
      </c>
      <c r="E21" s="389">
        <v>22748.22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5.75">
      <c r="B23" s="460"/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23820.28</v>
      </c>
      <c r="E26" s="234">
        <f>D21</f>
        <v>20069.48</v>
      </c>
      <c r="G26" s="75"/>
    </row>
    <row r="27" spans="2:11">
      <c r="B27" s="9" t="s">
        <v>17</v>
      </c>
      <c r="C27" s="10" t="s">
        <v>108</v>
      </c>
      <c r="D27" s="392">
        <v>-106.57000000000001</v>
      </c>
      <c r="E27" s="365">
        <v>-840.9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106.57000000000001</v>
      </c>
      <c r="E32" s="366">
        <v>840.9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662.89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12.96</v>
      </c>
      <c r="E35" s="367">
        <v>24.97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93.61</v>
      </c>
      <c r="E37" s="367">
        <v>153.04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-3731.26</v>
      </c>
      <c r="E40" s="396">
        <v>3519.64</v>
      </c>
      <c r="G40" s="75"/>
      <c r="H40" s="258"/>
    </row>
    <row r="41" spans="2:10" ht="13.5" thickBot="1">
      <c r="B41" s="101" t="s">
        <v>37</v>
      </c>
      <c r="C41" s="102" t="s">
        <v>38</v>
      </c>
      <c r="D41" s="306">
        <v>19982.449999999997</v>
      </c>
      <c r="E41" s="150">
        <f>E26+E27+E40</f>
        <v>22748.219999999998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81.11242</v>
      </c>
      <c r="E47" s="151">
        <v>79.834059999999994</v>
      </c>
      <c r="G47" s="73"/>
    </row>
    <row r="48" spans="2:10">
      <c r="B48" s="195" t="s">
        <v>6</v>
      </c>
      <c r="C48" s="196" t="s">
        <v>41</v>
      </c>
      <c r="D48" s="310">
        <v>80.707840000000004</v>
      </c>
      <c r="E48" s="151">
        <v>76.73545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293.67</v>
      </c>
      <c r="E50" s="151">
        <v>251.39</v>
      </c>
      <c r="G50" s="181"/>
    </row>
    <row r="51" spans="2:7">
      <c r="B51" s="193" t="s">
        <v>6</v>
      </c>
      <c r="C51" s="194" t="s">
        <v>111</v>
      </c>
      <c r="D51" s="310">
        <v>240.86</v>
      </c>
      <c r="E51" s="151">
        <v>251.39</v>
      </c>
      <c r="G51" s="181"/>
    </row>
    <row r="52" spans="2:7">
      <c r="B52" s="193" t="s">
        <v>8</v>
      </c>
      <c r="C52" s="194" t="s">
        <v>112</v>
      </c>
      <c r="D52" s="310">
        <v>307.45</v>
      </c>
      <c r="E52" s="151">
        <v>296.45</v>
      </c>
    </row>
    <row r="53" spans="2:7" ht="14.25" customHeight="1" thickBot="1">
      <c r="B53" s="197" t="s">
        <v>9</v>
      </c>
      <c r="C53" s="198" t="s">
        <v>41</v>
      </c>
      <c r="D53" s="308">
        <v>247.59</v>
      </c>
      <c r="E53" s="267">
        <v>296.45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22748.22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22748.22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22748.22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22748.22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7109375" customWidth="1"/>
    <col min="9" max="9" width="13.28515625" customWidth="1"/>
    <col min="10" max="10" width="14.140625" customWidth="1"/>
    <col min="11" max="11" width="15.85546875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  <c r="I4" s="73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96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238"/>
      <c r="C10" s="222" t="s">
        <v>2</v>
      </c>
      <c r="D10" s="274" t="s">
        <v>236</v>
      </c>
      <c r="E10" s="246" t="s">
        <v>242</v>
      </c>
      <c r="G10" s="73"/>
      <c r="I10" s="73"/>
    </row>
    <row r="11" spans="2:12">
      <c r="B11" s="92" t="s">
        <v>3</v>
      </c>
      <c r="C11" s="204" t="s">
        <v>106</v>
      </c>
      <c r="D11" s="376">
        <v>88220569.75</v>
      </c>
      <c r="E11" s="377">
        <f>SUM(E12:E14)</f>
        <v>87248204.920000002</v>
      </c>
      <c r="I11" s="73"/>
    </row>
    <row r="12" spans="2:12">
      <c r="B12" s="182" t="s">
        <v>4</v>
      </c>
      <c r="C12" s="240" t="s">
        <v>5</v>
      </c>
      <c r="D12" s="378">
        <v>87859624.079999998</v>
      </c>
      <c r="E12" s="379">
        <f>87172917.28+301320.38-257010.36</f>
        <v>87217227.299999997</v>
      </c>
      <c r="I12" s="73"/>
    </row>
    <row r="13" spans="2:12">
      <c r="B13" s="182" t="s">
        <v>6</v>
      </c>
      <c r="C13" s="240" t="s">
        <v>7</v>
      </c>
      <c r="D13" s="380">
        <v>289305.27</v>
      </c>
      <c r="E13" s="381">
        <v>0</v>
      </c>
      <c r="I13" s="73"/>
    </row>
    <row r="14" spans="2:12">
      <c r="B14" s="182" t="s">
        <v>8</v>
      </c>
      <c r="C14" s="240" t="s">
        <v>10</v>
      </c>
      <c r="D14" s="380">
        <v>71640.399999999994</v>
      </c>
      <c r="E14" s="381">
        <f>E15</f>
        <v>30977.62</v>
      </c>
      <c r="G14" s="73"/>
      <c r="I14" s="73"/>
    </row>
    <row r="15" spans="2:12">
      <c r="B15" s="182" t="s">
        <v>103</v>
      </c>
      <c r="C15" s="240" t="s">
        <v>11</v>
      </c>
      <c r="D15" s="380">
        <v>71640.399999999994</v>
      </c>
      <c r="E15" s="381">
        <v>30977.62</v>
      </c>
      <c r="I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</row>
    <row r="17" spans="2:11">
      <c r="B17" s="9" t="s">
        <v>13</v>
      </c>
      <c r="C17" s="207" t="s">
        <v>65</v>
      </c>
      <c r="D17" s="384">
        <v>161280.97</v>
      </c>
      <c r="E17" s="385">
        <f>E18</f>
        <v>35820.050000000003</v>
      </c>
    </row>
    <row r="18" spans="2:11">
      <c r="B18" s="182" t="s">
        <v>4</v>
      </c>
      <c r="C18" s="240" t="s">
        <v>11</v>
      </c>
      <c r="D18" s="382">
        <v>161280.97</v>
      </c>
      <c r="E18" s="383">
        <v>35820.050000000003</v>
      </c>
    </row>
    <row r="19" spans="2:11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1" ht="13.5" thickBot="1">
      <c r="B21" s="468" t="s">
        <v>107</v>
      </c>
      <c r="C21" s="469"/>
      <c r="D21" s="388">
        <v>88059288.780000001</v>
      </c>
      <c r="E21" s="389">
        <f>E11-E17</f>
        <v>87212384.870000005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  <c r="K23" s="181"/>
    </row>
    <row r="24" spans="2:11" ht="17.2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85246393.12999998</v>
      </c>
      <c r="E26" s="391">
        <f>D21</f>
        <v>88059288.780000001</v>
      </c>
      <c r="G26" s="75"/>
    </row>
    <row r="27" spans="2:11">
      <c r="B27" s="9" t="s">
        <v>17</v>
      </c>
      <c r="C27" s="10" t="s">
        <v>108</v>
      </c>
      <c r="D27" s="392">
        <v>384320.91999999899</v>
      </c>
      <c r="E27" s="365">
        <v>-4705039.5499999989</v>
      </c>
      <c r="F27" s="73"/>
      <c r="G27" s="155"/>
      <c r="H27" s="243"/>
      <c r="I27" s="243"/>
    </row>
    <row r="28" spans="2:11">
      <c r="B28" s="9" t="s">
        <v>18</v>
      </c>
      <c r="C28" s="10" t="s">
        <v>19</v>
      </c>
      <c r="D28" s="392">
        <v>8170374.3499999996</v>
      </c>
      <c r="E28" s="366">
        <v>7484968.7200000007</v>
      </c>
      <c r="F28" s="73"/>
      <c r="G28" s="155"/>
      <c r="H28" s="243"/>
      <c r="I28" s="243"/>
    </row>
    <row r="29" spans="2:11">
      <c r="B29" s="190" t="s">
        <v>4</v>
      </c>
      <c r="C29" s="183" t="s">
        <v>20</v>
      </c>
      <c r="D29" s="393">
        <v>7233506.4800000004</v>
      </c>
      <c r="E29" s="367">
        <v>6382298.5300000003</v>
      </c>
      <c r="F29" s="73"/>
      <c r="G29" s="155"/>
      <c r="H29" s="243"/>
      <c r="I29" s="243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</row>
    <row r="31" spans="2:11">
      <c r="B31" s="190" t="s">
        <v>8</v>
      </c>
      <c r="C31" s="183" t="s">
        <v>22</v>
      </c>
      <c r="D31" s="393">
        <v>936867.87</v>
      </c>
      <c r="E31" s="367">
        <v>1102670.19</v>
      </c>
      <c r="F31" s="73"/>
      <c r="G31" s="155"/>
      <c r="H31" s="243"/>
      <c r="I31" s="243"/>
    </row>
    <row r="32" spans="2:11">
      <c r="B32" s="94" t="s">
        <v>23</v>
      </c>
      <c r="C32" s="11" t="s">
        <v>24</v>
      </c>
      <c r="D32" s="392">
        <v>7786053.4300000006</v>
      </c>
      <c r="E32" s="366">
        <v>12190008.27</v>
      </c>
      <c r="F32" s="73"/>
      <c r="G32" s="155"/>
      <c r="H32" s="243"/>
      <c r="I32" s="243"/>
    </row>
    <row r="33" spans="2:10">
      <c r="B33" s="190" t="s">
        <v>4</v>
      </c>
      <c r="C33" s="183" t="s">
        <v>25</v>
      </c>
      <c r="D33" s="393">
        <v>5295731.8600000003</v>
      </c>
      <c r="E33" s="367">
        <v>9856199.1500000004</v>
      </c>
      <c r="F33" s="73"/>
      <c r="G33" s="155"/>
      <c r="H33" s="243"/>
      <c r="I33" s="243"/>
    </row>
    <row r="34" spans="2:10">
      <c r="B34" s="190" t="s">
        <v>6</v>
      </c>
      <c r="C34" s="183" t="s">
        <v>26</v>
      </c>
      <c r="D34" s="393">
        <v>1269953.97</v>
      </c>
      <c r="E34" s="367">
        <v>1148891.77</v>
      </c>
      <c r="F34" s="73"/>
      <c r="G34" s="155"/>
      <c r="H34" s="243"/>
      <c r="I34" s="243"/>
    </row>
    <row r="35" spans="2:10">
      <c r="B35" s="190" t="s">
        <v>8</v>
      </c>
      <c r="C35" s="183" t="s">
        <v>27</v>
      </c>
      <c r="D35" s="393">
        <v>796986.07000000007</v>
      </c>
      <c r="E35" s="367">
        <v>817665.96</v>
      </c>
      <c r="F35" s="73"/>
      <c r="G35" s="155"/>
      <c r="H35" s="243"/>
      <c r="I35" s="243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</row>
    <row r="39" spans="2:10">
      <c r="B39" s="191" t="s">
        <v>33</v>
      </c>
      <c r="C39" s="192" t="s">
        <v>34</v>
      </c>
      <c r="D39" s="394">
        <v>423381.53</v>
      </c>
      <c r="E39" s="368">
        <v>367251.39</v>
      </c>
      <c r="F39" s="73"/>
      <c r="G39" s="155"/>
      <c r="H39" s="243"/>
      <c r="I39" s="243"/>
    </row>
    <row r="40" spans="2:10" ht="13.5" thickBot="1">
      <c r="B40" s="99" t="s">
        <v>35</v>
      </c>
      <c r="C40" s="100" t="s">
        <v>36</v>
      </c>
      <c r="D40" s="395">
        <v>-405604.4</v>
      </c>
      <c r="E40" s="396">
        <v>3858135.6399999997</v>
      </c>
      <c r="G40" s="75"/>
    </row>
    <row r="41" spans="2:10" ht="13.5" thickBot="1">
      <c r="B41" s="101" t="s">
        <v>37</v>
      </c>
      <c r="C41" s="102" t="s">
        <v>38</v>
      </c>
      <c r="D41" s="397">
        <v>85225109.649999976</v>
      </c>
      <c r="E41" s="389">
        <f>E26+E27+E40</f>
        <v>87212384.870000005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7626761.6675000004</v>
      </c>
      <c r="E47" s="283">
        <v>7595743.8795999996</v>
      </c>
      <c r="G47" s="201"/>
    </row>
    <row r="48" spans="2:10">
      <c r="B48" s="195" t="s">
        <v>6</v>
      </c>
      <c r="C48" s="196" t="s">
        <v>41</v>
      </c>
      <c r="D48" s="310">
        <v>7660306.3463000003</v>
      </c>
      <c r="E48" s="327">
        <v>7197167.0872</v>
      </c>
      <c r="G48" s="203"/>
      <c r="I48" s="203"/>
      <c r="J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11.177300000000001</v>
      </c>
      <c r="E50" s="282">
        <v>11.5932</v>
      </c>
      <c r="G50" s="217"/>
    </row>
    <row r="51" spans="2:7">
      <c r="B51" s="193" t="s">
        <v>6</v>
      </c>
      <c r="C51" s="194" t="s">
        <v>111</v>
      </c>
      <c r="D51" s="310">
        <v>10.9986</v>
      </c>
      <c r="E51" s="282">
        <v>11.5932</v>
      </c>
      <c r="G51" s="181"/>
    </row>
    <row r="52" spans="2:7" ht="12.75" customHeight="1">
      <c r="B52" s="193" t="s">
        <v>8</v>
      </c>
      <c r="C52" s="194" t="s">
        <v>112</v>
      </c>
      <c r="D52" s="310">
        <v>11.2279</v>
      </c>
      <c r="E52" s="282">
        <v>12.1181</v>
      </c>
    </row>
    <row r="53" spans="2:7" ht="13.5" thickBot="1">
      <c r="B53" s="197" t="s">
        <v>9</v>
      </c>
      <c r="C53" s="198" t="s">
        <v>41</v>
      </c>
      <c r="D53" s="308">
        <v>11.125500000000001</v>
      </c>
      <c r="E53" s="328">
        <v>12.117600000000001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6.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87217227.299999997</v>
      </c>
      <c r="E58" s="31">
        <f>D58/E21</f>
        <v>1.0000555245680669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E12-301320.38</f>
        <v>86915906.920000002</v>
      </c>
      <c r="E64" s="82">
        <f>D64/E21</f>
        <v>0.99660050633356789</v>
      </c>
      <c r="G64" s="73"/>
    </row>
    <row r="65" spans="2:5">
      <c r="B65" s="285" t="s">
        <v>33</v>
      </c>
      <c r="C65" s="196" t="s">
        <v>115</v>
      </c>
      <c r="D65" s="81">
        <v>0</v>
      </c>
      <c r="E65" s="82">
        <v>0</v>
      </c>
    </row>
    <row r="66" spans="2:5">
      <c r="B66" s="285" t="s">
        <v>50</v>
      </c>
      <c r="C66" s="196" t="s">
        <v>51</v>
      </c>
      <c r="D66" s="81">
        <v>0</v>
      </c>
      <c r="E66" s="82">
        <v>0</v>
      </c>
    </row>
    <row r="67" spans="2:5">
      <c r="B67" s="286" t="s">
        <v>52</v>
      </c>
      <c r="C67" s="194" t="s">
        <v>53</v>
      </c>
      <c r="D67" s="79">
        <v>0</v>
      </c>
      <c r="E67" s="80">
        <v>0</v>
      </c>
    </row>
    <row r="68" spans="2:5">
      <c r="B68" s="286" t="s">
        <v>54</v>
      </c>
      <c r="C68" s="194" t="s">
        <v>55</v>
      </c>
      <c r="D68" s="79">
        <v>0</v>
      </c>
      <c r="E68" s="80">
        <v>0</v>
      </c>
    </row>
    <row r="69" spans="2:5">
      <c r="B69" s="286" t="s">
        <v>56</v>
      </c>
      <c r="C69" s="194" t="s">
        <v>57</v>
      </c>
      <c r="D69" s="309">
        <v>301320.38</v>
      </c>
      <c r="E69" s="80">
        <f>D69/E21</f>
        <v>3.4550182344990606E-3</v>
      </c>
    </row>
    <row r="70" spans="2:5">
      <c r="B70" s="287" t="s">
        <v>58</v>
      </c>
      <c r="C70" s="235" t="s">
        <v>59</v>
      </c>
      <c r="D70" s="116">
        <v>0</v>
      </c>
      <c r="E70" s="117">
        <v>0</v>
      </c>
    </row>
    <row r="71" spans="2:5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5">
      <c r="B72" s="118" t="s">
        <v>60</v>
      </c>
      <c r="C72" s="119" t="s">
        <v>63</v>
      </c>
      <c r="D72" s="120">
        <f>E14</f>
        <v>30977.62</v>
      </c>
      <c r="E72" s="121">
        <f>D72/E21</f>
        <v>3.5519748767535335E-4</v>
      </c>
    </row>
    <row r="73" spans="2:5">
      <c r="B73" s="23" t="s">
        <v>62</v>
      </c>
      <c r="C73" s="24" t="s">
        <v>65</v>
      </c>
      <c r="D73" s="25">
        <f>E17</f>
        <v>35820.050000000003</v>
      </c>
      <c r="E73" s="26">
        <f>D73/E21</f>
        <v>4.1072205574235661E-4</v>
      </c>
    </row>
    <row r="74" spans="2:5">
      <c r="B74" s="122" t="s">
        <v>64</v>
      </c>
      <c r="C74" s="123" t="s">
        <v>66</v>
      </c>
      <c r="D74" s="124">
        <f>D58+D71+D72-D73</f>
        <v>87212384.870000005</v>
      </c>
      <c r="E74" s="67">
        <f>E58+E71+E72-E73</f>
        <v>1</v>
      </c>
    </row>
    <row r="75" spans="2:5">
      <c r="B75" s="286" t="s">
        <v>4</v>
      </c>
      <c r="C75" s="194" t="s">
        <v>67</v>
      </c>
      <c r="D75" s="79">
        <f>D74</f>
        <v>87212384.870000005</v>
      </c>
      <c r="E75" s="80">
        <f>E74</f>
        <v>1</v>
      </c>
    </row>
    <row r="76" spans="2:5">
      <c r="B76" s="286" t="s">
        <v>6</v>
      </c>
      <c r="C76" s="194" t="s">
        <v>116</v>
      </c>
      <c r="D76" s="79">
        <v>0</v>
      </c>
      <c r="E76" s="80">
        <v>0</v>
      </c>
    </row>
    <row r="77" spans="2:5" ht="13.5" thickBot="1">
      <c r="B77" s="288" t="s">
        <v>8</v>
      </c>
      <c r="C77" s="198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Arkusz91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0"/>
      <c r="C4" s="140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251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2449964.0099999998</v>
      </c>
      <c r="E11" s="377">
        <v>2365204.1</v>
      </c>
    </row>
    <row r="12" spans="2:12">
      <c r="B12" s="182" t="s">
        <v>4</v>
      </c>
      <c r="C12" s="183" t="s">
        <v>5</v>
      </c>
      <c r="D12" s="378">
        <v>2449964.0099999998</v>
      </c>
      <c r="E12" s="379">
        <v>2365204.1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2449964.0099999998</v>
      </c>
      <c r="E21" s="389">
        <v>2365204.1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3186802.69</v>
      </c>
      <c r="E26" s="391">
        <f>D21</f>
        <v>2449964.0099999998</v>
      </c>
      <c r="G26" s="75"/>
    </row>
    <row r="27" spans="2:11">
      <c r="B27" s="9" t="s">
        <v>17</v>
      </c>
      <c r="C27" s="10" t="s">
        <v>108</v>
      </c>
      <c r="D27" s="392">
        <v>-33132.699999999997</v>
      </c>
      <c r="E27" s="365">
        <v>-325269.83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33132.699999999997</v>
      </c>
      <c r="E32" s="366">
        <v>325269.84000000003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301699.92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8407.0400000000009</v>
      </c>
      <c r="E35" s="367">
        <v>4588.83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24725.66</v>
      </c>
      <c r="E37" s="367">
        <v>18981.09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-281153.03999999998</v>
      </c>
      <c r="E40" s="396">
        <v>240509.91999999998</v>
      </c>
      <c r="G40" s="75"/>
    </row>
    <row r="41" spans="2:10" ht="13.5" thickBot="1">
      <c r="B41" s="101" t="s">
        <v>37</v>
      </c>
      <c r="C41" s="102" t="s">
        <v>38</v>
      </c>
      <c r="D41" s="397">
        <v>2872516.9499999997</v>
      </c>
      <c r="E41" s="389">
        <f>E26+E27+E40</f>
        <v>2365204.0999999996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15349.20861</v>
      </c>
      <c r="E47" s="151">
        <v>11963.299059999999</v>
      </c>
      <c r="G47" s="73"/>
    </row>
    <row r="48" spans="2:10">
      <c r="B48" s="195" t="s">
        <v>6</v>
      </c>
      <c r="C48" s="196" t="s">
        <v>41</v>
      </c>
      <c r="D48" s="310">
        <v>15185.646790000001</v>
      </c>
      <c r="E48" s="151">
        <v>10443.78549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207.62</v>
      </c>
      <c r="E50" s="151">
        <v>204.79</v>
      </c>
      <c r="G50" s="181"/>
    </row>
    <row r="51" spans="2:7">
      <c r="B51" s="193" t="s">
        <v>6</v>
      </c>
      <c r="C51" s="194" t="s">
        <v>111</v>
      </c>
      <c r="D51" s="310">
        <v>186.81</v>
      </c>
      <c r="E51" s="151">
        <v>204.79</v>
      </c>
      <c r="G51" s="181"/>
    </row>
    <row r="52" spans="2:7">
      <c r="B52" s="193" t="s">
        <v>8</v>
      </c>
      <c r="C52" s="194" t="s">
        <v>112</v>
      </c>
      <c r="D52" s="310">
        <v>213.91</v>
      </c>
      <c r="E52" s="151">
        <v>230.88</v>
      </c>
    </row>
    <row r="53" spans="2:7" ht="12.75" customHeight="1" thickBot="1">
      <c r="B53" s="197" t="s">
        <v>9</v>
      </c>
      <c r="C53" s="198" t="s">
        <v>41</v>
      </c>
      <c r="D53" s="308">
        <v>189.16</v>
      </c>
      <c r="E53" s="267">
        <v>226.47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2365204.1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2365204.1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2365204.1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2365204.1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Arkusz92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1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0"/>
      <c r="C4" s="140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252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2832496.55</v>
      </c>
      <c r="E11" s="377">
        <v>2894067.13</v>
      </c>
    </row>
    <row r="12" spans="2:12">
      <c r="B12" s="182" t="s">
        <v>4</v>
      </c>
      <c r="C12" s="183" t="s">
        <v>5</v>
      </c>
      <c r="D12" s="378">
        <v>2832496.55</v>
      </c>
      <c r="E12" s="379">
        <v>2894067.13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2832496.55</v>
      </c>
      <c r="E21" s="389">
        <v>2894067.13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3650897.28</v>
      </c>
      <c r="E26" s="234">
        <f>D21</f>
        <v>2832496.55</v>
      </c>
      <c r="G26" s="75"/>
    </row>
    <row r="27" spans="2:11">
      <c r="B27" s="9" t="s">
        <v>17</v>
      </c>
      <c r="C27" s="10" t="s">
        <v>108</v>
      </c>
      <c r="D27" s="392">
        <v>-49715.090000000011</v>
      </c>
      <c r="E27" s="365">
        <v>-47304.43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100367.77</v>
      </c>
      <c r="E28" s="366">
        <v>0.01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100367.77</v>
      </c>
      <c r="E31" s="367">
        <v>0.01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150082.86000000002</v>
      </c>
      <c r="E32" s="366">
        <v>47304.44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9838.6</v>
      </c>
      <c r="E33" s="367">
        <v>17363.95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99920.17</v>
      </c>
      <c r="E34" s="367">
        <v>550.79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13158.15</v>
      </c>
      <c r="E35" s="367">
        <v>6301.45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27165.940000000002</v>
      </c>
      <c r="E37" s="367">
        <v>23088.25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-549114.29</v>
      </c>
      <c r="E40" s="396">
        <v>108875.01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3052067.9</v>
      </c>
      <c r="E41" s="150">
        <f>E26+E27+E40</f>
        <v>2894067.1299999994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18151.928021</v>
      </c>
      <c r="E47" s="151">
        <v>15543.524950000001</v>
      </c>
      <c r="G47" s="73"/>
    </row>
    <row r="48" spans="2:10">
      <c r="B48" s="195" t="s">
        <v>6</v>
      </c>
      <c r="C48" s="196" t="s">
        <v>41</v>
      </c>
      <c r="D48" s="310">
        <v>17881.813320000001</v>
      </c>
      <c r="E48" s="151">
        <v>15292.29657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201.13</v>
      </c>
      <c r="E50" s="151">
        <v>182.23</v>
      </c>
      <c r="G50" s="181"/>
    </row>
    <row r="51" spans="2:7">
      <c r="B51" s="193" t="s">
        <v>6</v>
      </c>
      <c r="C51" s="194" t="s">
        <v>111</v>
      </c>
      <c r="D51" s="310">
        <v>170.68</v>
      </c>
      <c r="E51" s="151">
        <v>181.33</v>
      </c>
      <c r="G51" s="181"/>
    </row>
    <row r="52" spans="2:7">
      <c r="B52" s="193" t="s">
        <v>8</v>
      </c>
      <c r="C52" s="194" t="s">
        <v>112</v>
      </c>
      <c r="D52" s="310">
        <v>201.13</v>
      </c>
      <c r="E52" s="151">
        <v>191.22</v>
      </c>
    </row>
    <row r="53" spans="2:7" ht="13.5" customHeight="1" thickBot="1">
      <c r="B53" s="197" t="s">
        <v>9</v>
      </c>
      <c r="C53" s="198" t="s">
        <v>41</v>
      </c>
      <c r="D53" s="308">
        <v>170.68</v>
      </c>
      <c r="E53" s="267">
        <v>189.25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2894067.13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2894067.13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2894067.13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2894067.13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Arkusz93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85546875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253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130" t="s">
        <v>106</v>
      </c>
      <c r="D11" s="376">
        <v>2973611.8</v>
      </c>
      <c r="E11" s="377">
        <v>3172073.59</v>
      </c>
    </row>
    <row r="12" spans="2:12">
      <c r="B12" s="182" t="s">
        <v>4</v>
      </c>
      <c r="C12" s="183" t="s">
        <v>5</v>
      </c>
      <c r="D12" s="378">
        <v>2973611.8</v>
      </c>
      <c r="E12" s="379">
        <v>3172073.59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2973611.8</v>
      </c>
      <c r="E21" s="389">
        <v>3172073.59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/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3440587.31</v>
      </c>
      <c r="E26" s="234">
        <f>D21</f>
        <v>2973611.8</v>
      </c>
      <c r="G26" s="75"/>
      <c r="H26" s="237"/>
    </row>
    <row r="27" spans="2:11">
      <c r="B27" s="9" t="s">
        <v>17</v>
      </c>
      <c r="C27" s="10" t="s">
        <v>108</v>
      </c>
      <c r="D27" s="392">
        <v>-201575.52</v>
      </c>
      <c r="E27" s="365">
        <v>-26485.09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201575.52</v>
      </c>
      <c r="E32" s="366">
        <v>26485.1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170961.96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1268.5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898.48</v>
      </c>
      <c r="E35" s="367">
        <v>806.07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26735.06</v>
      </c>
      <c r="E37" s="367">
        <v>24410.53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2980.02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-79910.37</v>
      </c>
      <c r="E40" s="396">
        <v>224946.88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3159101.42</v>
      </c>
      <c r="E41" s="150">
        <f>E26+E27+E40</f>
        <v>3172073.59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11449.54178</v>
      </c>
      <c r="E47" s="151">
        <v>9499.1432299999997</v>
      </c>
      <c r="G47" s="73"/>
      <c r="H47" s="161"/>
    </row>
    <row r="48" spans="2:10">
      <c r="B48" s="195" t="s">
        <v>6</v>
      </c>
      <c r="C48" s="196" t="s">
        <v>41</v>
      </c>
      <c r="D48" s="310">
        <v>10793.704460999999</v>
      </c>
      <c r="E48" s="151">
        <v>9418.2707499999997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300.5</v>
      </c>
      <c r="E50" s="151">
        <v>313.04000000000002</v>
      </c>
      <c r="G50" s="181"/>
    </row>
    <row r="51" spans="2:7">
      <c r="B51" s="193" t="s">
        <v>6</v>
      </c>
      <c r="C51" s="194" t="s">
        <v>111</v>
      </c>
      <c r="D51" s="310">
        <v>286.39</v>
      </c>
      <c r="E51" s="151">
        <v>312.99</v>
      </c>
      <c r="G51" s="181"/>
    </row>
    <row r="52" spans="2:7">
      <c r="B52" s="193" t="s">
        <v>8</v>
      </c>
      <c r="C52" s="194" t="s">
        <v>112</v>
      </c>
      <c r="D52" s="310">
        <v>312.60000000000002</v>
      </c>
      <c r="E52" s="151">
        <v>336.8</v>
      </c>
    </row>
    <row r="53" spans="2:7" ht="13.5" customHeight="1" thickBot="1">
      <c r="B53" s="197" t="s">
        <v>9</v>
      </c>
      <c r="C53" s="198" t="s">
        <v>41</v>
      </c>
      <c r="D53" s="308">
        <v>292.68</v>
      </c>
      <c r="E53" s="267">
        <v>336.8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3172073.59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E12</f>
        <v>3172073.59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2" t="s">
        <v>64</v>
      </c>
      <c r="C74" s="123" t="s">
        <v>66</v>
      </c>
      <c r="D74" s="124">
        <f>D58-D73</f>
        <v>3172073.59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3172073.59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Arkusz94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6" bestFit="1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254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872731.07</v>
      </c>
      <c r="E11" s="377">
        <v>718356.45</v>
      </c>
    </row>
    <row r="12" spans="2:12">
      <c r="B12" s="182" t="s">
        <v>4</v>
      </c>
      <c r="C12" s="183" t="s">
        <v>5</v>
      </c>
      <c r="D12" s="378">
        <v>872731.07</v>
      </c>
      <c r="E12" s="379">
        <v>718356.45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872731.07</v>
      </c>
      <c r="E21" s="389">
        <v>718356.45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164"/>
      <c r="H22" s="162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870489.85</v>
      </c>
      <c r="E26" s="391">
        <f>D21</f>
        <v>872731.07</v>
      </c>
      <c r="G26" s="75"/>
    </row>
    <row r="27" spans="2:11">
      <c r="B27" s="9" t="s">
        <v>17</v>
      </c>
      <c r="C27" s="10" t="s">
        <v>108</v>
      </c>
      <c r="D27" s="392">
        <v>-7691.04</v>
      </c>
      <c r="E27" s="365">
        <v>-288282.79000000004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8.77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8.77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7699.81</v>
      </c>
      <c r="E32" s="366">
        <v>288282.79000000004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282030.33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562.95000000000005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885.24</v>
      </c>
      <c r="E35" s="367">
        <v>564.19000000000005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6814.57</v>
      </c>
      <c r="E37" s="367">
        <v>5125.32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7752.3</v>
      </c>
      <c r="E40" s="396">
        <v>133908.16999999998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870551.11</v>
      </c>
      <c r="E41" s="389">
        <f>E26+E27+E40</f>
        <v>718356.45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3819.2780320000002</v>
      </c>
      <c r="E47" s="151">
        <v>3576.6201099999998</v>
      </c>
      <c r="G47" s="73"/>
      <c r="H47" s="161"/>
    </row>
    <row r="48" spans="2:10">
      <c r="B48" s="195" t="s">
        <v>6</v>
      </c>
      <c r="C48" s="196" t="s">
        <v>41</v>
      </c>
      <c r="D48" s="310">
        <v>3785.82782</v>
      </c>
      <c r="E48" s="151">
        <v>2390.7759599999999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227.92</v>
      </c>
      <c r="E50" s="151">
        <v>244.01</v>
      </c>
      <c r="G50" s="181"/>
    </row>
    <row r="51" spans="2:7">
      <c r="B51" s="193" t="s">
        <v>6</v>
      </c>
      <c r="C51" s="194" t="s">
        <v>111</v>
      </c>
      <c r="D51" s="310">
        <v>209.46</v>
      </c>
      <c r="E51" s="151">
        <v>241.89</v>
      </c>
      <c r="G51" s="181"/>
    </row>
    <row r="52" spans="2:7">
      <c r="B52" s="193" t="s">
        <v>8</v>
      </c>
      <c r="C52" s="194" t="s">
        <v>112</v>
      </c>
      <c r="D52" s="310">
        <v>245.26</v>
      </c>
      <c r="E52" s="151">
        <v>304.02999999999997</v>
      </c>
    </row>
    <row r="53" spans="2:7" ht="12.75" customHeight="1" thickBot="1">
      <c r="B53" s="197" t="s">
        <v>9</v>
      </c>
      <c r="C53" s="198" t="s">
        <v>41</v>
      </c>
      <c r="D53" s="308">
        <v>229.95</v>
      </c>
      <c r="E53" s="267">
        <v>300.47000000000003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718356.45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718356.45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718356.45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718356.45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Arkusz95"/>
  <dimension ref="A1:L81"/>
  <sheetViews>
    <sheetView zoomScale="80" zoomScaleNormal="80" workbookViewId="0">
      <selection activeCell="I40" sqref="I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0"/>
      <c r="C4" s="140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255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227991.5</v>
      </c>
      <c r="E11" s="377">
        <v>0</v>
      </c>
    </row>
    <row r="12" spans="2:12">
      <c r="B12" s="182" t="s">
        <v>4</v>
      </c>
      <c r="C12" s="183" t="s">
        <v>5</v>
      </c>
      <c r="D12" s="378">
        <v>227991.5</v>
      </c>
      <c r="E12" s="379">
        <v>0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227991.5</v>
      </c>
      <c r="E21" s="389">
        <v>0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200642.45</v>
      </c>
      <c r="E26" s="234">
        <f>D21</f>
        <v>227991.5</v>
      </c>
      <c r="G26" s="75"/>
    </row>
    <row r="27" spans="2:11">
      <c r="B27" s="9" t="s">
        <v>17</v>
      </c>
      <c r="C27" s="10" t="s">
        <v>108</v>
      </c>
      <c r="D27" s="392">
        <v>-1926.88</v>
      </c>
      <c r="E27" s="365">
        <v>-207014.23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1926.88</v>
      </c>
      <c r="E32" s="366">
        <v>207014.23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205138.29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1926.88</v>
      </c>
      <c r="E37" s="367">
        <v>1875.94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37230.19</v>
      </c>
      <c r="E40" s="396">
        <v>-20977.27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235945.76</v>
      </c>
      <c r="E41" s="389">
        <f>E26+E27+E40</f>
        <v>0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999.31493</v>
      </c>
      <c r="E47" s="151">
        <v>983.44259999999997</v>
      </c>
      <c r="G47" s="73"/>
    </row>
    <row r="48" spans="2:10">
      <c r="B48" s="195" t="s">
        <v>6</v>
      </c>
      <c r="C48" s="196" t="s">
        <v>41</v>
      </c>
      <c r="D48" s="310">
        <v>991.36875999999995</v>
      </c>
      <c r="E48" s="151">
        <v>0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200.78</v>
      </c>
      <c r="E50" s="151">
        <v>231.83</v>
      </c>
      <c r="G50" s="181"/>
    </row>
    <row r="51" spans="2:7">
      <c r="B51" s="193" t="s">
        <v>6</v>
      </c>
      <c r="C51" s="194" t="s">
        <v>111</v>
      </c>
      <c r="D51" s="310">
        <v>200.78</v>
      </c>
      <c r="E51" s="151">
        <v>204.27</v>
      </c>
      <c r="G51" s="181"/>
    </row>
    <row r="52" spans="2:7">
      <c r="B52" s="193" t="s">
        <v>8</v>
      </c>
      <c r="C52" s="194" t="s">
        <v>112</v>
      </c>
      <c r="D52" s="310">
        <v>275.86</v>
      </c>
      <c r="E52" s="151">
        <v>231.8</v>
      </c>
    </row>
    <row r="53" spans="2:7" ht="13.5" customHeight="1" thickBot="1">
      <c r="B53" s="197" t="s">
        <v>9</v>
      </c>
      <c r="C53" s="198" t="s">
        <v>41</v>
      </c>
      <c r="D53" s="308">
        <v>238</v>
      </c>
      <c r="E53" s="267">
        <v>0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0</v>
      </c>
      <c r="E58" s="31">
        <v>0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0</v>
      </c>
      <c r="E64" s="82">
        <v>0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0</v>
      </c>
      <c r="E74" s="67">
        <f>E58+E72-E73</f>
        <v>0</v>
      </c>
    </row>
    <row r="75" spans="2:5">
      <c r="B75" s="104" t="s">
        <v>4</v>
      </c>
      <c r="C75" s="15" t="s">
        <v>67</v>
      </c>
      <c r="D75" s="79">
        <f>D74</f>
        <v>0</v>
      </c>
      <c r="E75" s="80">
        <f>E74</f>
        <v>0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Arkusz96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0"/>
      <c r="C4" s="140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258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2300523.25</v>
      </c>
      <c r="E11" s="377">
        <v>2454192.6800000002</v>
      </c>
    </row>
    <row r="12" spans="2:12">
      <c r="B12" s="182" t="s">
        <v>4</v>
      </c>
      <c r="C12" s="183" t="s">
        <v>5</v>
      </c>
      <c r="D12" s="378">
        <v>2300523.25</v>
      </c>
      <c r="E12" s="379">
        <v>2454192.6800000002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2300523.25</v>
      </c>
      <c r="E21" s="389">
        <v>2454192.6800000002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2610659.35</v>
      </c>
      <c r="E26" s="391">
        <f>D21</f>
        <v>2300523.25</v>
      </c>
      <c r="G26" s="75"/>
    </row>
    <row r="27" spans="2:11">
      <c r="B27" s="9" t="s">
        <v>17</v>
      </c>
      <c r="C27" s="10" t="s">
        <v>108</v>
      </c>
      <c r="D27" s="392">
        <v>-19940.07</v>
      </c>
      <c r="E27" s="365">
        <v>-19884.46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19940.07</v>
      </c>
      <c r="E32" s="366">
        <v>19884.46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657.39</v>
      </c>
      <c r="E35" s="367">
        <v>779.83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19282.68</v>
      </c>
      <c r="E37" s="367">
        <v>19104.62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-367060.41</v>
      </c>
      <c r="E40" s="396">
        <v>173553.89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2223658.87</v>
      </c>
      <c r="E41" s="389">
        <f>E26+E27+E40</f>
        <v>2454192.6800000002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31340.448410000001</v>
      </c>
      <c r="E47" s="151">
        <v>30821.586960000001</v>
      </c>
      <c r="G47" s="73"/>
    </row>
    <row r="48" spans="2:10">
      <c r="B48" s="195" t="s">
        <v>6</v>
      </c>
      <c r="C48" s="196" t="s">
        <v>41</v>
      </c>
      <c r="D48" s="310">
        <v>31082.735100000002</v>
      </c>
      <c r="E48" s="151">
        <v>30566.604599999999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83.3</v>
      </c>
      <c r="E50" s="151">
        <v>74.64</v>
      </c>
      <c r="G50" s="181"/>
    </row>
    <row r="51" spans="2:7">
      <c r="B51" s="193" t="s">
        <v>6</v>
      </c>
      <c r="C51" s="194" t="s">
        <v>111</v>
      </c>
      <c r="D51" s="310">
        <v>71.239999999999995</v>
      </c>
      <c r="E51" s="151">
        <v>74.59</v>
      </c>
      <c r="G51" s="181"/>
    </row>
    <row r="52" spans="2:7">
      <c r="B52" s="193" t="s">
        <v>8</v>
      </c>
      <c r="C52" s="194" t="s">
        <v>112</v>
      </c>
      <c r="D52" s="310">
        <v>84.51</v>
      </c>
      <c r="E52" s="151">
        <v>80.709999999999994</v>
      </c>
    </row>
    <row r="53" spans="2:7" ht="12.75" customHeight="1" thickBot="1">
      <c r="B53" s="197" t="s">
        <v>9</v>
      </c>
      <c r="C53" s="198" t="s">
        <v>41</v>
      </c>
      <c r="D53" s="308">
        <v>71.540000000000006</v>
      </c>
      <c r="E53" s="267">
        <v>80.290000000000006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2454192.6800000002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2454192.6800000002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2454192.6800000002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2454192.6800000002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Arkusz97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710937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0"/>
      <c r="C4" s="140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256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129334.01</v>
      </c>
      <c r="E11" s="377">
        <v>139345.89000000001</v>
      </c>
    </row>
    <row r="12" spans="2:12">
      <c r="B12" s="182" t="s">
        <v>4</v>
      </c>
      <c r="C12" s="183" t="s">
        <v>5</v>
      </c>
      <c r="D12" s="378">
        <v>129334.01</v>
      </c>
      <c r="E12" s="379">
        <v>139345.89000000001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129334.01</v>
      </c>
      <c r="E21" s="389">
        <v>139345.89000000001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169184.49</v>
      </c>
      <c r="E26" s="391">
        <f>D21</f>
        <v>129334.01</v>
      </c>
      <c r="G26" s="75"/>
    </row>
    <row r="27" spans="2:11">
      <c r="B27" s="9" t="s">
        <v>17</v>
      </c>
      <c r="C27" s="10" t="s">
        <v>108</v>
      </c>
      <c r="D27" s="392">
        <v>-34646.980000000003</v>
      </c>
      <c r="E27" s="365">
        <v>-1064.5999999999999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34646.980000000003</v>
      </c>
      <c r="E32" s="366">
        <v>1064.5999999999999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33317.090000000004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18.73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1311.16</v>
      </c>
      <c r="E37" s="367">
        <v>1064.5999999999999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-13115.41</v>
      </c>
      <c r="E40" s="396">
        <v>11076.48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121422.09999999998</v>
      </c>
      <c r="E41" s="389">
        <f>E26+E27+E40</f>
        <v>139345.88999999998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628.56476999999995</v>
      </c>
      <c r="E47" s="151">
        <v>484.07069999999999</v>
      </c>
      <c r="G47" s="73"/>
    </row>
    <row r="48" spans="2:10">
      <c r="B48" s="195" t="s">
        <v>6</v>
      </c>
      <c r="C48" s="196" t="s">
        <v>41</v>
      </c>
      <c r="D48" s="310">
        <v>487.97210999999999</v>
      </c>
      <c r="E48" s="151">
        <v>480.22154999999998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269.16000000000003</v>
      </c>
      <c r="E50" s="151">
        <v>267.18</v>
      </c>
      <c r="G50" s="181"/>
    </row>
    <row r="51" spans="2:7">
      <c r="B51" s="193" t="s">
        <v>6</v>
      </c>
      <c r="C51" s="194" t="s">
        <v>111</v>
      </c>
      <c r="D51" s="310">
        <v>241.02</v>
      </c>
      <c r="E51" s="151">
        <v>259.39</v>
      </c>
      <c r="G51" s="181"/>
    </row>
    <row r="52" spans="2:7">
      <c r="B52" s="193" t="s">
        <v>8</v>
      </c>
      <c r="C52" s="194" t="s">
        <v>112</v>
      </c>
      <c r="D52" s="310">
        <v>276.76</v>
      </c>
      <c r="E52" s="151">
        <v>290.17</v>
      </c>
    </row>
    <row r="53" spans="2:7" ht="12.75" customHeight="1" thickBot="1">
      <c r="B53" s="197" t="s">
        <v>9</v>
      </c>
      <c r="C53" s="198" t="s">
        <v>41</v>
      </c>
      <c r="D53" s="308">
        <v>248.83</v>
      </c>
      <c r="E53" s="267">
        <v>290.17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139345.89000000001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139345.89000000001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139345.89000000001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139345.89000000001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Arkusz98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0"/>
      <c r="C4" s="140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257</v>
      </c>
      <c r="C6" s="458"/>
      <c r="D6" s="458"/>
      <c r="E6" s="458"/>
    </row>
    <row r="7" spans="2:12" ht="14.25">
      <c r="B7" s="138"/>
      <c r="C7" s="138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39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38814.07</v>
      </c>
      <c r="E11" s="377">
        <v>39164.78</v>
      </c>
    </row>
    <row r="12" spans="2:12">
      <c r="B12" s="182" t="s">
        <v>4</v>
      </c>
      <c r="C12" s="183" t="s">
        <v>5</v>
      </c>
      <c r="D12" s="378">
        <v>38814.07</v>
      </c>
      <c r="E12" s="379">
        <v>39164.78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38814.07</v>
      </c>
      <c r="E21" s="389">
        <v>39164.78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51043.71</v>
      </c>
      <c r="E26" s="234">
        <f>D21</f>
        <v>38814.07</v>
      </c>
      <c r="G26" s="75"/>
    </row>
    <row r="27" spans="2:11">
      <c r="B27" s="9" t="s">
        <v>17</v>
      </c>
      <c r="C27" s="10" t="s">
        <v>108</v>
      </c>
      <c r="D27" s="392">
        <v>-551.47</v>
      </c>
      <c r="E27" s="365">
        <v>-1347.38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/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551.47</v>
      </c>
      <c r="E32" s="366">
        <v>1347.39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915.34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197.43</v>
      </c>
      <c r="E35" s="367">
        <v>143.56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354.04</v>
      </c>
      <c r="E37" s="367">
        <v>288.49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-3245.17</v>
      </c>
      <c r="E40" s="396">
        <v>1698.09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47247.07</v>
      </c>
      <c r="E41" s="150">
        <f>E26+E27+E40</f>
        <v>39164.78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396.20983999999999</v>
      </c>
      <c r="E47" s="151">
        <v>315.40768000000003</v>
      </c>
      <c r="G47" s="73"/>
    </row>
    <row r="48" spans="2:10">
      <c r="B48" s="195" t="s">
        <v>6</v>
      </c>
      <c r="C48" s="196" t="s">
        <v>41</v>
      </c>
      <c r="D48" s="310">
        <v>391.76672000000002</v>
      </c>
      <c r="E48" s="151">
        <v>304.78426000000002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128.83000000000001</v>
      </c>
      <c r="E50" s="151">
        <v>123.06</v>
      </c>
      <c r="G50" s="181"/>
    </row>
    <row r="51" spans="2:7">
      <c r="B51" s="193" t="s">
        <v>6</v>
      </c>
      <c r="C51" s="194" t="s">
        <v>111</v>
      </c>
      <c r="D51" s="310">
        <v>120.38</v>
      </c>
      <c r="E51" s="151">
        <v>123.06</v>
      </c>
      <c r="G51" s="181"/>
    </row>
    <row r="52" spans="2:7">
      <c r="B52" s="193" t="s">
        <v>8</v>
      </c>
      <c r="C52" s="194" t="s">
        <v>112</v>
      </c>
      <c r="D52" s="310">
        <v>128.83000000000001</v>
      </c>
      <c r="E52" s="151">
        <v>128.5</v>
      </c>
    </row>
    <row r="53" spans="2:7" ht="13.5" customHeight="1" thickBot="1">
      <c r="B53" s="197" t="s">
        <v>9</v>
      </c>
      <c r="C53" s="198" t="s">
        <v>41</v>
      </c>
      <c r="D53" s="308">
        <v>120.6</v>
      </c>
      <c r="E53" s="267">
        <v>128.5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39164.78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39164.78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39164.78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39164.78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Arkusz101"/>
  <dimension ref="A1:L81"/>
  <sheetViews>
    <sheetView zoomScale="78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9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173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3651.16</v>
      </c>
      <c r="E11" s="377">
        <f>E12</f>
        <v>4303.0300000000007</v>
      </c>
    </row>
    <row r="12" spans="2:12">
      <c r="B12" s="182" t="s">
        <v>4</v>
      </c>
      <c r="C12" s="183" t="s">
        <v>5</v>
      </c>
      <c r="D12" s="378">
        <v>3651.16</v>
      </c>
      <c r="E12" s="379">
        <f>4331.18-28.15</f>
        <v>4303.0300000000007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3651.16</v>
      </c>
      <c r="E21" s="389">
        <f>E11</f>
        <v>4303.0300000000007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5793.44</v>
      </c>
      <c r="E26" s="391">
        <f>D21</f>
        <v>3651.16</v>
      </c>
      <c r="G26" s="75"/>
    </row>
    <row r="27" spans="2:11">
      <c r="B27" s="9" t="s">
        <v>17</v>
      </c>
      <c r="C27" s="10" t="s">
        <v>108</v>
      </c>
      <c r="D27" s="392">
        <v>-652.58000000000004</v>
      </c>
      <c r="E27" s="365">
        <v>-4.2699999999999996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652.58000000000004</v>
      </c>
      <c r="E32" s="366">
        <v>4.2699999999999996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600.44000000000005</v>
      </c>
      <c r="E35" s="367">
        <v>0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52.14</v>
      </c>
      <c r="E37" s="367">
        <v>0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4.2699999999999996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-1296.5899999999999</v>
      </c>
      <c r="E40" s="396">
        <v>656.14</v>
      </c>
      <c r="G40" s="75"/>
      <c r="H40" s="258"/>
    </row>
    <row r="41" spans="2:10" ht="13.5" thickBot="1">
      <c r="B41" s="101" t="s">
        <v>37</v>
      </c>
      <c r="C41" s="102" t="s">
        <v>38</v>
      </c>
      <c r="D41" s="397">
        <v>3844.2699999999995</v>
      </c>
      <c r="E41" s="389">
        <f>E26+E27+E40</f>
        <v>4303.03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47.753399999999999</v>
      </c>
      <c r="E47" s="151">
        <v>37.745899999999999</v>
      </c>
      <c r="G47" s="73"/>
    </row>
    <row r="48" spans="2:10">
      <c r="B48" s="195" t="s">
        <v>6</v>
      </c>
      <c r="C48" s="196" t="s">
        <v>41</v>
      </c>
      <c r="D48" s="310">
        <v>41.407499999999999</v>
      </c>
      <c r="E48" s="151">
        <v>37.992800000000003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121.32</v>
      </c>
      <c r="E50" s="151">
        <v>96.73</v>
      </c>
      <c r="G50" s="181"/>
    </row>
    <row r="51" spans="2:7">
      <c r="B51" s="193" t="s">
        <v>6</v>
      </c>
      <c r="C51" s="194" t="s">
        <v>111</v>
      </c>
      <c r="D51" s="310">
        <v>92.09</v>
      </c>
      <c r="E51" s="151">
        <v>96.73</v>
      </c>
      <c r="G51" s="181"/>
    </row>
    <row r="52" spans="2:7">
      <c r="B52" s="193" t="s">
        <v>8</v>
      </c>
      <c r="C52" s="194" t="s">
        <v>112</v>
      </c>
      <c r="D52" s="310">
        <v>122.74000000000001</v>
      </c>
      <c r="E52" s="151">
        <v>114</v>
      </c>
    </row>
    <row r="53" spans="2:7" ht="12.75" customHeight="1" thickBot="1">
      <c r="B53" s="197" t="s">
        <v>9</v>
      </c>
      <c r="C53" s="198" t="s">
        <v>41</v>
      </c>
      <c r="D53" s="308">
        <v>92.84</v>
      </c>
      <c r="E53" s="267">
        <v>114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4303.0300000000007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4303.0300000000007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4303.0300000000007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4303.0300000000007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Arkusz103"/>
  <dimension ref="A1:L81"/>
  <sheetViews>
    <sheetView zoomScale="80" zoomScaleNormal="80" workbookViewId="0">
      <selection activeCell="G1" sqref="G1:O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1.42578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174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73629.23</v>
      </c>
      <c r="E11" s="377">
        <v>76184.02</v>
      </c>
    </row>
    <row r="12" spans="2:12">
      <c r="B12" s="182" t="s">
        <v>4</v>
      </c>
      <c r="C12" s="183" t="s">
        <v>5</v>
      </c>
      <c r="D12" s="378">
        <v>73629.23</v>
      </c>
      <c r="E12" s="379">
        <v>76184.02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73629.23</v>
      </c>
      <c r="E21" s="389">
        <v>76184.02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109472.15</v>
      </c>
      <c r="E26" s="391">
        <f>D21</f>
        <v>73629.23</v>
      </c>
      <c r="G26" s="75"/>
      <c r="H26" s="237"/>
    </row>
    <row r="27" spans="2:11">
      <c r="B27" s="9" t="s">
        <v>17</v>
      </c>
      <c r="C27" s="10" t="s">
        <v>108</v>
      </c>
      <c r="D27" s="392">
        <v>-4877.68</v>
      </c>
      <c r="E27" s="365">
        <v>-438.44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403.81</v>
      </c>
      <c r="E28" s="366">
        <v>403.81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403.81</v>
      </c>
      <c r="E29" s="367">
        <v>403.8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0.01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5281.4900000000007</v>
      </c>
      <c r="E32" s="366">
        <v>842.25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-32.82</v>
      </c>
      <c r="E33" s="367">
        <v>188.42000000000002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120.19</v>
      </c>
      <c r="E35" s="367">
        <v>67.989999999999995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689.89</v>
      </c>
      <c r="E37" s="367">
        <v>585.84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4504.2300000000005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-21417.35</v>
      </c>
      <c r="E40" s="396">
        <v>2993.23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83177.119999999995</v>
      </c>
      <c r="E41" s="389">
        <f>E26+E27+E40</f>
        <v>76184.01999999999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14034.891</v>
      </c>
      <c r="E47" s="151">
        <v>11952.797</v>
      </c>
      <c r="G47" s="73"/>
    </row>
    <row r="48" spans="2:10">
      <c r="B48" s="195" t="s">
        <v>6</v>
      </c>
      <c r="C48" s="196" t="s">
        <v>41</v>
      </c>
      <c r="D48" s="310">
        <v>13265.888000000001</v>
      </c>
      <c r="E48" s="151">
        <v>11885.183000000001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7.8</v>
      </c>
      <c r="E50" s="151">
        <v>6.16</v>
      </c>
      <c r="G50" s="181"/>
    </row>
    <row r="51" spans="2:7">
      <c r="B51" s="193" t="s">
        <v>6</v>
      </c>
      <c r="C51" s="194" t="s">
        <v>111</v>
      </c>
      <c r="D51" s="310">
        <v>6.2</v>
      </c>
      <c r="E51" s="151">
        <v>6.08</v>
      </c>
      <c r="G51" s="181"/>
    </row>
    <row r="52" spans="2:7">
      <c r="B52" s="193" t="s">
        <v>8</v>
      </c>
      <c r="C52" s="194" t="s">
        <v>112</v>
      </c>
      <c r="D52" s="310">
        <v>8</v>
      </c>
      <c r="E52" s="151">
        <v>6.8</v>
      </c>
    </row>
    <row r="53" spans="2:7" ht="13.5" customHeight="1" thickBot="1">
      <c r="B53" s="197" t="s">
        <v>9</v>
      </c>
      <c r="C53" s="198" t="s">
        <v>41</v>
      </c>
      <c r="D53" s="308">
        <v>6.27</v>
      </c>
      <c r="E53" s="267">
        <v>6.41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76184.02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76184.02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76184.02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76184.02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M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1" max="11" width="16" customWidth="1"/>
    <col min="12" max="12" width="12.42578125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87"/>
      <c r="C4" s="87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88</v>
      </c>
      <c r="C6" s="458"/>
      <c r="D6" s="458"/>
      <c r="E6" s="458"/>
    </row>
    <row r="7" spans="2:12" ht="14.25">
      <c r="B7" s="91"/>
      <c r="C7" s="9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88"/>
      <c r="C10" s="77" t="s">
        <v>2</v>
      </c>
      <c r="D10" s="274" t="s">
        <v>236</v>
      </c>
      <c r="E10" s="246" t="s">
        <v>242</v>
      </c>
      <c r="G10" s="73"/>
    </row>
    <row r="11" spans="2:12">
      <c r="B11" s="92" t="s">
        <v>3</v>
      </c>
      <c r="C11" s="204" t="s">
        <v>106</v>
      </c>
      <c r="D11" s="376">
        <v>72922535.590000004</v>
      </c>
      <c r="E11" s="377">
        <f>SUM(E12:E14)</f>
        <v>76212068.480000004</v>
      </c>
      <c r="H11" s="73"/>
    </row>
    <row r="12" spans="2:12">
      <c r="B12" s="182" t="s">
        <v>4</v>
      </c>
      <c r="C12" s="240" t="s">
        <v>5</v>
      </c>
      <c r="D12" s="378">
        <v>72675988.219999999</v>
      </c>
      <c r="E12" s="379">
        <f>76116975+122258.02-65105.71</f>
        <v>76174127.310000002</v>
      </c>
      <c r="H12" s="73"/>
    </row>
    <row r="13" spans="2:12">
      <c r="B13" s="182" t="s">
        <v>6</v>
      </c>
      <c r="C13" s="240" t="s">
        <v>7</v>
      </c>
      <c r="D13" s="380">
        <v>246547.37</v>
      </c>
      <c r="E13" s="381">
        <v>0</v>
      </c>
      <c r="H13" s="73"/>
    </row>
    <row r="14" spans="2:12">
      <c r="B14" s="182" t="s">
        <v>8</v>
      </c>
      <c r="C14" s="240" t="s">
        <v>10</v>
      </c>
      <c r="D14" s="380">
        <v>0</v>
      </c>
      <c r="E14" s="381">
        <f>E15</f>
        <v>37941.17</v>
      </c>
      <c r="H14" s="73"/>
    </row>
    <row r="15" spans="2:12">
      <c r="B15" s="182" t="s">
        <v>103</v>
      </c>
      <c r="C15" s="240" t="s">
        <v>11</v>
      </c>
      <c r="D15" s="380">
        <v>0</v>
      </c>
      <c r="E15" s="381">
        <v>37941.17</v>
      </c>
      <c r="H15" s="73"/>
    </row>
    <row r="16" spans="2:12">
      <c r="B16" s="185" t="s">
        <v>104</v>
      </c>
      <c r="C16" s="241" t="s">
        <v>12</v>
      </c>
      <c r="D16" s="382">
        <v>0</v>
      </c>
      <c r="E16" s="383">
        <v>0</v>
      </c>
      <c r="H16" s="73"/>
    </row>
    <row r="17" spans="2:13">
      <c r="B17" s="9" t="s">
        <v>13</v>
      </c>
      <c r="C17" s="207" t="s">
        <v>65</v>
      </c>
      <c r="D17" s="384">
        <v>125547.51</v>
      </c>
      <c r="E17" s="385">
        <f>E18</f>
        <v>93114.77</v>
      </c>
    </row>
    <row r="18" spans="2:13">
      <c r="B18" s="182" t="s">
        <v>4</v>
      </c>
      <c r="C18" s="240" t="s">
        <v>11</v>
      </c>
      <c r="D18" s="382">
        <v>125547.51</v>
      </c>
      <c r="E18" s="383">
        <v>93114.77</v>
      </c>
      <c r="M18" s="68"/>
    </row>
    <row r="19" spans="2:13" ht="15" customHeight="1">
      <c r="B19" s="182" t="s">
        <v>6</v>
      </c>
      <c r="C19" s="240" t="s">
        <v>105</v>
      </c>
      <c r="D19" s="380">
        <v>0</v>
      </c>
      <c r="E19" s="381">
        <v>0</v>
      </c>
    </row>
    <row r="20" spans="2:13" ht="13.5" thickBot="1">
      <c r="B20" s="187" t="s">
        <v>8</v>
      </c>
      <c r="C20" s="188" t="s">
        <v>14</v>
      </c>
      <c r="D20" s="386">
        <v>0</v>
      </c>
      <c r="E20" s="387">
        <v>0</v>
      </c>
    </row>
    <row r="21" spans="2:13" ht="13.5" thickBot="1">
      <c r="B21" s="468" t="s">
        <v>107</v>
      </c>
      <c r="C21" s="469"/>
      <c r="D21" s="388">
        <v>72796988.079999998</v>
      </c>
      <c r="E21" s="389">
        <f>E11-E17</f>
        <v>76118953.710000008</v>
      </c>
      <c r="F21" s="78"/>
      <c r="G21" s="78"/>
      <c r="H21" s="169"/>
      <c r="J21" s="227"/>
      <c r="K21" s="169"/>
    </row>
    <row r="22" spans="2:13">
      <c r="B22" s="4"/>
      <c r="C22" s="7"/>
      <c r="D22" s="8"/>
      <c r="E22" s="8"/>
      <c r="G22" s="73"/>
    </row>
    <row r="23" spans="2:13" ht="13.5">
      <c r="B23" s="460" t="s">
        <v>101</v>
      </c>
      <c r="C23" s="470"/>
      <c r="D23" s="470"/>
      <c r="E23" s="470"/>
      <c r="G23" s="73"/>
    </row>
    <row r="24" spans="2:13" ht="15.75" customHeight="1" thickBot="1">
      <c r="B24" s="459" t="s">
        <v>102</v>
      </c>
      <c r="C24" s="471"/>
      <c r="D24" s="471"/>
      <c r="E24" s="471"/>
      <c r="K24" s="181"/>
    </row>
    <row r="25" spans="2:13" ht="13.5" thickBot="1">
      <c r="B25" s="323"/>
      <c r="C25" s="189" t="s">
        <v>2</v>
      </c>
      <c r="D25" s="274" t="s">
        <v>243</v>
      </c>
      <c r="E25" s="246" t="s">
        <v>242</v>
      </c>
    </row>
    <row r="26" spans="2:13">
      <c r="B26" s="97" t="s">
        <v>15</v>
      </c>
      <c r="C26" s="98" t="s">
        <v>16</v>
      </c>
      <c r="D26" s="390">
        <v>76853536.379999995</v>
      </c>
      <c r="E26" s="391">
        <f>D21</f>
        <v>72796988.079999998</v>
      </c>
      <c r="G26" s="75"/>
    </row>
    <row r="27" spans="2:13">
      <c r="B27" s="9" t="s">
        <v>17</v>
      </c>
      <c r="C27" s="10" t="s">
        <v>108</v>
      </c>
      <c r="D27" s="392">
        <v>-1398620.8399999999</v>
      </c>
      <c r="E27" s="365">
        <v>-2691330.0900000017</v>
      </c>
      <c r="F27" s="73"/>
      <c r="G27" s="155"/>
      <c r="H27" s="243"/>
      <c r="I27" s="243"/>
      <c r="J27" s="216"/>
    </row>
    <row r="28" spans="2:13">
      <c r="B28" s="9" t="s">
        <v>18</v>
      </c>
      <c r="C28" s="10" t="s">
        <v>19</v>
      </c>
      <c r="D28" s="392">
        <v>6921221.3600000003</v>
      </c>
      <c r="E28" s="366">
        <v>6652091.5199999996</v>
      </c>
      <c r="F28" s="73"/>
      <c r="G28" s="155"/>
      <c r="H28" s="243"/>
      <c r="I28" s="243"/>
      <c r="J28" s="216"/>
    </row>
    <row r="29" spans="2:13">
      <c r="B29" s="190" t="s">
        <v>4</v>
      </c>
      <c r="C29" s="183" t="s">
        <v>20</v>
      </c>
      <c r="D29" s="393">
        <v>6801081.1900000004</v>
      </c>
      <c r="E29" s="367">
        <v>6085649.5</v>
      </c>
      <c r="F29" s="73"/>
      <c r="G29" s="155"/>
      <c r="H29" s="243"/>
      <c r="I29" s="243"/>
      <c r="J29" s="216"/>
    </row>
    <row r="30" spans="2:13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243"/>
      <c r="J30" s="216"/>
    </row>
    <row r="31" spans="2:13">
      <c r="B31" s="190" t="s">
        <v>8</v>
      </c>
      <c r="C31" s="183" t="s">
        <v>22</v>
      </c>
      <c r="D31" s="393">
        <v>120140.17</v>
      </c>
      <c r="E31" s="367">
        <v>566442.02</v>
      </c>
      <c r="F31" s="73"/>
      <c r="G31" s="155"/>
      <c r="H31" s="243"/>
      <c r="I31" s="243"/>
      <c r="J31" s="216"/>
    </row>
    <row r="32" spans="2:13">
      <c r="B32" s="94" t="s">
        <v>23</v>
      </c>
      <c r="C32" s="11" t="s">
        <v>24</v>
      </c>
      <c r="D32" s="392">
        <v>8319842.2000000002</v>
      </c>
      <c r="E32" s="366">
        <v>9343421.6100000013</v>
      </c>
      <c r="F32" s="73"/>
      <c r="G32" s="155"/>
      <c r="H32" s="243"/>
      <c r="I32" s="243"/>
      <c r="J32" s="216"/>
    </row>
    <row r="33" spans="2:10">
      <c r="B33" s="190" t="s">
        <v>4</v>
      </c>
      <c r="C33" s="183" t="s">
        <v>25</v>
      </c>
      <c r="D33" s="393">
        <v>6211362.3499999996</v>
      </c>
      <c r="E33" s="367">
        <v>7709377.2599999998</v>
      </c>
      <c r="F33" s="73"/>
      <c r="G33" s="155"/>
      <c r="H33" s="243"/>
      <c r="I33" s="243"/>
      <c r="J33" s="216"/>
    </row>
    <row r="34" spans="2:10">
      <c r="B34" s="190" t="s">
        <v>6</v>
      </c>
      <c r="C34" s="183" t="s">
        <v>26</v>
      </c>
      <c r="D34" s="393">
        <v>589640.41</v>
      </c>
      <c r="E34" s="367">
        <v>757622.31</v>
      </c>
      <c r="F34" s="73"/>
      <c r="G34" s="155"/>
      <c r="H34" s="243"/>
      <c r="I34" s="243"/>
      <c r="J34" s="216"/>
    </row>
    <row r="35" spans="2:10">
      <c r="B35" s="190" t="s">
        <v>8</v>
      </c>
      <c r="C35" s="183" t="s">
        <v>27</v>
      </c>
      <c r="D35" s="393">
        <v>781224.82000000007</v>
      </c>
      <c r="E35" s="367">
        <v>817694.74</v>
      </c>
      <c r="F35" s="73"/>
      <c r="G35" s="155"/>
      <c r="H35" s="243"/>
      <c r="I35" s="243"/>
      <c r="J35" s="216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243"/>
      <c r="J36" s="216"/>
    </row>
    <row r="37" spans="2:10" ht="25.5">
      <c r="B37" s="190" t="s">
        <v>29</v>
      </c>
      <c r="C37" s="183" t="s">
        <v>30</v>
      </c>
      <c r="D37" s="393">
        <v>0</v>
      </c>
      <c r="E37" s="367">
        <v>0</v>
      </c>
      <c r="F37" s="73"/>
      <c r="G37" s="155"/>
      <c r="H37" s="243"/>
      <c r="I37" s="243"/>
      <c r="J37" s="216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243"/>
      <c r="J38" s="216"/>
    </row>
    <row r="39" spans="2:10">
      <c r="B39" s="191" t="s">
        <v>33</v>
      </c>
      <c r="C39" s="192" t="s">
        <v>34</v>
      </c>
      <c r="D39" s="394">
        <v>737614.62</v>
      </c>
      <c r="E39" s="368">
        <v>58727.3</v>
      </c>
      <c r="F39" s="73"/>
      <c r="G39" s="155"/>
      <c r="H39" s="243"/>
      <c r="I39" s="243"/>
      <c r="J39" s="216"/>
    </row>
    <row r="40" spans="2:10" ht="13.5" thickBot="1">
      <c r="B40" s="99" t="s">
        <v>35</v>
      </c>
      <c r="C40" s="100" t="s">
        <v>36</v>
      </c>
      <c r="D40" s="395">
        <v>-6697908.8399999999</v>
      </c>
      <c r="E40" s="396">
        <v>6013295.7200000007</v>
      </c>
      <c r="G40" s="75"/>
      <c r="J40" s="162"/>
    </row>
    <row r="41" spans="2:10" ht="13.5" thickBot="1">
      <c r="B41" s="101" t="s">
        <v>37</v>
      </c>
      <c r="C41" s="102" t="s">
        <v>38</v>
      </c>
      <c r="D41" s="397">
        <v>68757006.699999988</v>
      </c>
      <c r="E41" s="389">
        <f>E26+E27+E40</f>
        <v>76118953.709999993</v>
      </c>
      <c r="F41" s="78"/>
      <c r="G41" s="75"/>
      <c r="H41" s="73"/>
      <c r="I41" s="73"/>
      <c r="J41" s="73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7.25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6646924.0060000001</v>
      </c>
      <c r="E47" s="283">
        <v>6593517.3876</v>
      </c>
      <c r="G47" s="201"/>
    </row>
    <row r="48" spans="2:10">
      <c r="B48" s="195" t="s">
        <v>6</v>
      </c>
      <c r="C48" s="196" t="s">
        <v>41</v>
      </c>
      <c r="D48" s="310">
        <v>6517265.6829000004</v>
      </c>
      <c r="E48" s="327">
        <v>6362404.2805000003</v>
      </c>
      <c r="G48" s="203"/>
      <c r="I48" s="203"/>
      <c r="J48" s="201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11.5623</v>
      </c>
      <c r="E50" s="284">
        <v>11.040699999999999</v>
      </c>
      <c r="G50" s="217"/>
    </row>
    <row r="51" spans="2:7">
      <c r="B51" s="193" t="s">
        <v>6</v>
      </c>
      <c r="C51" s="194" t="s">
        <v>111</v>
      </c>
      <c r="D51" s="310">
        <v>10.1114</v>
      </c>
      <c r="E51" s="284">
        <v>11.040699999999999</v>
      </c>
      <c r="G51" s="181"/>
    </row>
    <row r="52" spans="2:7" ht="12" customHeight="1">
      <c r="B52" s="193" t="s">
        <v>8</v>
      </c>
      <c r="C52" s="194" t="s">
        <v>112</v>
      </c>
      <c r="D52" s="310">
        <v>11.597800000000001</v>
      </c>
      <c r="E52" s="284">
        <v>11.963900000000001</v>
      </c>
    </row>
    <row r="53" spans="2:7" ht="13.5" thickBot="1">
      <c r="B53" s="197" t="s">
        <v>9</v>
      </c>
      <c r="C53" s="198" t="s">
        <v>41</v>
      </c>
      <c r="D53" s="308">
        <v>10.55</v>
      </c>
      <c r="E53" s="267">
        <v>11.963900000000001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2"/>
      <c r="D55" s="462"/>
      <c r="E55" s="462"/>
    </row>
    <row r="56" spans="2:7" ht="16.5" customHeight="1" thickBot="1">
      <c r="B56" s="459" t="s">
        <v>113</v>
      </c>
      <c r="C56" s="463"/>
      <c r="D56" s="463"/>
      <c r="E56" s="463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SUM(D59:D70)</f>
        <v>76174127.310000002</v>
      </c>
      <c r="E58" s="31">
        <f>D58/E21</f>
        <v>1.0007248339252033</v>
      </c>
    </row>
    <row r="59" spans="2:7" ht="25.5">
      <c r="B59" s="285" t="s">
        <v>4</v>
      </c>
      <c r="C59" s="196" t="s">
        <v>44</v>
      </c>
      <c r="D59" s="81">
        <v>0</v>
      </c>
      <c r="E59" s="82">
        <v>0</v>
      </c>
    </row>
    <row r="60" spans="2:7" ht="24" customHeight="1">
      <c r="B60" s="286" t="s">
        <v>6</v>
      </c>
      <c r="C60" s="194" t="s">
        <v>45</v>
      </c>
      <c r="D60" s="79">
        <v>0</v>
      </c>
      <c r="E60" s="80">
        <v>0</v>
      </c>
    </row>
    <row r="61" spans="2:7">
      <c r="B61" s="286" t="s">
        <v>8</v>
      </c>
      <c r="C61" s="194" t="s">
        <v>46</v>
      </c>
      <c r="D61" s="79">
        <v>0</v>
      </c>
      <c r="E61" s="80">
        <v>0</v>
      </c>
    </row>
    <row r="62" spans="2:7">
      <c r="B62" s="286" t="s">
        <v>9</v>
      </c>
      <c r="C62" s="194" t="s">
        <v>47</v>
      </c>
      <c r="D62" s="79">
        <v>0</v>
      </c>
      <c r="E62" s="80">
        <v>0</v>
      </c>
    </row>
    <row r="63" spans="2:7">
      <c r="B63" s="286" t="s">
        <v>29</v>
      </c>
      <c r="C63" s="194" t="s">
        <v>48</v>
      </c>
      <c r="D63" s="79">
        <v>0</v>
      </c>
      <c r="E63" s="80">
        <v>0</v>
      </c>
    </row>
    <row r="64" spans="2:7">
      <c r="B64" s="285" t="s">
        <v>31</v>
      </c>
      <c r="C64" s="196" t="s">
        <v>49</v>
      </c>
      <c r="D64" s="314">
        <f>E12-122258.02</f>
        <v>76051869.290000007</v>
      </c>
      <c r="E64" s="82">
        <f>D64/E21</f>
        <v>0.99911868967280371</v>
      </c>
      <c r="G64" s="73"/>
    </row>
    <row r="65" spans="2:7">
      <c r="B65" s="285" t="s">
        <v>33</v>
      </c>
      <c r="C65" s="196" t="s">
        <v>115</v>
      </c>
      <c r="D65" s="81">
        <v>0</v>
      </c>
      <c r="E65" s="82">
        <v>0</v>
      </c>
      <c r="G65" s="73"/>
    </row>
    <row r="66" spans="2:7">
      <c r="B66" s="285" t="s">
        <v>50</v>
      </c>
      <c r="C66" s="196" t="s">
        <v>51</v>
      </c>
      <c r="D66" s="81">
        <v>0</v>
      </c>
      <c r="E66" s="82">
        <v>0</v>
      </c>
    </row>
    <row r="67" spans="2:7">
      <c r="B67" s="286" t="s">
        <v>52</v>
      </c>
      <c r="C67" s="194" t="s">
        <v>53</v>
      </c>
      <c r="D67" s="79">
        <v>0</v>
      </c>
      <c r="E67" s="80">
        <v>0</v>
      </c>
    </row>
    <row r="68" spans="2:7">
      <c r="B68" s="286" t="s">
        <v>54</v>
      </c>
      <c r="C68" s="194" t="s">
        <v>55</v>
      </c>
      <c r="D68" s="79">
        <v>0</v>
      </c>
      <c r="E68" s="80">
        <v>0</v>
      </c>
    </row>
    <row r="69" spans="2:7">
      <c r="B69" s="286" t="s">
        <v>56</v>
      </c>
      <c r="C69" s="194" t="s">
        <v>57</v>
      </c>
      <c r="D69" s="309">
        <v>122258.02</v>
      </c>
      <c r="E69" s="80">
        <f>D69/E21</f>
        <v>1.6061442523997614E-3</v>
      </c>
    </row>
    <row r="70" spans="2:7">
      <c r="B70" s="287" t="s">
        <v>58</v>
      </c>
      <c r="C70" s="235" t="s">
        <v>59</v>
      </c>
      <c r="D70" s="116">
        <v>0</v>
      </c>
      <c r="E70" s="117">
        <v>0</v>
      </c>
    </row>
    <row r="71" spans="2:7">
      <c r="B71" s="122" t="s">
        <v>23</v>
      </c>
      <c r="C71" s="123" t="s">
        <v>61</v>
      </c>
      <c r="D71" s="124">
        <f>E13</f>
        <v>0</v>
      </c>
      <c r="E71" s="67">
        <f>D71/E21</f>
        <v>0</v>
      </c>
    </row>
    <row r="72" spans="2:7">
      <c r="B72" s="118" t="s">
        <v>60</v>
      </c>
      <c r="C72" s="119" t="s">
        <v>63</v>
      </c>
      <c r="D72" s="120">
        <f>E14</f>
        <v>37941.17</v>
      </c>
      <c r="E72" s="121">
        <f>D72/E21</f>
        <v>4.9844576351573699E-4</v>
      </c>
    </row>
    <row r="73" spans="2:7">
      <c r="B73" s="23" t="s">
        <v>62</v>
      </c>
      <c r="C73" s="24" t="s">
        <v>65</v>
      </c>
      <c r="D73" s="25">
        <f>E17</f>
        <v>93114.77</v>
      </c>
      <c r="E73" s="26">
        <f>D73/E21</f>
        <v>1.2232796887192E-3</v>
      </c>
    </row>
    <row r="74" spans="2:7">
      <c r="B74" s="122" t="s">
        <v>64</v>
      </c>
      <c r="C74" s="123" t="s">
        <v>66</v>
      </c>
      <c r="D74" s="124">
        <f>D58+D71+D72-D73</f>
        <v>76118953.710000008</v>
      </c>
      <c r="E74" s="67">
        <f>E58+E71+E72-E73</f>
        <v>0.99999999999999989</v>
      </c>
    </row>
    <row r="75" spans="2:7">
      <c r="B75" s="286" t="s">
        <v>4</v>
      </c>
      <c r="C75" s="194" t="s">
        <v>67</v>
      </c>
      <c r="D75" s="79">
        <f>D74</f>
        <v>76118953.710000008</v>
      </c>
      <c r="E75" s="80">
        <f>E74</f>
        <v>0.99999999999999989</v>
      </c>
    </row>
    <row r="76" spans="2:7">
      <c r="B76" s="286" t="s">
        <v>6</v>
      </c>
      <c r="C76" s="194" t="s">
        <v>116</v>
      </c>
      <c r="D76" s="79">
        <v>0</v>
      </c>
      <c r="E76" s="80">
        <v>0</v>
      </c>
    </row>
    <row r="77" spans="2:7" ht="13.5" thickBot="1">
      <c r="B77" s="16" t="s">
        <v>8</v>
      </c>
      <c r="C77" s="17" t="s">
        <v>117</v>
      </c>
      <c r="D77" s="83">
        <v>0</v>
      </c>
      <c r="E77" s="84">
        <v>0</v>
      </c>
    </row>
    <row r="78" spans="2:7">
      <c r="B78" s="2"/>
      <c r="C78" s="2"/>
      <c r="D78" s="3"/>
      <c r="E78" s="3"/>
    </row>
    <row r="79" spans="2:7">
      <c r="B79" s="2"/>
      <c r="C79" s="2"/>
      <c r="D79" s="3"/>
      <c r="E79" s="3"/>
    </row>
    <row r="80" spans="2:7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Arkusz104"/>
  <dimension ref="A1:L81"/>
  <sheetViews>
    <sheetView zoomScale="80" zoomScaleNormal="80" workbookViewId="0">
      <selection activeCell="G1" sqref="G1:N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175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21576.21</v>
      </c>
      <c r="E11" s="377">
        <v>22903.74</v>
      </c>
    </row>
    <row r="12" spans="2:12">
      <c r="B12" s="182" t="s">
        <v>4</v>
      </c>
      <c r="C12" s="183" t="s">
        <v>5</v>
      </c>
      <c r="D12" s="378">
        <v>21576.21</v>
      </c>
      <c r="E12" s="379">
        <v>22903.74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21576.21</v>
      </c>
      <c r="E21" s="389">
        <v>22903.74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23684.04</v>
      </c>
      <c r="E26" s="391">
        <f>D21</f>
        <v>21576.21</v>
      </c>
      <c r="G26" s="75"/>
    </row>
    <row r="27" spans="2:11">
      <c r="B27" s="9" t="s">
        <v>17</v>
      </c>
      <c r="C27" s="10" t="s">
        <v>108</v>
      </c>
      <c r="D27" s="392">
        <v>-218.87</v>
      </c>
      <c r="E27" s="365">
        <v>-276.72000000000003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218.87</v>
      </c>
      <c r="E32" s="366">
        <v>276.72000000000003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87.76</v>
      </c>
      <c r="E35" s="367">
        <v>118.43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131.11000000000001</v>
      </c>
      <c r="E37" s="367">
        <v>158.28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-2391.23</v>
      </c>
      <c r="E40" s="396">
        <v>1604.25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21073.940000000002</v>
      </c>
      <c r="E41" s="389">
        <f>E26+E27+E40</f>
        <v>22903.739999999998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2038.213</v>
      </c>
      <c r="E47" s="151">
        <v>1992.2629999999999</v>
      </c>
      <c r="G47" s="73"/>
    </row>
    <row r="48" spans="2:10">
      <c r="B48" s="195" t="s">
        <v>6</v>
      </c>
      <c r="C48" s="196" t="s">
        <v>41</v>
      </c>
      <c r="D48" s="310">
        <v>2018.577</v>
      </c>
      <c r="E48" s="151">
        <v>1967.675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11.62</v>
      </c>
      <c r="E50" s="151">
        <v>10.83</v>
      </c>
      <c r="G50" s="181"/>
    </row>
    <row r="51" spans="2:7">
      <c r="B51" s="193" t="s">
        <v>6</v>
      </c>
      <c r="C51" s="194" t="s">
        <v>111</v>
      </c>
      <c r="D51" s="310">
        <v>10.41</v>
      </c>
      <c r="E51" s="151">
        <v>10.83</v>
      </c>
      <c r="G51" s="181"/>
    </row>
    <row r="52" spans="2:7">
      <c r="B52" s="193" t="s">
        <v>8</v>
      </c>
      <c r="C52" s="194" t="s">
        <v>112</v>
      </c>
      <c r="D52" s="310">
        <v>11.63</v>
      </c>
      <c r="E52" s="151">
        <v>11.7</v>
      </c>
    </row>
    <row r="53" spans="2:7" ht="12.75" customHeight="1" thickBot="1">
      <c r="B53" s="197" t="s">
        <v>9</v>
      </c>
      <c r="C53" s="198" t="s">
        <v>41</v>
      </c>
      <c r="D53" s="308">
        <v>10.44</v>
      </c>
      <c r="E53" s="267">
        <v>11.64</v>
      </c>
    </row>
    <row r="54" spans="2:7">
      <c r="B54" s="199"/>
      <c r="C54" s="200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4.25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22903.74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22903.74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22903.74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22903.74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Arkusz105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176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610074.53</v>
      </c>
      <c r="E11" s="377">
        <v>620829.67000000004</v>
      </c>
    </row>
    <row r="12" spans="2:12">
      <c r="B12" s="182" t="s">
        <v>4</v>
      </c>
      <c r="C12" s="183" t="s">
        <v>5</v>
      </c>
      <c r="D12" s="378">
        <v>610074.53</v>
      </c>
      <c r="E12" s="379">
        <v>620829.67000000004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610074.53</v>
      </c>
      <c r="E21" s="389">
        <v>620829.67000000004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680950.48</v>
      </c>
      <c r="E26" s="391">
        <f>D21</f>
        <v>610074.53</v>
      </c>
      <c r="G26" s="75"/>
    </row>
    <row r="27" spans="2:11">
      <c r="B27" s="9" t="s">
        <v>17</v>
      </c>
      <c r="C27" s="10" t="s">
        <v>108</v>
      </c>
      <c r="D27" s="392">
        <v>-4502.0600000000004</v>
      </c>
      <c r="E27" s="365">
        <v>-5252.48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870.82</v>
      </c>
      <c r="E28" s="366">
        <v>131.88999999999999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870.82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131.88999999999999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5372.88</v>
      </c>
      <c r="E32" s="366">
        <v>5384.37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217.81</v>
      </c>
      <c r="E35" s="367">
        <v>283.19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5155.07</v>
      </c>
      <c r="E37" s="367">
        <v>5101.18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-73840.639999999999</v>
      </c>
      <c r="E40" s="396">
        <v>16007.619999999999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602607.77999999991</v>
      </c>
      <c r="E41" s="389">
        <f>E26+E27+E40</f>
        <v>620829.67000000004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34636.341999999997</v>
      </c>
      <c r="E47" s="151">
        <v>34101.427000000003</v>
      </c>
      <c r="G47" s="73"/>
    </row>
    <row r="48" spans="2:10">
      <c r="B48" s="195" t="s">
        <v>6</v>
      </c>
      <c r="C48" s="196" t="s">
        <v>41</v>
      </c>
      <c r="D48" s="310">
        <v>34395.421000000002</v>
      </c>
      <c r="E48" s="151">
        <v>33814.252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19.66</v>
      </c>
      <c r="E50" s="151">
        <v>17.89</v>
      </c>
      <c r="G50" s="181"/>
    </row>
    <row r="51" spans="2:7">
      <c r="B51" s="193" t="s">
        <v>6</v>
      </c>
      <c r="C51" s="194" t="s">
        <v>111</v>
      </c>
      <c r="D51" s="310">
        <v>17.490000000000002</v>
      </c>
      <c r="E51" s="151">
        <v>17.89</v>
      </c>
      <c r="G51" s="181"/>
    </row>
    <row r="52" spans="2:7">
      <c r="B52" s="193" t="s">
        <v>8</v>
      </c>
      <c r="C52" s="194" t="s">
        <v>112</v>
      </c>
      <c r="D52" s="310">
        <v>19.66</v>
      </c>
      <c r="E52" s="151">
        <v>18.670000000000002</v>
      </c>
    </row>
    <row r="53" spans="2:7" ht="12.75" customHeight="1" thickBot="1">
      <c r="B53" s="197" t="s">
        <v>9</v>
      </c>
      <c r="C53" s="198" t="s">
        <v>41</v>
      </c>
      <c r="D53" s="308">
        <v>17.52</v>
      </c>
      <c r="E53" s="267">
        <v>18.36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8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620829.67000000004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620829.67000000004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620829.67000000004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620829.67000000004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Arkusz106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207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112297.47</v>
      </c>
      <c r="E11" s="377">
        <v>104917.4</v>
      </c>
    </row>
    <row r="12" spans="2:12">
      <c r="B12" s="182" t="s">
        <v>4</v>
      </c>
      <c r="C12" s="183" t="s">
        <v>5</v>
      </c>
      <c r="D12" s="378">
        <v>112297.47</v>
      </c>
      <c r="E12" s="379">
        <v>104917.4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112297.47</v>
      </c>
      <c r="E21" s="389">
        <v>104917.4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112875.4</v>
      </c>
      <c r="E26" s="234">
        <f>D21</f>
        <v>112297.47</v>
      </c>
      <c r="G26" s="75"/>
    </row>
    <row r="27" spans="2:11">
      <c r="B27" s="9" t="s">
        <v>17</v>
      </c>
      <c r="C27" s="10" t="s">
        <v>108</v>
      </c>
      <c r="D27" s="392">
        <v>-5645.51</v>
      </c>
      <c r="E27" s="365">
        <v>-12718.95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0.02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/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0.02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5645.51</v>
      </c>
      <c r="E32" s="366">
        <v>12718.970000000001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4168.34</v>
      </c>
      <c r="E33" s="367">
        <v>11202.76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710.92</v>
      </c>
      <c r="E35" s="367">
        <v>729.18000000000006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766.25</v>
      </c>
      <c r="E37" s="367">
        <v>787.03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1541.58</v>
      </c>
      <c r="E40" s="396">
        <v>5338.88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108771.47</v>
      </c>
      <c r="E41" s="150">
        <f>E26+E27+E40</f>
        <v>104917.40000000001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8784.0779999999995</v>
      </c>
      <c r="E47" s="151">
        <v>8232.9519999999993</v>
      </c>
      <c r="G47" s="73"/>
    </row>
    <row r="48" spans="2:10">
      <c r="B48" s="195" t="s">
        <v>6</v>
      </c>
      <c r="C48" s="196" t="s">
        <v>41</v>
      </c>
      <c r="D48" s="310">
        <v>8347.7720000000008</v>
      </c>
      <c r="E48" s="151">
        <v>7336.8810000000003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12.85</v>
      </c>
      <c r="E50" s="151">
        <v>13.64</v>
      </c>
      <c r="G50" s="181"/>
    </row>
    <row r="51" spans="2:7">
      <c r="B51" s="193" t="s">
        <v>6</v>
      </c>
      <c r="C51" s="194" t="s">
        <v>111</v>
      </c>
      <c r="D51" s="310">
        <v>12.81</v>
      </c>
      <c r="E51" s="151">
        <v>13.64</v>
      </c>
      <c r="G51" s="181"/>
    </row>
    <row r="52" spans="2:7">
      <c r="B52" s="193" t="s">
        <v>8</v>
      </c>
      <c r="C52" s="194" t="s">
        <v>112</v>
      </c>
      <c r="D52" s="310">
        <v>13.08</v>
      </c>
      <c r="E52" s="151">
        <v>14.3</v>
      </c>
    </row>
    <row r="53" spans="2:7" ht="13.5" customHeight="1" thickBot="1">
      <c r="B53" s="197" t="s">
        <v>9</v>
      </c>
      <c r="C53" s="198" t="s">
        <v>41</v>
      </c>
      <c r="D53" s="308">
        <v>13.03</v>
      </c>
      <c r="E53" s="267">
        <v>14.3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104917.4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104917.4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104917.4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104917.4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Arkusz108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177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89239.59</v>
      </c>
      <c r="E11" s="377">
        <v>82107.83</v>
      </c>
    </row>
    <row r="12" spans="2:12">
      <c r="B12" s="182" t="s">
        <v>4</v>
      </c>
      <c r="C12" s="183" t="s">
        <v>5</v>
      </c>
      <c r="D12" s="378">
        <v>89239.59</v>
      </c>
      <c r="E12" s="379">
        <v>82107.83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89239.59</v>
      </c>
      <c r="E21" s="389">
        <v>82107.83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34977.279999999999</v>
      </c>
      <c r="E26" s="234">
        <f>D21</f>
        <v>89239.59</v>
      </c>
      <c r="G26" s="75"/>
      <c r="H26" s="237"/>
    </row>
    <row r="27" spans="2:11">
      <c r="B27" s="9" t="s">
        <v>17</v>
      </c>
      <c r="C27" s="10" t="s">
        <v>108</v>
      </c>
      <c r="D27" s="303">
        <v>85097.62</v>
      </c>
      <c r="E27" s="263">
        <v>-342.66000000000031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03">
        <v>88449.959999999992</v>
      </c>
      <c r="E28" s="264">
        <v>1702.2199999999998</v>
      </c>
      <c r="F28" s="73"/>
      <c r="G28" s="73"/>
      <c r="H28" s="243"/>
      <c r="I28" s="73"/>
      <c r="J28" s="75"/>
    </row>
    <row r="29" spans="2:11">
      <c r="B29" s="190" t="s">
        <v>4</v>
      </c>
      <c r="C29" s="183" t="s">
        <v>20</v>
      </c>
      <c r="D29" s="304">
        <v>493</v>
      </c>
      <c r="E29" s="265">
        <v>670.33</v>
      </c>
      <c r="F29" s="73"/>
      <c r="G29" s="73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73"/>
      <c r="H30" s="243"/>
      <c r="I30" s="73"/>
      <c r="J30" s="75"/>
    </row>
    <row r="31" spans="2:11">
      <c r="B31" s="190" t="s">
        <v>8</v>
      </c>
      <c r="C31" s="183" t="s">
        <v>22</v>
      </c>
      <c r="D31" s="304">
        <v>87956.959999999992</v>
      </c>
      <c r="E31" s="265">
        <v>1031.8899999999999</v>
      </c>
      <c r="F31" s="73"/>
      <c r="G31" s="73"/>
      <c r="H31" s="243"/>
      <c r="I31" s="73"/>
      <c r="J31" s="75"/>
    </row>
    <row r="32" spans="2:11">
      <c r="B32" s="94" t="s">
        <v>23</v>
      </c>
      <c r="C32" s="11" t="s">
        <v>24</v>
      </c>
      <c r="D32" s="303">
        <v>3352.34</v>
      </c>
      <c r="E32" s="264">
        <v>2044.88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04">
        <v>2746.96</v>
      </c>
      <c r="E33" s="265">
        <v>838.43000000000006</v>
      </c>
      <c r="F33" s="73"/>
      <c r="G33" s="73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265">
        <v>598.54</v>
      </c>
      <c r="F34" s="73"/>
      <c r="G34" s="73"/>
      <c r="H34" s="243"/>
      <c r="I34" s="73"/>
      <c r="J34" s="75"/>
    </row>
    <row r="35" spans="2:10">
      <c r="B35" s="190" t="s">
        <v>8</v>
      </c>
      <c r="C35" s="183" t="s">
        <v>27</v>
      </c>
      <c r="D35" s="304">
        <v>221.54</v>
      </c>
      <c r="E35" s="265">
        <v>203.73000000000002</v>
      </c>
      <c r="F35" s="73"/>
      <c r="G35" s="73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73"/>
      <c r="H36" s="243"/>
      <c r="I36" s="73"/>
      <c r="J36" s="75"/>
    </row>
    <row r="37" spans="2:10" ht="25.5">
      <c r="B37" s="190" t="s">
        <v>29</v>
      </c>
      <c r="C37" s="183" t="s">
        <v>30</v>
      </c>
      <c r="D37" s="304">
        <v>383.84000000000003</v>
      </c>
      <c r="E37" s="265">
        <v>404.18</v>
      </c>
      <c r="F37" s="73"/>
      <c r="G37" s="73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73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73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05">
        <v>3136.83</v>
      </c>
      <c r="E40" s="266">
        <v>-6789.0999999999995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123211.73</v>
      </c>
      <c r="E41" s="150">
        <f>E26+E27+E40</f>
        <v>82107.829999999987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5158.8909999999996</v>
      </c>
      <c r="E47" s="151">
        <v>11310.468000000001</v>
      </c>
      <c r="G47" s="73"/>
    </row>
    <row r="48" spans="2:10">
      <c r="B48" s="195" t="s">
        <v>6</v>
      </c>
      <c r="C48" s="196" t="s">
        <v>41</v>
      </c>
      <c r="D48" s="310">
        <v>15363.058000000001</v>
      </c>
      <c r="E48" s="151">
        <v>11263.076999999999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6.78</v>
      </c>
      <c r="E50" s="151">
        <v>7.89</v>
      </c>
      <c r="G50" s="181"/>
    </row>
    <row r="51" spans="2:7">
      <c r="B51" s="193" t="s">
        <v>6</v>
      </c>
      <c r="C51" s="194" t="s">
        <v>111</v>
      </c>
      <c r="D51" s="310">
        <v>6.7700000000000005</v>
      </c>
      <c r="E51" s="151">
        <v>7.1</v>
      </c>
      <c r="G51" s="181"/>
    </row>
    <row r="52" spans="2:7">
      <c r="B52" s="193" t="s">
        <v>8</v>
      </c>
      <c r="C52" s="194" t="s">
        <v>112</v>
      </c>
      <c r="D52" s="310">
        <v>9.17</v>
      </c>
      <c r="E52" s="151">
        <v>7.91</v>
      </c>
    </row>
    <row r="53" spans="2:7" ht="13.5" customHeight="1" thickBot="1">
      <c r="B53" s="197" t="s">
        <v>9</v>
      </c>
      <c r="C53" s="198" t="s">
        <v>41</v>
      </c>
      <c r="D53" s="308">
        <v>8.02</v>
      </c>
      <c r="E53" s="267">
        <v>7.29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82107.83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82107.83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82107.83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82107.83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332A-61BA-41E4-92DB-DF6D3A5FC6DA}">
  <dimension ref="A1:L81"/>
  <sheetViews>
    <sheetView zoomScale="80" zoomScaleNormal="80" workbookViewId="0">
      <selection activeCell="G1" sqref="G1:O1048576"/>
    </sheetView>
  </sheetViews>
  <sheetFormatPr defaultRowHeight="12.75"/>
  <cols>
    <col min="1" max="1" width="8.710937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9"/>
      <c r="C4" s="149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241</v>
      </c>
      <c r="C6" s="458"/>
      <c r="D6" s="458"/>
      <c r="E6" s="458"/>
    </row>
    <row r="7" spans="2:12" ht="14.25">
      <c r="B7" s="350"/>
      <c r="C7" s="350"/>
      <c r="D7" s="350"/>
      <c r="E7" s="350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351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104319.52</v>
      </c>
      <c r="E11" s="377">
        <v>107136.2</v>
      </c>
    </row>
    <row r="12" spans="2:12">
      <c r="B12" s="182" t="s">
        <v>4</v>
      </c>
      <c r="C12" s="183" t="s">
        <v>5</v>
      </c>
      <c r="D12" s="378">
        <v>104319.52</v>
      </c>
      <c r="E12" s="379">
        <v>107136.2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104319.52</v>
      </c>
      <c r="E21" s="389">
        <v>107136.2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51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0</v>
      </c>
      <c r="E26" s="391">
        <f>D21</f>
        <v>104319.52</v>
      </c>
      <c r="G26" s="75"/>
    </row>
    <row r="27" spans="2:11">
      <c r="B27" s="9" t="s">
        <v>17</v>
      </c>
      <c r="C27" s="10" t="s">
        <v>108</v>
      </c>
      <c r="D27" s="392">
        <v>0</v>
      </c>
      <c r="E27" s="365">
        <v>-874.35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0</v>
      </c>
      <c r="E32" s="366">
        <v>874.35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0</v>
      </c>
      <c r="E37" s="367">
        <v>874.35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0</v>
      </c>
      <c r="E40" s="396">
        <v>3691.0299999999997</v>
      </c>
      <c r="G40" s="75"/>
    </row>
    <row r="41" spans="2:10" ht="13.5" thickBot="1">
      <c r="B41" s="101" t="s">
        <v>37</v>
      </c>
      <c r="C41" s="102" t="s">
        <v>38</v>
      </c>
      <c r="D41" s="397">
        <f>D26+D27+D40</f>
        <v>0</v>
      </c>
      <c r="E41" s="389">
        <f>E26+E27+E40</f>
        <v>107136.2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51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0</v>
      </c>
      <c r="E47" s="151">
        <v>1828.5630000000001</v>
      </c>
      <c r="G47" s="73"/>
    </row>
    <row r="48" spans="2:10">
      <c r="B48" s="195" t="s">
        <v>6</v>
      </c>
      <c r="C48" s="196" t="s">
        <v>41</v>
      </c>
      <c r="D48" s="310">
        <v>0</v>
      </c>
      <c r="E48" s="151">
        <v>1814.0229999999999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0</v>
      </c>
      <c r="E50" s="151">
        <v>57.05</v>
      </c>
      <c r="G50" s="181"/>
    </row>
    <row r="51" spans="2:7">
      <c r="B51" s="193" t="s">
        <v>6</v>
      </c>
      <c r="C51" s="194" t="s">
        <v>111</v>
      </c>
      <c r="D51" s="310">
        <v>0</v>
      </c>
      <c r="E51" s="151">
        <v>57.1</v>
      </c>
      <c r="G51" s="181"/>
    </row>
    <row r="52" spans="2:7">
      <c r="B52" s="193" t="s">
        <v>8</v>
      </c>
      <c r="C52" s="194" t="s">
        <v>112</v>
      </c>
      <c r="D52" s="310">
        <v>0</v>
      </c>
      <c r="E52" s="151">
        <v>63.37</v>
      </c>
    </row>
    <row r="53" spans="2:7" ht="13.5" customHeight="1" thickBot="1">
      <c r="B53" s="197" t="s">
        <v>9</v>
      </c>
      <c r="C53" s="198" t="s">
        <v>41</v>
      </c>
      <c r="D53" s="308">
        <v>0</v>
      </c>
      <c r="E53" s="267">
        <v>59.06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107136.2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107136.2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107136.2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107136.2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Arkusz110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178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166116.44</v>
      </c>
      <c r="E11" s="377">
        <v>199990.02</v>
      </c>
    </row>
    <row r="12" spans="2:12">
      <c r="B12" s="182" t="s">
        <v>4</v>
      </c>
      <c r="C12" s="183" t="s">
        <v>5</v>
      </c>
      <c r="D12" s="378">
        <v>166116.44</v>
      </c>
      <c r="E12" s="379">
        <v>199990.02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166116.44</v>
      </c>
      <c r="E21" s="389">
        <v>199990.02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1025660.89</v>
      </c>
      <c r="E26" s="391">
        <f>D21</f>
        <v>166116.44</v>
      </c>
      <c r="G26" s="75"/>
    </row>
    <row r="27" spans="2:11">
      <c r="B27" s="9" t="s">
        <v>17</v>
      </c>
      <c r="C27" s="10" t="s">
        <v>108</v>
      </c>
      <c r="D27" s="392">
        <v>-7655.02</v>
      </c>
      <c r="E27" s="365">
        <v>-1471.3700000000001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7655.02</v>
      </c>
      <c r="E32" s="366">
        <v>1471.3700000000001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0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696.27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6958.75</v>
      </c>
      <c r="E37" s="367">
        <v>1471.3600000000001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-236712.79</v>
      </c>
      <c r="E40" s="396">
        <v>35344.949999999997</v>
      </c>
      <c r="G40" s="75"/>
    </row>
    <row r="41" spans="2:10" ht="13.5" thickBot="1">
      <c r="B41" s="101" t="s">
        <v>37</v>
      </c>
      <c r="C41" s="102" t="s">
        <v>38</v>
      </c>
      <c r="D41" s="397">
        <v>781293.08</v>
      </c>
      <c r="E41" s="389">
        <f>E26+E27+E40</f>
        <v>199990.02000000002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220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36814.82</v>
      </c>
      <c r="E47" s="151">
        <v>7080.8370000000004</v>
      </c>
      <c r="G47" s="73"/>
    </row>
    <row r="48" spans="2:10">
      <c r="B48" s="195" t="s">
        <v>6</v>
      </c>
      <c r="C48" s="196" t="s">
        <v>41</v>
      </c>
      <c r="D48" s="310">
        <v>36491.97</v>
      </c>
      <c r="E48" s="151">
        <v>7024.5879999999997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27.86</v>
      </c>
      <c r="E50" s="151">
        <v>23.46</v>
      </c>
      <c r="G50" s="181"/>
    </row>
    <row r="51" spans="2:7">
      <c r="B51" s="193" t="s">
        <v>6</v>
      </c>
      <c r="C51" s="194" t="s">
        <v>111</v>
      </c>
      <c r="D51" s="310">
        <v>20.85</v>
      </c>
      <c r="E51" s="151">
        <v>23.46</v>
      </c>
      <c r="G51" s="181"/>
    </row>
    <row r="52" spans="2:7">
      <c r="B52" s="193" t="s">
        <v>8</v>
      </c>
      <c r="C52" s="194" t="s">
        <v>112</v>
      </c>
      <c r="D52" s="310">
        <v>28.830000000000002</v>
      </c>
      <c r="E52" s="151">
        <v>28.47</v>
      </c>
    </row>
    <row r="53" spans="2:7" ht="13.5" customHeight="1" thickBot="1">
      <c r="B53" s="197" t="s">
        <v>9</v>
      </c>
      <c r="C53" s="198" t="s">
        <v>41</v>
      </c>
      <c r="D53" s="308">
        <v>21.41</v>
      </c>
      <c r="E53" s="267">
        <v>28.47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199990.02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199990.02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199990.02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199990.02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Arkusz111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20.85546875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L2" s="73"/>
    </row>
    <row r="3" spans="2:12" ht="15.75">
      <c r="B3" s="456" t="s">
        <v>244</v>
      </c>
      <c r="C3" s="456"/>
      <c r="D3" s="456"/>
      <c r="E3" s="456"/>
    </row>
    <row r="4" spans="2:12" ht="15">
      <c r="B4" s="143"/>
      <c r="C4" s="143"/>
      <c r="D4" s="149"/>
      <c r="E4" s="149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179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21808.21</v>
      </c>
      <c r="E11" s="377">
        <v>25338.52</v>
      </c>
    </row>
    <row r="12" spans="2:12">
      <c r="B12" s="182" t="s">
        <v>4</v>
      </c>
      <c r="C12" s="183" t="s">
        <v>5</v>
      </c>
      <c r="D12" s="378">
        <v>21808.21</v>
      </c>
      <c r="E12" s="379">
        <v>25338.52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21808.21</v>
      </c>
      <c r="E21" s="389">
        <v>25338.52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21237.33</v>
      </c>
      <c r="E26" s="234">
        <f>D21</f>
        <v>21808.21</v>
      </c>
      <c r="G26" s="75"/>
    </row>
    <row r="27" spans="2:11">
      <c r="B27" s="9" t="s">
        <v>17</v>
      </c>
      <c r="C27" s="10" t="s">
        <v>108</v>
      </c>
      <c r="D27" s="392">
        <v>-1340.8000000000002</v>
      </c>
      <c r="E27" s="365">
        <v>2167.3300000000004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3377.87</v>
      </c>
      <c r="E28" s="366">
        <v>3244.4300000000003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3377.87</v>
      </c>
      <c r="E29" s="367">
        <v>3244.4300000000003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4718.67</v>
      </c>
      <c r="E32" s="366">
        <v>1077.0999999999999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3653</v>
      </c>
      <c r="E33" s="367">
        <v>704.32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287.64</v>
      </c>
      <c r="E35" s="367">
        <v>289.72000000000003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80.53</v>
      </c>
      <c r="E37" s="367">
        <v>82.97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697.5</v>
      </c>
      <c r="E39" s="368">
        <v>0.09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-1320.06</v>
      </c>
      <c r="E40" s="396">
        <v>1362.98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18576.47</v>
      </c>
      <c r="E41" s="150">
        <f>E26+E27+E40</f>
        <v>25338.52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356.75</v>
      </c>
      <c r="E47" s="151">
        <v>369.75599999999997</v>
      </c>
      <c r="G47" s="73"/>
      <c r="H47" s="161"/>
    </row>
    <row r="48" spans="2:10">
      <c r="B48" s="195" t="s">
        <v>6</v>
      </c>
      <c r="C48" s="196" t="s">
        <v>41</v>
      </c>
      <c r="D48" s="310">
        <v>333.03100000000001</v>
      </c>
      <c r="E48" s="151">
        <v>404.89800000000002</v>
      </c>
      <c r="G48" s="201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59.53</v>
      </c>
      <c r="E50" s="151">
        <v>58.98</v>
      </c>
      <c r="G50" s="181"/>
    </row>
    <row r="51" spans="2:7">
      <c r="B51" s="193" t="s">
        <v>6</v>
      </c>
      <c r="C51" s="194" t="s">
        <v>111</v>
      </c>
      <c r="D51" s="310">
        <v>54.34</v>
      </c>
      <c r="E51" s="151">
        <v>58.98</v>
      </c>
      <c r="G51" s="181"/>
    </row>
    <row r="52" spans="2:7">
      <c r="B52" s="193" t="s">
        <v>8</v>
      </c>
      <c r="C52" s="194" t="s">
        <v>112</v>
      </c>
      <c r="D52" s="310">
        <v>59.74</v>
      </c>
      <c r="E52" s="151">
        <v>62.75</v>
      </c>
    </row>
    <row r="53" spans="2:7" ht="12.75" customHeight="1" thickBot="1">
      <c r="B53" s="197" t="s">
        <v>9</v>
      </c>
      <c r="C53" s="198" t="s">
        <v>41</v>
      </c>
      <c r="D53" s="308">
        <v>55.78</v>
      </c>
      <c r="E53" s="267">
        <v>62.58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7.2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25338.52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25338.52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25338.52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25338.52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Arkusz112"/>
  <dimension ref="A1:L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215"/>
      <c r="I2" s="215"/>
      <c r="J2" s="216"/>
      <c r="L2" s="73"/>
    </row>
    <row r="3" spans="2:12" ht="15.75">
      <c r="B3" s="456" t="s">
        <v>244</v>
      </c>
      <c r="C3" s="456"/>
      <c r="D3" s="456"/>
      <c r="E3" s="456"/>
      <c r="H3" s="215"/>
      <c r="I3" s="215"/>
      <c r="J3" s="216"/>
    </row>
    <row r="4" spans="2:12" ht="15">
      <c r="B4" s="143"/>
      <c r="C4" s="143"/>
      <c r="D4" s="149"/>
      <c r="E4" s="149"/>
      <c r="H4" s="215"/>
      <c r="I4" s="215"/>
      <c r="J4" s="216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208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2596157.98</v>
      </c>
      <c r="E11" s="377">
        <v>243539.87</v>
      </c>
    </row>
    <row r="12" spans="2:12">
      <c r="B12" s="182" t="s">
        <v>4</v>
      </c>
      <c r="C12" s="183" t="s">
        <v>5</v>
      </c>
      <c r="D12" s="378">
        <v>2596157.98</v>
      </c>
      <c r="E12" s="379">
        <v>243539.87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2596157.98</v>
      </c>
      <c r="E21" s="389">
        <v>243539.87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3057595.74</v>
      </c>
      <c r="E26" s="234">
        <f>D21</f>
        <v>2596157.98</v>
      </c>
      <c r="G26" s="75"/>
    </row>
    <row r="27" spans="2:11">
      <c r="B27" s="9" t="s">
        <v>17</v>
      </c>
      <c r="C27" s="10" t="s">
        <v>108</v>
      </c>
      <c r="D27" s="392">
        <v>-110342.15000000001</v>
      </c>
      <c r="E27" s="365">
        <v>-2479161.16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0.03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0.03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110342.15000000001</v>
      </c>
      <c r="E32" s="366">
        <v>2479161.19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79149.8</v>
      </c>
      <c r="E33" s="367">
        <v>2455772.41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6841.91</v>
      </c>
      <c r="E35" s="367">
        <v>4395.6900000000005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24350.44</v>
      </c>
      <c r="E37" s="367">
        <v>18993.09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42437.51</v>
      </c>
      <c r="E40" s="396">
        <v>126543.04999999999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2989691.1</v>
      </c>
      <c r="E41" s="150">
        <f>E26+E27+E40</f>
        <v>243539.86999999982</v>
      </c>
      <c r="F41" s="78"/>
      <c r="G41" s="75"/>
      <c r="H41" s="237"/>
    </row>
    <row r="42" spans="2:10">
      <c r="B42" s="95"/>
      <c r="C42" s="95"/>
      <c r="D42" s="96"/>
      <c r="E42" s="96"/>
      <c r="F42" s="78"/>
      <c r="G42" s="68"/>
      <c r="H42" s="237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15217.976000000001</v>
      </c>
      <c r="E47" s="151">
        <v>12114.031000000001</v>
      </c>
      <c r="G47" s="73"/>
    </row>
    <row r="48" spans="2:10">
      <c r="B48" s="195" t="s">
        <v>6</v>
      </c>
      <c r="C48" s="196" t="s">
        <v>41</v>
      </c>
      <c r="D48" s="310">
        <v>14674.771000000001</v>
      </c>
      <c r="E48" s="151">
        <v>1078.278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200.92</v>
      </c>
      <c r="E50" s="151">
        <v>214.31</v>
      </c>
      <c r="G50" s="181"/>
    </row>
    <row r="51" spans="2:7">
      <c r="B51" s="193" t="s">
        <v>6</v>
      </c>
      <c r="C51" s="194" t="s">
        <v>111</v>
      </c>
      <c r="D51" s="310">
        <v>199.99</v>
      </c>
      <c r="E51" s="151">
        <v>214.31</v>
      </c>
      <c r="G51" s="181"/>
    </row>
    <row r="52" spans="2:7">
      <c r="B52" s="193" t="s">
        <v>8</v>
      </c>
      <c r="C52" s="194" t="s">
        <v>112</v>
      </c>
      <c r="D52" s="310">
        <v>205.32</v>
      </c>
      <c r="E52" s="151">
        <v>225.86</v>
      </c>
    </row>
    <row r="53" spans="2:7" ht="12.75" customHeight="1" thickBot="1">
      <c r="B53" s="197" t="s">
        <v>9</v>
      </c>
      <c r="C53" s="198" t="s">
        <v>41</v>
      </c>
      <c r="D53" s="308">
        <v>203.73</v>
      </c>
      <c r="E53" s="267">
        <v>225.86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243539.87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3.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243539.87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243539.87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243539.87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Arkusz113"/>
  <dimension ref="A1:L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209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5966688.0199999996</v>
      </c>
      <c r="E11" s="377">
        <v>6041272.29</v>
      </c>
    </row>
    <row r="12" spans="2:12">
      <c r="B12" s="182" t="s">
        <v>4</v>
      </c>
      <c r="C12" s="183" t="s">
        <v>5</v>
      </c>
      <c r="D12" s="378">
        <v>5966688.0199999996</v>
      </c>
      <c r="E12" s="379">
        <v>6041272.29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5966688.0199999996</v>
      </c>
      <c r="E21" s="389">
        <v>6041272.29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02">
        <v>4695240.93</v>
      </c>
      <c r="E26" s="234">
        <f>D21</f>
        <v>5966688.0199999996</v>
      </c>
      <c r="G26" s="75"/>
    </row>
    <row r="27" spans="2:11">
      <c r="B27" s="9" t="s">
        <v>17</v>
      </c>
      <c r="C27" s="10" t="s">
        <v>108</v>
      </c>
      <c r="D27" s="392">
        <v>-43765.5</v>
      </c>
      <c r="E27" s="365">
        <v>-277958.29000000004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43765.5</v>
      </c>
      <c r="E32" s="366">
        <v>277958.29000000004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225270.56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6225.12</v>
      </c>
      <c r="E35" s="367">
        <v>5194.63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37540.379999999997</v>
      </c>
      <c r="E37" s="367">
        <v>47493.090000000004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0.01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56314.59</v>
      </c>
      <c r="E40" s="396">
        <v>352542.56</v>
      </c>
      <c r="G40" s="75"/>
      <c r="H40" s="237"/>
    </row>
    <row r="41" spans="2:10" ht="13.5" thickBot="1">
      <c r="B41" s="101" t="s">
        <v>37</v>
      </c>
      <c r="C41" s="102" t="s">
        <v>38</v>
      </c>
      <c r="D41" s="306">
        <v>4707790.0199999996</v>
      </c>
      <c r="E41" s="150">
        <f>E26+E27+E40</f>
        <v>6041272.2899999991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77">
        <f>D21</f>
        <v>5966688.0199999996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403371.21399999998</v>
      </c>
      <c r="E47" s="151">
        <v>482351.49699999997</v>
      </c>
      <c r="G47" s="73"/>
    </row>
    <row r="48" spans="2:10">
      <c r="B48" s="195" t="s">
        <v>6</v>
      </c>
      <c r="C48" s="196" t="s">
        <v>41</v>
      </c>
      <c r="D48" s="310">
        <v>399642.61599999998</v>
      </c>
      <c r="E48" s="151">
        <v>460112.13199999998</v>
      </c>
      <c r="G48" s="73"/>
    </row>
    <row r="49" spans="2:7">
      <c r="B49" s="122" t="s">
        <v>23</v>
      </c>
      <c r="C49" s="126" t="s">
        <v>110</v>
      </c>
      <c r="D49" s="311"/>
      <c r="E49" s="151"/>
    </row>
    <row r="50" spans="2:7">
      <c r="B50" s="193" t="s">
        <v>4</v>
      </c>
      <c r="C50" s="194" t="s">
        <v>40</v>
      </c>
      <c r="D50" s="310">
        <v>11.64</v>
      </c>
      <c r="E50" s="281">
        <v>12.37</v>
      </c>
      <c r="G50" s="181"/>
    </row>
    <row r="51" spans="2:7">
      <c r="B51" s="193" t="s">
        <v>6</v>
      </c>
      <c r="C51" s="194" t="s">
        <v>111</v>
      </c>
      <c r="D51" s="310">
        <v>11.540000000000001</v>
      </c>
      <c r="E51" s="451">
        <v>12.37</v>
      </c>
      <c r="G51" s="181"/>
    </row>
    <row r="52" spans="2:7">
      <c r="B52" s="193" t="s">
        <v>8</v>
      </c>
      <c r="C52" s="194" t="s">
        <v>112</v>
      </c>
      <c r="D52" s="310">
        <v>11.91</v>
      </c>
      <c r="E52" s="292">
        <v>13.14</v>
      </c>
    </row>
    <row r="53" spans="2:7" ht="12.75" customHeight="1" thickBot="1">
      <c r="B53" s="197" t="s">
        <v>9</v>
      </c>
      <c r="C53" s="198" t="s">
        <v>41</v>
      </c>
      <c r="D53" s="308">
        <v>11.78</v>
      </c>
      <c r="E53" s="267">
        <v>13.13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6.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6041272.29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6041272.29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6041272.29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6041272.29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Arkusz114"/>
  <dimension ref="A1:L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5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2"/>
      <c r="C1" s="2"/>
      <c r="D1" s="3"/>
      <c r="E1" s="3"/>
    </row>
    <row r="2" spans="2:12" ht="15.75">
      <c r="B2" s="456" t="s">
        <v>0</v>
      </c>
      <c r="C2" s="456"/>
      <c r="D2" s="456"/>
      <c r="E2" s="456"/>
      <c r="H2" s="163"/>
      <c r="I2" s="163"/>
      <c r="J2" s="165"/>
      <c r="L2" s="73"/>
    </row>
    <row r="3" spans="2:12" ht="15.75">
      <c r="B3" s="456" t="s">
        <v>244</v>
      </c>
      <c r="C3" s="456"/>
      <c r="D3" s="456"/>
      <c r="E3" s="456"/>
      <c r="H3" s="163"/>
      <c r="I3" s="163"/>
      <c r="J3" s="165"/>
    </row>
    <row r="4" spans="2:12" ht="15">
      <c r="B4" s="143"/>
      <c r="C4" s="143"/>
      <c r="D4" s="149"/>
      <c r="E4" s="149"/>
      <c r="H4" s="162"/>
      <c r="I4" s="162"/>
      <c r="J4" s="165"/>
    </row>
    <row r="5" spans="2:12" ht="21" customHeight="1">
      <c r="B5" s="457" t="s">
        <v>1</v>
      </c>
      <c r="C5" s="457"/>
      <c r="D5" s="457"/>
      <c r="E5" s="457"/>
    </row>
    <row r="6" spans="2:12" ht="14.25">
      <c r="B6" s="458" t="s">
        <v>225</v>
      </c>
      <c r="C6" s="458"/>
      <c r="D6" s="458"/>
      <c r="E6" s="458"/>
    </row>
    <row r="7" spans="2:12" ht="14.25">
      <c r="B7" s="141"/>
      <c r="C7" s="141"/>
      <c r="D7" s="296"/>
      <c r="E7" s="296"/>
    </row>
    <row r="8" spans="2:12" ht="13.5">
      <c r="B8" s="460" t="s">
        <v>18</v>
      </c>
      <c r="C8" s="466"/>
      <c r="D8" s="466"/>
      <c r="E8" s="466"/>
    </row>
    <row r="9" spans="2:12" ht="16.5" thickBot="1">
      <c r="B9" s="459" t="s">
        <v>100</v>
      </c>
      <c r="C9" s="459"/>
      <c r="D9" s="459"/>
      <c r="E9" s="459"/>
    </row>
    <row r="10" spans="2:12" ht="13.5" thickBot="1">
      <c r="B10" s="142"/>
      <c r="C10" s="77" t="s">
        <v>2</v>
      </c>
      <c r="D10" s="274" t="s">
        <v>236</v>
      </c>
      <c r="E10" s="246" t="s">
        <v>242</v>
      </c>
    </row>
    <row r="11" spans="2:12">
      <c r="B11" s="92" t="s">
        <v>3</v>
      </c>
      <c r="C11" s="130" t="s">
        <v>106</v>
      </c>
      <c r="D11" s="376">
        <v>114942.74</v>
      </c>
      <c r="E11" s="377">
        <v>78178.98</v>
      </c>
    </row>
    <row r="12" spans="2:12">
      <c r="B12" s="182" t="s">
        <v>4</v>
      </c>
      <c r="C12" s="183" t="s">
        <v>5</v>
      </c>
      <c r="D12" s="378">
        <v>114942.74</v>
      </c>
      <c r="E12" s="379">
        <v>78178.98</v>
      </c>
    </row>
    <row r="13" spans="2:12">
      <c r="B13" s="182" t="s">
        <v>6</v>
      </c>
      <c r="C13" s="184" t="s">
        <v>7</v>
      </c>
      <c r="D13" s="380">
        <v>0</v>
      </c>
      <c r="E13" s="442">
        <v>0</v>
      </c>
    </row>
    <row r="14" spans="2:12">
      <c r="B14" s="182" t="s">
        <v>8</v>
      </c>
      <c r="C14" s="184" t="s">
        <v>10</v>
      </c>
      <c r="D14" s="380">
        <v>0</v>
      </c>
      <c r="E14" s="442">
        <v>0</v>
      </c>
      <c r="G14" s="68"/>
    </row>
    <row r="15" spans="2:12">
      <c r="B15" s="182" t="s">
        <v>103</v>
      </c>
      <c r="C15" s="184" t="s">
        <v>11</v>
      </c>
      <c r="D15" s="380">
        <v>0</v>
      </c>
      <c r="E15" s="442">
        <v>0</v>
      </c>
    </row>
    <row r="16" spans="2:12">
      <c r="B16" s="185" t="s">
        <v>104</v>
      </c>
      <c r="C16" s="186" t="s">
        <v>12</v>
      </c>
      <c r="D16" s="382">
        <v>0</v>
      </c>
      <c r="E16" s="443">
        <v>0</v>
      </c>
    </row>
    <row r="17" spans="2:11">
      <c r="B17" s="9" t="s">
        <v>13</v>
      </c>
      <c r="C17" s="11" t="s">
        <v>65</v>
      </c>
      <c r="D17" s="384">
        <v>0</v>
      </c>
      <c r="E17" s="444">
        <v>0</v>
      </c>
    </row>
    <row r="18" spans="2:11">
      <c r="B18" s="182" t="s">
        <v>4</v>
      </c>
      <c r="C18" s="183" t="s">
        <v>11</v>
      </c>
      <c r="D18" s="382">
        <v>0</v>
      </c>
      <c r="E18" s="443">
        <v>0</v>
      </c>
    </row>
    <row r="19" spans="2:11" ht="15" customHeight="1">
      <c r="B19" s="182" t="s">
        <v>6</v>
      </c>
      <c r="C19" s="184" t="s">
        <v>105</v>
      </c>
      <c r="D19" s="380">
        <v>0</v>
      </c>
      <c r="E19" s="442">
        <v>0</v>
      </c>
    </row>
    <row r="20" spans="2:11" ht="13.5" thickBot="1">
      <c r="B20" s="187" t="s">
        <v>8</v>
      </c>
      <c r="C20" s="188" t="s">
        <v>14</v>
      </c>
      <c r="D20" s="386">
        <v>0</v>
      </c>
      <c r="E20" s="445">
        <v>0</v>
      </c>
    </row>
    <row r="21" spans="2:11" ht="13.5" thickBot="1">
      <c r="B21" s="468" t="s">
        <v>107</v>
      </c>
      <c r="C21" s="469"/>
      <c r="D21" s="388">
        <v>114942.74</v>
      </c>
      <c r="E21" s="389">
        <v>78178.98</v>
      </c>
      <c r="F21" s="78"/>
      <c r="G21" s="78"/>
      <c r="H21" s="169"/>
      <c r="J21" s="227"/>
      <c r="K21" s="169"/>
    </row>
    <row r="22" spans="2:11">
      <c r="B22" s="4"/>
      <c r="C22" s="7"/>
      <c r="D22" s="8"/>
      <c r="E22" s="8"/>
      <c r="G22" s="73"/>
    </row>
    <row r="23" spans="2:11" ht="13.5">
      <c r="B23" s="460" t="s">
        <v>101</v>
      </c>
      <c r="C23" s="470"/>
      <c r="D23" s="470"/>
      <c r="E23" s="470"/>
      <c r="G23" s="73"/>
    </row>
    <row r="24" spans="2:11" ht="15.75" customHeight="1" thickBot="1">
      <c r="B24" s="459" t="s">
        <v>102</v>
      </c>
      <c r="C24" s="471"/>
      <c r="D24" s="471"/>
      <c r="E24" s="471"/>
    </row>
    <row r="25" spans="2:11" ht="13.5" thickBot="1">
      <c r="B25" s="323"/>
      <c r="C25" s="189" t="s">
        <v>2</v>
      </c>
      <c r="D25" s="274" t="s">
        <v>243</v>
      </c>
      <c r="E25" s="246" t="s">
        <v>242</v>
      </c>
    </row>
    <row r="26" spans="2:11">
      <c r="B26" s="97" t="s">
        <v>15</v>
      </c>
      <c r="C26" s="98" t="s">
        <v>16</v>
      </c>
      <c r="D26" s="390">
        <v>192822.31</v>
      </c>
      <c r="E26" s="391">
        <f>D21</f>
        <v>114942.74</v>
      </c>
      <c r="G26" s="75"/>
    </row>
    <row r="27" spans="2:11">
      <c r="B27" s="9" t="s">
        <v>17</v>
      </c>
      <c r="C27" s="10" t="s">
        <v>108</v>
      </c>
      <c r="D27" s="392">
        <v>-1484.24</v>
      </c>
      <c r="E27" s="365">
        <v>-42994.29</v>
      </c>
      <c r="F27" s="73"/>
      <c r="G27" s="75"/>
      <c r="H27" s="243"/>
      <c r="I27" s="73"/>
      <c r="J27" s="75"/>
    </row>
    <row r="28" spans="2:11">
      <c r="B28" s="9" t="s">
        <v>18</v>
      </c>
      <c r="C28" s="10" t="s">
        <v>19</v>
      </c>
      <c r="D28" s="392">
        <v>0</v>
      </c>
      <c r="E28" s="366">
        <v>0</v>
      </c>
      <c r="F28" s="73"/>
      <c r="G28" s="155"/>
      <c r="H28" s="243"/>
      <c r="I28" s="73"/>
      <c r="J28" s="75"/>
    </row>
    <row r="29" spans="2:11">
      <c r="B29" s="190" t="s">
        <v>4</v>
      </c>
      <c r="C29" s="183" t="s">
        <v>20</v>
      </c>
      <c r="D29" s="393">
        <v>0</v>
      </c>
      <c r="E29" s="367">
        <v>0</v>
      </c>
      <c r="F29" s="73"/>
      <c r="G29" s="155"/>
      <c r="H29" s="243"/>
      <c r="I29" s="73"/>
      <c r="J29" s="75"/>
    </row>
    <row r="30" spans="2:11">
      <c r="B30" s="190" t="s">
        <v>6</v>
      </c>
      <c r="C30" s="183" t="s">
        <v>21</v>
      </c>
      <c r="D30" s="393">
        <v>0</v>
      </c>
      <c r="E30" s="367">
        <v>0</v>
      </c>
      <c r="F30" s="73"/>
      <c r="G30" s="155"/>
      <c r="H30" s="243"/>
      <c r="I30" s="73"/>
      <c r="J30" s="75"/>
    </row>
    <row r="31" spans="2:11">
      <c r="B31" s="190" t="s">
        <v>8</v>
      </c>
      <c r="C31" s="183" t="s">
        <v>22</v>
      </c>
      <c r="D31" s="393">
        <v>0</v>
      </c>
      <c r="E31" s="367">
        <v>0</v>
      </c>
      <c r="F31" s="73"/>
      <c r="G31" s="155"/>
      <c r="H31" s="243"/>
      <c r="I31" s="73"/>
      <c r="J31" s="75"/>
    </row>
    <row r="32" spans="2:11">
      <c r="B32" s="94" t="s">
        <v>23</v>
      </c>
      <c r="C32" s="11" t="s">
        <v>24</v>
      </c>
      <c r="D32" s="392">
        <v>1484.24</v>
      </c>
      <c r="E32" s="366">
        <v>42994.29</v>
      </c>
      <c r="F32" s="73"/>
      <c r="G32" s="75"/>
      <c r="H32" s="243"/>
      <c r="I32" s="73"/>
      <c r="J32" s="75"/>
    </row>
    <row r="33" spans="2:10">
      <c r="B33" s="190" t="s">
        <v>4</v>
      </c>
      <c r="C33" s="183" t="s">
        <v>25</v>
      </c>
      <c r="D33" s="393">
        <v>0</v>
      </c>
      <c r="E33" s="367">
        <v>42194.090000000004</v>
      </c>
      <c r="F33" s="73"/>
      <c r="G33" s="155"/>
      <c r="H33" s="243"/>
      <c r="I33" s="73"/>
      <c r="J33" s="75"/>
    </row>
    <row r="34" spans="2:10">
      <c r="B34" s="190" t="s">
        <v>6</v>
      </c>
      <c r="C34" s="183" t="s">
        <v>26</v>
      </c>
      <c r="D34" s="393">
        <v>0</v>
      </c>
      <c r="E34" s="367">
        <v>0</v>
      </c>
      <c r="F34" s="73"/>
      <c r="G34" s="155"/>
      <c r="H34" s="243"/>
      <c r="I34" s="73"/>
      <c r="J34" s="75"/>
    </row>
    <row r="35" spans="2:10">
      <c r="B35" s="190" t="s">
        <v>8</v>
      </c>
      <c r="C35" s="183" t="s">
        <v>27</v>
      </c>
      <c r="D35" s="393">
        <v>0</v>
      </c>
      <c r="E35" s="367">
        <v>0</v>
      </c>
      <c r="F35" s="73"/>
      <c r="G35" s="155"/>
      <c r="H35" s="243"/>
      <c r="I35" s="73"/>
      <c r="J35" s="75"/>
    </row>
    <row r="36" spans="2:10">
      <c r="B36" s="190" t="s">
        <v>9</v>
      </c>
      <c r="C36" s="183" t="s">
        <v>28</v>
      </c>
      <c r="D36" s="393">
        <v>0</v>
      </c>
      <c r="E36" s="367">
        <v>0</v>
      </c>
      <c r="F36" s="73"/>
      <c r="G36" s="155"/>
      <c r="H36" s="243"/>
      <c r="I36" s="73"/>
      <c r="J36" s="75"/>
    </row>
    <row r="37" spans="2:10" ht="25.5">
      <c r="B37" s="190" t="s">
        <v>29</v>
      </c>
      <c r="C37" s="183" t="s">
        <v>30</v>
      </c>
      <c r="D37" s="393">
        <v>1484.24</v>
      </c>
      <c r="E37" s="367">
        <v>800.2</v>
      </c>
      <c r="F37" s="73"/>
      <c r="G37" s="155"/>
      <c r="H37" s="243"/>
      <c r="I37" s="73"/>
      <c r="J37" s="75"/>
    </row>
    <row r="38" spans="2:10">
      <c r="B38" s="190" t="s">
        <v>31</v>
      </c>
      <c r="C38" s="183" t="s">
        <v>32</v>
      </c>
      <c r="D38" s="393">
        <v>0</v>
      </c>
      <c r="E38" s="367">
        <v>0</v>
      </c>
      <c r="F38" s="73"/>
      <c r="G38" s="155"/>
      <c r="H38" s="243"/>
      <c r="I38" s="73"/>
      <c r="J38" s="75"/>
    </row>
    <row r="39" spans="2:10">
      <c r="B39" s="191" t="s">
        <v>33</v>
      </c>
      <c r="C39" s="192" t="s">
        <v>34</v>
      </c>
      <c r="D39" s="394">
        <v>0</v>
      </c>
      <c r="E39" s="368">
        <v>0</v>
      </c>
      <c r="F39" s="73"/>
      <c r="G39" s="155"/>
      <c r="H39" s="243"/>
      <c r="I39" s="73"/>
      <c r="J39" s="75"/>
    </row>
    <row r="40" spans="2:10" ht="13.5" thickBot="1">
      <c r="B40" s="99" t="s">
        <v>35</v>
      </c>
      <c r="C40" s="100" t="s">
        <v>36</v>
      </c>
      <c r="D40" s="395">
        <v>-10832.85</v>
      </c>
      <c r="E40" s="396">
        <v>6230.5300000000007</v>
      </c>
      <c r="G40" s="75"/>
      <c r="H40" s="237"/>
    </row>
    <row r="41" spans="2:10" ht="13.5" thickBot="1">
      <c r="B41" s="101" t="s">
        <v>37</v>
      </c>
      <c r="C41" s="102" t="s">
        <v>38</v>
      </c>
      <c r="D41" s="397">
        <v>180505.22</v>
      </c>
      <c r="E41" s="389">
        <f>E26+E27+E40</f>
        <v>78178.98000000001</v>
      </c>
      <c r="F41" s="78"/>
      <c r="G41" s="75"/>
    </row>
    <row r="42" spans="2:10">
      <c r="B42" s="95"/>
      <c r="C42" s="95"/>
      <c r="D42" s="96"/>
      <c r="E42" s="96"/>
      <c r="F42" s="78"/>
      <c r="G42" s="68"/>
    </row>
    <row r="43" spans="2:10" ht="13.5">
      <c r="B43" s="461" t="s">
        <v>60</v>
      </c>
      <c r="C43" s="462"/>
      <c r="D43" s="462"/>
      <c r="E43" s="462"/>
      <c r="G43" s="73"/>
    </row>
    <row r="44" spans="2:10" ht="18" customHeight="1" thickBot="1">
      <c r="B44" s="459" t="s">
        <v>118</v>
      </c>
      <c r="C44" s="463"/>
      <c r="D44" s="463"/>
      <c r="E44" s="463"/>
      <c r="G44" s="73"/>
    </row>
    <row r="45" spans="2:10" ht="13.5" thickBot="1">
      <c r="B45" s="323"/>
      <c r="C45" s="29" t="s">
        <v>39</v>
      </c>
      <c r="D45" s="274" t="s">
        <v>243</v>
      </c>
      <c r="E45" s="246" t="s">
        <v>242</v>
      </c>
      <c r="G45" s="73"/>
    </row>
    <row r="46" spans="2:10">
      <c r="B46" s="13" t="s">
        <v>18</v>
      </c>
      <c r="C46" s="30" t="s">
        <v>109</v>
      </c>
      <c r="D46" s="103"/>
      <c r="E46" s="28"/>
      <c r="G46" s="73"/>
    </row>
    <row r="47" spans="2:10">
      <c r="B47" s="193" t="s">
        <v>4</v>
      </c>
      <c r="C47" s="194" t="s">
        <v>40</v>
      </c>
      <c r="D47" s="310">
        <v>16723.530999999999</v>
      </c>
      <c r="E47" s="294">
        <v>10003.719999999999</v>
      </c>
      <c r="G47" s="73"/>
    </row>
    <row r="48" spans="2:10">
      <c r="B48" s="195" t="s">
        <v>6</v>
      </c>
      <c r="C48" s="196" t="s">
        <v>41</v>
      </c>
      <c r="D48" s="310">
        <v>16590.553</v>
      </c>
      <c r="E48" s="151">
        <v>6402.8649999999998</v>
      </c>
      <c r="G48" s="73"/>
    </row>
    <row r="49" spans="2:7">
      <c r="B49" s="122" t="s">
        <v>23</v>
      </c>
      <c r="C49" s="126" t="s">
        <v>110</v>
      </c>
      <c r="D49" s="311"/>
      <c r="E49" s="127"/>
    </row>
    <row r="50" spans="2:7">
      <c r="B50" s="193" t="s">
        <v>4</v>
      </c>
      <c r="C50" s="194" t="s">
        <v>40</v>
      </c>
      <c r="D50" s="310">
        <v>11.53</v>
      </c>
      <c r="E50" s="76">
        <v>11.49</v>
      </c>
      <c r="G50" s="181"/>
    </row>
    <row r="51" spans="2:7">
      <c r="B51" s="193" t="s">
        <v>6</v>
      </c>
      <c r="C51" s="194" t="s">
        <v>111</v>
      </c>
      <c r="D51" s="310">
        <v>10.75</v>
      </c>
      <c r="E51" s="76">
        <v>11.49</v>
      </c>
      <c r="G51" s="181"/>
    </row>
    <row r="52" spans="2:7">
      <c r="B52" s="193" t="s">
        <v>8</v>
      </c>
      <c r="C52" s="194" t="s">
        <v>112</v>
      </c>
      <c r="D52" s="310">
        <v>11.620000000000001</v>
      </c>
      <c r="E52" s="76">
        <v>12.21</v>
      </c>
    </row>
    <row r="53" spans="2:7" ht="14.25" customHeight="1" thickBot="1">
      <c r="B53" s="197" t="s">
        <v>9</v>
      </c>
      <c r="C53" s="198" t="s">
        <v>41</v>
      </c>
      <c r="D53" s="308">
        <v>10.88</v>
      </c>
      <c r="E53" s="267">
        <v>12.21</v>
      </c>
    </row>
    <row r="54" spans="2:7">
      <c r="B54" s="111"/>
      <c r="C54" s="112"/>
      <c r="D54" s="113"/>
      <c r="E54" s="113"/>
    </row>
    <row r="55" spans="2:7" ht="13.5">
      <c r="B55" s="461" t="s">
        <v>62</v>
      </c>
      <c r="C55" s="466"/>
      <c r="D55" s="466"/>
      <c r="E55" s="466"/>
    </row>
    <row r="56" spans="2:7" ht="15.75" customHeight="1" thickBot="1">
      <c r="B56" s="459" t="s">
        <v>113</v>
      </c>
      <c r="C56" s="467"/>
      <c r="D56" s="467"/>
      <c r="E56" s="467"/>
    </row>
    <row r="57" spans="2:7" ht="23.25" thickBot="1">
      <c r="B57" s="454" t="s">
        <v>42</v>
      </c>
      <c r="C57" s="455"/>
      <c r="D57" s="18" t="s">
        <v>119</v>
      </c>
      <c r="E57" s="19" t="s">
        <v>114</v>
      </c>
    </row>
    <row r="58" spans="2:7">
      <c r="B58" s="20" t="s">
        <v>18</v>
      </c>
      <c r="C58" s="128" t="s">
        <v>43</v>
      </c>
      <c r="D58" s="129">
        <f>D64</f>
        <v>78178.98</v>
      </c>
      <c r="E58" s="31">
        <f>D58/E21</f>
        <v>1</v>
      </c>
    </row>
    <row r="59" spans="2:7" ht="25.5">
      <c r="B59" s="125" t="s">
        <v>4</v>
      </c>
      <c r="C59" s="22" t="s">
        <v>44</v>
      </c>
      <c r="D59" s="81">
        <v>0</v>
      </c>
      <c r="E59" s="82">
        <v>0</v>
      </c>
    </row>
    <row r="60" spans="2:7" ht="25.5">
      <c r="B60" s="104" t="s">
        <v>6</v>
      </c>
      <c r="C60" s="15" t="s">
        <v>45</v>
      </c>
      <c r="D60" s="79">
        <v>0</v>
      </c>
      <c r="E60" s="80">
        <v>0</v>
      </c>
    </row>
    <row r="61" spans="2:7" ht="12.75" customHeight="1">
      <c r="B61" s="104" t="s">
        <v>8</v>
      </c>
      <c r="C61" s="15" t="s">
        <v>46</v>
      </c>
      <c r="D61" s="79">
        <v>0</v>
      </c>
      <c r="E61" s="80">
        <v>0</v>
      </c>
    </row>
    <row r="62" spans="2:7">
      <c r="B62" s="104" t="s">
        <v>9</v>
      </c>
      <c r="C62" s="15" t="s">
        <v>47</v>
      </c>
      <c r="D62" s="79">
        <v>0</v>
      </c>
      <c r="E62" s="80">
        <v>0</v>
      </c>
    </row>
    <row r="63" spans="2:7">
      <c r="B63" s="104" t="s">
        <v>29</v>
      </c>
      <c r="C63" s="15" t="s">
        <v>48</v>
      </c>
      <c r="D63" s="79">
        <v>0</v>
      </c>
      <c r="E63" s="80">
        <v>0</v>
      </c>
    </row>
    <row r="64" spans="2:7">
      <c r="B64" s="125" t="s">
        <v>31</v>
      </c>
      <c r="C64" s="22" t="s">
        <v>49</v>
      </c>
      <c r="D64" s="81">
        <f>E21</f>
        <v>78178.98</v>
      </c>
      <c r="E64" s="82">
        <f>E58</f>
        <v>1</v>
      </c>
    </row>
    <row r="65" spans="2:5">
      <c r="B65" s="125" t="s">
        <v>33</v>
      </c>
      <c r="C65" s="22" t="s">
        <v>115</v>
      </c>
      <c r="D65" s="81">
        <v>0</v>
      </c>
      <c r="E65" s="82">
        <v>0</v>
      </c>
    </row>
    <row r="66" spans="2:5">
      <c r="B66" s="125" t="s">
        <v>50</v>
      </c>
      <c r="C66" s="22" t="s">
        <v>51</v>
      </c>
      <c r="D66" s="81">
        <v>0</v>
      </c>
      <c r="E66" s="82">
        <v>0</v>
      </c>
    </row>
    <row r="67" spans="2:5">
      <c r="B67" s="104" t="s">
        <v>52</v>
      </c>
      <c r="C67" s="15" t="s">
        <v>53</v>
      </c>
      <c r="D67" s="79">
        <v>0</v>
      </c>
      <c r="E67" s="80">
        <v>0</v>
      </c>
    </row>
    <row r="68" spans="2:5">
      <c r="B68" s="104" t="s">
        <v>54</v>
      </c>
      <c r="C68" s="15" t="s">
        <v>55</v>
      </c>
      <c r="D68" s="79">
        <v>0</v>
      </c>
      <c r="E68" s="80">
        <v>0</v>
      </c>
    </row>
    <row r="69" spans="2:5">
      <c r="B69" s="104" t="s">
        <v>56</v>
      </c>
      <c r="C69" s="15" t="s">
        <v>57</v>
      </c>
      <c r="D69" s="239">
        <v>0</v>
      </c>
      <c r="E69" s="80">
        <v>0</v>
      </c>
    </row>
    <row r="70" spans="2:5">
      <c r="B70" s="131" t="s">
        <v>58</v>
      </c>
      <c r="C70" s="115" t="s">
        <v>59</v>
      </c>
      <c r="D70" s="116">
        <v>0</v>
      </c>
      <c r="E70" s="117">
        <v>0</v>
      </c>
    </row>
    <row r="71" spans="2:5">
      <c r="B71" s="132" t="s">
        <v>23</v>
      </c>
      <c r="C71" s="123" t="s">
        <v>61</v>
      </c>
      <c r="D71" s="124">
        <v>0</v>
      </c>
      <c r="E71" s="67">
        <v>0</v>
      </c>
    </row>
    <row r="72" spans="2:5">
      <c r="B72" s="133" t="s">
        <v>60</v>
      </c>
      <c r="C72" s="119" t="s">
        <v>63</v>
      </c>
      <c r="D72" s="120">
        <f>E14</f>
        <v>0</v>
      </c>
      <c r="E72" s="121">
        <v>0</v>
      </c>
    </row>
    <row r="73" spans="2:5">
      <c r="B73" s="134" t="s">
        <v>62</v>
      </c>
      <c r="C73" s="24" t="s">
        <v>65</v>
      </c>
      <c r="D73" s="25">
        <v>0</v>
      </c>
      <c r="E73" s="26">
        <v>0</v>
      </c>
    </row>
    <row r="74" spans="2:5">
      <c r="B74" s="132" t="s">
        <v>64</v>
      </c>
      <c r="C74" s="123" t="s">
        <v>66</v>
      </c>
      <c r="D74" s="124">
        <f>D58</f>
        <v>78178.98</v>
      </c>
      <c r="E74" s="67">
        <f>E58+E72-E73</f>
        <v>1</v>
      </c>
    </row>
    <row r="75" spans="2:5">
      <c r="B75" s="104" t="s">
        <v>4</v>
      </c>
      <c r="C75" s="15" t="s">
        <v>67</v>
      </c>
      <c r="D75" s="79">
        <f>D74</f>
        <v>78178.98</v>
      </c>
      <c r="E75" s="80">
        <f>E74</f>
        <v>1</v>
      </c>
    </row>
    <row r="76" spans="2:5">
      <c r="B76" s="104" t="s">
        <v>6</v>
      </c>
      <c r="C76" s="15" t="s">
        <v>116</v>
      </c>
      <c r="D76" s="79">
        <v>0</v>
      </c>
      <c r="E76" s="80">
        <v>0</v>
      </c>
    </row>
    <row r="77" spans="2:5" ht="13.5" thickBot="1">
      <c r="B77" s="105" t="s">
        <v>8</v>
      </c>
      <c r="C77" s="17" t="s">
        <v>117</v>
      </c>
      <c r="D77" s="83">
        <v>0</v>
      </c>
      <c r="E77" s="84">
        <v>0</v>
      </c>
    </row>
    <row r="78" spans="2:5">
      <c r="B78" s="2"/>
      <c r="C78" s="2"/>
      <c r="D78" s="3"/>
      <c r="E78" s="3"/>
    </row>
    <row r="79" spans="2:5">
      <c r="B79" s="2"/>
      <c r="C79" s="2"/>
      <c r="D79" s="3"/>
      <c r="E79" s="3"/>
    </row>
    <row r="80" spans="2:5">
      <c r="B80" s="2"/>
      <c r="C80" s="2"/>
      <c r="D80" s="3"/>
      <c r="E80" s="3"/>
    </row>
    <row r="81" spans="2:5">
      <c r="B81" s="2"/>
      <c r="C81" s="2"/>
      <c r="D81" s="3"/>
      <c r="E81" s="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144</vt:i4>
      </vt:variant>
      <vt:variant>
        <vt:lpstr>Nazwane zakresy</vt:lpstr>
      </vt:variant>
      <vt:variant>
        <vt:i4>59</vt:i4>
      </vt:variant>
    </vt:vector>
  </HeadingPairs>
  <TitlesOfParts>
    <vt:vector size="203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Fundusz POSBis</vt:lpstr>
      <vt:lpstr>Fundusz Zachowawczy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Portfel SA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Stabilnego Wzrostu</vt:lpstr>
      <vt:lpstr>Allianz Obligacji Plus</vt:lpstr>
      <vt:lpstr>Allianz Aktywnej Alokacji</vt:lpstr>
      <vt:lpstr>Allianz Akcji Małych i ŚS</vt:lpstr>
      <vt:lpstr>Allianz Konserw.</vt:lpstr>
      <vt:lpstr>Allianz Polskich Obl.Skarb.</vt:lpstr>
      <vt:lpstr>Allianz Selektywny</vt:lpstr>
      <vt:lpstr>Allianz Akcji Glob.</vt:lpstr>
      <vt:lpstr>Allianz ARZ</vt:lpstr>
      <vt:lpstr>Allianz China</vt:lpstr>
      <vt:lpstr>Allianz Dyn.Multistrategia</vt:lpstr>
      <vt:lpstr>Allianz Def.Multistrategia</vt:lpstr>
      <vt:lpstr>Allianz Zbal.Multistrategia</vt:lpstr>
      <vt:lpstr>Allianz GSD</vt:lpstr>
      <vt:lpstr>Allianz Dł.Pap.Korp.</vt:lpstr>
      <vt:lpstr>Franklin EDF</vt:lpstr>
      <vt:lpstr>Franklin GFS</vt:lpstr>
      <vt:lpstr>Franklin USO</vt:lpstr>
      <vt:lpstr>GS EMD</vt:lpstr>
      <vt:lpstr>GS GSMBP</vt:lpstr>
      <vt:lpstr>Inwestor Akcji</vt:lpstr>
      <vt:lpstr>Investor Fun.Dyw. Wzr</vt:lpstr>
      <vt:lpstr>Investor TOP MISS</vt:lpstr>
      <vt:lpstr>Investor Zrównoważony</vt:lpstr>
      <vt:lpstr>Investor Quality</vt:lpstr>
      <vt:lpstr>Investor BRIC</vt:lpstr>
      <vt:lpstr>Investor Gold</vt:lpstr>
      <vt:lpstr>Investor Doch</vt:lpstr>
      <vt:lpstr>Investor Indie i Chiny</vt:lpstr>
      <vt:lpstr>Investor AK</vt:lpstr>
      <vt:lpstr>Investor Oszcz.</vt:lpstr>
      <vt:lpstr>Investor ZE</vt:lpstr>
      <vt:lpstr>JPM EMO</vt:lpstr>
      <vt:lpstr>JPM GH</vt:lpstr>
      <vt:lpstr>JPM GSB</vt:lpstr>
      <vt:lpstr>Esaliens Akcji</vt:lpstr>
      <vt:lpstr>Esaliens Obligacji</vt:lpstr>
      <vt:lpstr>Esaliens Kons</vt:lpstr>
      <vt:lpstr>Esaliens Med.i NT</vt:lpstr>
      <vt:lpstr>Millenium Master I</vt:lpstr>
      <vt:lpstr>Millenium Master V</vt:lpstr>
      <vt:lpstr>Millenium Master VI</vt:lpstr>
      <vt:lpstr>Millenium Master VII</vt:lpstr>
      <vt:lpstr>GS Akcji</vt:lpstr>
      <vt:lpstr>GS Obligacji</vt:lpstr>
      <vt:lpstr>GS OI</vt:lpstr>
      <vt:lpstr>GS ŚMS</vt:lpstr>
      <vt:lpstr>GS Eur.SD</vt:lpstr>
      <vt:lpstr>GS Glob. Długu Korp.</vt:lpstr>
      <vt:lpstr>GS Glob.SD</vt:lpstr>
      <vt:lpstr>GS J</vt:lpstr>
      <vt:lpstr>GS IS</vt:lpstr>
      <vt:lpstr>GS ORW</vt:lpstr>
      <vt:lpstr>GS Sp.Dyw.USA</vt:lpstr>
      <vt:lpstr>GS SGD</vt:lpstr>
      <vt:lpstr>Noble AMiŚS</vt:lpstr>
      <vt:lpstr>Pekao ARW</vt:lpstr>
      <vt:lpstr>Pekao AGD</vt:lpstr>
      <vt:lpstr>Pekao OS</vt:lpstr>
      <vt:lpstr>Pekao Spokojna Inw</vt:lpstr>
      <vt:lpstr>Pekao Surowców i Energii</vt:lpstr>
      <vt:lpstr>Pekao AE</vt:lpstr>
      <vt:lpstr>Pekao DS</vt:lpstr>
      <vt:lpstr>Pekao OP</vt:lpstr>
      <vt:lpstr>Pekao Kons.</vt:lpstr>
      <vt:lpstr>Pekao Kons.+</vt:lpstr>
      <vt:lpstr>Pekao B15D</vt:lpstr>
      <vt:lpstr>Pekao DA2</vt:lpstr>
      <vt:lpstr>Pekao AS</vt:lpstr>
      <vt:lpstr>Pekao SG</vt:lpstr>
      <vt:lpstr>Pekao MIS</vt:lpstr>
      <vt:lpstr>Pekao OID</vt:lpstr>
      <vt:lpstr>PKO Obligacji Dług.</vt:lpstr>
      <vt:lpstr>PKO Dyn.Alokacji</vt:lpstr>
      <vt:lpstr>PZU AP</vt:lpstr>
      <vt:lpstr>PZU AK</vt:lpstr>
      <vt:lpstr>PZU AMiŚS</vt:lpstr>
      <vt:lpstr>PZU M</vt:lpstr>
      <vt:lpstr>PZU ARR</vt:lpstr>
      <vt:lpstr>PZU PDP</vt:lpstr>
      <vt:lpstr>Quercus A</vt:lpstr>
      <vt:lpstr>Quercus OK</vt:lpstr>
      <vt:lpstr>Quercus GB</vt:lpstr>
      <vt:lpstr>Schroder ISF AO</vt:lpstr>
      <vt:lpstr>Schroder ISF EMDAR</vt:lpstr>
      <vt:lpstr>Schroder ISF EE</vt:lpstr>
      <vt:lpstr>Schroder ISF FME</vt:lpstr>
      <vt:lpstr>Schroder ISF GDG</vt:lpstr>
      <vt:lpstr>Schroder ISF GCHI</vt:lpstr>
      <vt:lpstr>Skarbiec Kons.</vt:lpstr>
      <vt:lpstr>Skarbiec OWD</vt:lpstr>
      <vt:lpstr>Skarbiec MIŚS</vt:lpstr>
      <vt:lpstr>Skarbiec NG</vt:lpstr>
      <vt:lpstr>Skarbiec SW</vt:lpstr>
      <vt:lpstr>Skarbiec Brands</vt:lpstr>
      <vt:lpstr>Templeton GB</vt:lpstr>
      <vt:lpstr>Templeton GTR</vt:lpstr>
      <vt:lpstr>Templeton LA</vt:lpstr>
      <vt:lpstr>Generali AM</vt:lpstr>
      <vt:lpstr>Generali AMIŚS</vt:lpstr>
      <vt:lpstr>Generali ARW</vt:lpstr>
      <vt:lpstr>Generali Akcje Value</vt:lpstr>
      <vt:lpstr>Generali KA</vt:lpstr>
      <vt:lpstr>Generali KO</vt:lpstr>
      <vt:lpstr>Generali D</vt:lpstr>
      <vt:lpstr>Generali KZ</vt:lpstr>
      <vt:lpstr>Generali O</vt:lpstr>
      <vt:lpstr>Generali KON</vt:lpstr>
      <vt:lpstr>Generali SW</vt:lpstr>
      <vt:lpstr>Generali OA</vt:lpstr>
      <vt:lpstr>Generali Z</vt:lpstr>
      <vt:lpstr>dodatkowedane</vt:lpstr>
      <vt:lpstr>'Aktywny - Surowce i Nowe Gosp.'!Obszar_wydruku</vt:lpstr>
      <vt:lpstr>'Allianz Dł.Pap.Korp.'!Obszar_wydruku</vt:lpstr>
      <vt:lpstr>'Allianz Obligacji Plus'!Obszar_wydruku</vt:lpstr>
      <vt:lpstr>'Franklin EDF'!Obszar_wydruku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POSBis'!Obszar_wydruku</vt:lpstr>
      <vt:lpstr>'Fundusz Selektywny'!Obszar_wydruku</vt:lpstr>
      <vt:lpstr>'Fundusz Zachowawczy'!Obszar_wydruku</vt:lpstr>
      <vt:lpstr>'Fundusz Zrównoważony'!Obszar_wydruku</vt:lpstr>
      <vt:lpstr>'Generali KO'!Obszar_wydruku</vt:lpstr>
      <vt:lpstr>'Generali KON'!Obszar_wydruku</vt:lpstr>
      <vt:lpstr>'GS Eur.SD'!Obszar_wydruku</vt:lpstr>
      <vt:lpstr>'GS Glob. Długu Korp.'!Obszar_wydruku</vt:lpstr>
      <vt:lpstr>'GS Glob.SD'!Obszar_wydruku</vt:lpstr>
      <vt:lpstr>'Investor Fun.Dyw. Wzr'!Obszar_wydruku</vt:lpstr>
      <vt:lpstr>'Investor Quality'!Obszar_wydruku</vt:lpstr>
      <vt:lpstr>'Inwestor Akcji'!Obszar_wydruku</vt:lpstr>
      <vt:lpstr>'Pekao AE'!Obszar_wydruku</vt:lpstr>
      <vt:lpstr>'Pekao AGD'!Obszar_wydruku</vt:lpstr>
      <vt:lpstr>'Pekao B15D'!Obszar_wydruku</vt:lpstr>
      <vt:lpstr>'Pekao DA2'!Obszar_wydruku</vt:lpstr>
      <vt:lpstr>'Pekao DS'!Obszar_wydruku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ARR'!Obszar_wydruku</vt:lpstr>
      <vt:lpstr>'PZU M'!Obszar_wydruku</vt:lpstr>
      <vt:lpstr>'Quercus A'!Obszar_wydruku</vt:lpstr>
      <vt:lpstr>'Schroder ISF FME'!Obszar_wydruku</vt:lpstr>
      <vt:lpstr>'Schroder ISF GCHI'!Obszar_wydruku</vt:lpstr>
      <vt:lpstr>'Schroder ISF GDG'!Obszar_wydruku</vt:lpstr>
      <vt:lpstr>'Skarbiec Kons.'!Obszar_wydruku</vt:lpstr>
      <vt:lpstr>'Skarbiec OWD'!Obszar_wydruku</vt:lpstr>
      <vt:lpstr>'Templeton GTR'!Obszar_wydruku</vt:lpstr>
      <vt:lpstr>'Templeton LA'!Obszar_wydruku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Krasnodebska Izabela</cp:lastModifiedBy>
  <cp:lastPrinted>2015-02-02T16:54:01Z</cp:lastPrinted>
  <dcterms:created xsi:type="dcterms:W3CDTF">2012-07-31T14:09:53Z</dcterms:created>
  <dcterms:modified xsi:type="dcterms:W3CDTF">2023-08-02T10:19:05Z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f2588e-f000-43f9-af86-11fa810e993f_Enabled">
    <vt:lpwstr>true</vt:lpwstr>
  </property>
  <property fmtid="{D5CDD505-2E9C-101B-9397-08002B2CF9AE}" pid="3" name="MSIP_Label_1cf2588e-f000-43f9-af86-11fa810e993f_SetDate">
    <vt:lpwstr>2023-07-28T14:06:18Z</vt:lpwstr>
  </property>
  <property fmtid="{D5CDD505-2E9C-101B-9397-08002B2CF9AE}" pid="4" name="MSIP_Label_1cf2588e-f000-43f9-af86-11fa810e993f_Method">
    <vt:lpwstr>Privileged</vt:lpwstr>
  </property>
  <property fmtid="{D5CDD505-2E9C-101B-9397-08002B2CF9AE}" pid="5" name="MSIP_Label_1cf2588e-f000-43f9-af86-11fa810e993f_Name">
    <vt:lpwstr>1cf2588e-f000-43f9-af86-11fa810e993f</vt:lpwstr>
  </property>
  <property fmtid="{D5CDD505-2E9C-101B-9397-08002B2CF9AE}" pid="6" name="MSIP_Label_1cf2588e-f000-43f9-af86-11fa810e993f_SiteId">
    <vt:lpwstr>6e06e42d-6925-47c6-b9e7-9581c7ca302a</vt:lpwstr>
  </property>
  <property fmtid="{D5CDD505-2E9C-101B-9397-08002B2CF9AE}" pid="7" name="MSIP_Label_1cf2588e-f000-43f9-af86-11fa810e993f_ActionId">
    <vt:lpwstr>39ff0d11-1374-4474-a733-be6a0d60e70a</vt:lpwstr>
  </property>
  <property fmtid="{D5CDD505-2E9C-101B-9397-08002B2CF9AE}" pid="8" name="MSIP_Label_1cf2588e-f000-43f9-af86-11fa810e993f_ContentBits">
    <vt:lpwstr>1</vt:lpwstr>
  </property>
</Properties>
</file>