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Ksiegowowsc\Ks_Zamkniecia\Zycie\KNF_internetowe\2021\"/>
    </mc:Choice>
  </mc:AlternateContent>
  <bookViews>
    <workbookView xWindow="0" yWindow="0" windowWidth="19200" windowHeight="7050" tabRatio="929" firstSheet="140" activeTab="150"/>
  </bookViews>
  <sheets>
    <sheet name="Fundusz Gwarantowany" sheetId="1" r:id="rId1"/>
    <sheet name="Fundusz Stabilnego Wzrostu" sheetId="194" r:id="rId2"/>
    <sheet name="Fundusz Dynamiczny" sheetId="4" r:id="rId3"/>
    <sheet name="Fundusz Obligacji" sheetId="5" r:id="rId4"/>
    <sheet name="Fundusz Aktywnej Alokacji" sheetId="10" r:id="rId5"/>
    <sheet name="Fundusz Akcji Plus" sheetId="11" r:id="rId6"/>
    <sheet name="Fundusz Akcji Małych i ŚS" sheetId="16" r:id="rId7"/>
    <sheet name="Fundusz Pieniężny" sheetId="17" r:id="rId8"/>
    <sheet name="Fundusz Polskich Obl. Skarb." sheetId="81" r:id="rId9"/>
    <sheet name="Fundusz Selektywny" sheetId="78" r:id="rId10"/>
    <sheet name="Fundusz Akcji Glob." sheetId="79" r:id="rId11"/>
    <sheet name="Fundusz Obligacji Glob." sheetId="122" r:id="rId12"/>
    <sheet name="Fundusz Energetyczny" sheetId="121" r:id="rId13"/>
    <sheet name="Portfel Aktywnej Alokacji" sheetId="120" r:id="rId14"/>
    <sheet name="Portfel Dynamiczny" sheetId="69" r:id="rId15"/>
    <sheet name="Portfel Stabilnego Wzrostu" sheetId="67" r:id="rId16"/>
    <sheet name="Portfel ARR" sheetId="53" r:id="rId17"/>
    <sheet name="Portfel ARW" sheetId="94" r:id="rId18"/>
    <sheet name="Portfel OZ" sheetId="93" r:id="rId19"/>
    <sheet name="Portfel OR" sheetId="199" r:id="rId20"/>
    <sheet name="Portfel SA" sheetId="217" r:id="rId21"/>
    <sheet name="Fundusz Konserwatywny" sheetId="95" r:id="rId22"/>
    <sheet name="Fundusz Zrównoważony" sheetId="6" r:id="rId23"/>
    <sheet name="Fundusz Aktywny" sheetId="7" r:id="rId24"/>
    <sheet name="Fundusz Międzynarodowy" sheetId="8" r:id="rId25"/>
    <sheet name="Fundusz Azjatycki" sheetId="9" r:id="rId26"/>
    <sheet name="Aktywny - Surowce i Nowe Gosp." sheetId="13" r:id="rId27"/>
    <sheet name="Zabezpieczony - Dalekiego Wsch." sheetId="58" r:id="rId28"/>
    <sheet name="Zaabezpieczony - Europy Wsch." sheetId="61" r:id="rId29"/>
    <sheet name="Strategii Multiobligacyjnych" sheetId="60" r:id="rId30"/>
    <sheet name="Zabezpieczony - Rynku Polskiego" sheetId="84" r:id="rId31"/>
    <sheet name="Allianz Stabilnego Wzrostu" sheetId="28" r:id="rId32"/>
    <sheet name="Allianz Obligacji Plus" sheetId="22" r:id="rId33"/>
    <sheet name="Allianz Aktywnej Alokacji" sheetId="49" r:id="rId34"/>
    <sheet name="Allianz Akcji Małych i ŚS" sheetId="29" r:id="rId35"/>
    <sheet name="Allianz Konserw." sheetId="30" r:id="rId36"/>
    <sheet name="Allianz Polskich Obl.Skarb." sheetId="48" r:id="rId37"/>
    <sheet name="Allianz Selektywny" sheetId="83" r:id="rId38"/>
    <sheet name="Allianz Akcji Glob." sheetId="42" r:id="rId39"/>
    <sheet name="Allianz ARZ" sheetId="188" r:id="rId40"/>
    <sheet name="Allianz Akcji Rynkow Wsch" sheetId="195" r:id="rId41"/>
    <sheet name="Allianz Dyn.Multistrategia" sheetId="196" r:id="rId42"/>
    <sheet name="Allianz Def.Multistrategia" sheetId="209" r:id="rId43"/>
    <sheet name="Allianz Zbal.Multistrategia" sheetId="210" r:id="rId44"/>
    <sheet name="Allianz GSD" sheetId="197" r:id="rId45"/>
    <sheet name="Aviva Dł.Pap.Korp." sheetId="112" r:id="rId46"/>
    <sheet name="Franklin EDF" sheetId="96" r:id="rId47"/>
    <sheet name="Franklin GFS" sheetId="151" r:id="rId48"/>
    <sheet name="Franklin USO" sheetId="152" r:id="rId49"/>
    <sheet name="GS EMD" sheetId="211" r:id="rId50"/>
    <sheet name="GS GSMBP" sheetId="218" r:id="rId51"/>
    <sheet name="Inwestor Akcji" sheetId="106" r:id="rId52"/>
    <sheet name="Investor Fun.Dyw. Wzr" sheetId="123" r:id="rId53"/>
    <sheet name="Investor TOP 25 MISS" sheetId="33" r:id="rId54"/>
    <sheet name="Investor Zrównoważony" sheetId="34" r:id="rId55"/>
    <sheet name="Investor Ameryka Quality" sheetId="124" r:id="rId56"/>
    <sheet name="Investor BRIC" sheetId="57" r:id="rId57"/>
    <sheet name="Investor Gold" sheetId="55" r:id="rId58"/>
    <sheet name="Investor Doch" sheetId="43" r:id="rId59"/>
    <sheet name="Investor Indie i Chiny" sheetId="189" r:id="rId60"/>
    <sheet name="Investor AK" sheetId="212" r:id="rId61"/>
    <sheet name="Investor Oszcz." sheetId="202" r:id="rId62"/>
    <sheet name="Investor ZE" sheetId="201" r:id="rId63"/>
    <sheet name="JPM EMO" sheetId="24" r:id="rId64"/>
    <sheet name="JPM GH" sheetId="149" r:id="rId65"/>
    <sheet name="JPM GSB" sheetId="148" r:id="rId66"/>
    <sheet name="JPM GMO" sheetId="224" r:id="rId67"/>
    <sheet name="Esaliens Akcji" sheetId="186" r:id="rId68"/>
    <sheet name="Esaliens Obligacji" sheetId="35" r:id="rId69"/>
    <sheet name="Esaliens Kons" sheetId="153" r:id="rId70"/>
    <sheet name="Esaliens Med.i NT" sheetId="47" r:id="rId71"/>
    <sheet name="Millenium Master I" sheetId="27" r:id="rId72"/>
    <sheet name="Millenium Master II" sheetId="70" r:id="rId73"/>
    <sheet name="Millenium Master III" sheetId="71" r:id="rId74"/>
    <sheet name="Millenium Master IV" sheetId="72" r:id="rId75"/>
    <sheet name="Millenium Master V" sheetId="73" r:id="rId76"/>
    <sheet name="Millenium Master VI" sheetId="74" r:id="rId77"/>
    <sheet name="Millenium Master VII" sheetId="75" r:id="rId78"/>
    <sheet name="NN Akcji" sheetId="77" r:id="rId79"/>
    <sheet name="NN Obligacji" sheetId="36" r:id="rId80"/>
    <sheet name="NN OI" sheetId="37" r:id="rId81"/>
    <sheet name="NN ŚMS" sheetId="161" r:id="rId82"/>
    <sheet name="NN Eur.SD" sheetId="115" r:id="rId83"/>
    <sheet name="NN Glob. Długu Korp." sheetId="92" r:id="rId84"/>
    <sheet name="NN Glob.SD" sheetId="90" r:id="rId85"/>
    <sheet name="NN J" sheetId="76" r:id="rId86"/>
    <sheet name="NN IS" sheetId="138" r:id="rId87"/>
    <sheet name="NN ORW" sheetId="136" r:id="rId88"/>
    <sheet name="NN Sp.Dyw.USA" sheetId="137" r:id="rId89"/>
    <sheet name="NN SGD" sheetId="163" r:id="rId90"/>
    <sheet name="NN SDRW" sheetId="213" r:id="rId91"/>
    <sheet name="Noble AMiŚS" sheetId="164" r:id="rId92"/>
    <sheet name="Pekao ARW" sheetId="193" r:id="rId93"/>
    <sheet name="Pekao AGD" sheetId="88" r:id="rId94"/>
    <sheet name="Pekao OS" sheetId="167" r:id="rId95"/>
    <sheet name="Pekao Spokojna Inw" sheetId="129" r:id="rId96"/>
    <sheet name="Pekao WDRE" sheetId="168" r:id="rId97"/>
    <sheet name="Pekao Surowców i Energii" sheetId="169" r:id="rId98"/>
    <sheet name="Pekao AP" sheetId="46" r:id="rId99"/>
    <sheet name="Pekao DS" sheetId="89" r:id="rId100"/>
    <sheet name="Pekao OP" sheetId="128" r:id="rId101"/>
    <sheet name="Pekao Kons." sheetId="85" r:id="rId102"/>
    <sheet name="Pekao Kons.+" sheetId="103" r:id="rId103"/>
    <sheet name="Pekao B15D" sheetId="102" r:id="rId104"/>
    <sheet name="Pekao DA2" sheetId="104" r:id="rId105"/>
    <sheet name="Pekao AS" sheetId="170" r:id="rId106"/>
    <sheet name="Pekao SG" sheetId="166" r:id="rId107"/>
    <sheet name="Pekao MIS" sheetId="214" r:id="rId108"/>
    <sheet name="Pekao OID" sheetId="220" r:id="rId109"/>
    <sheet name="PKO Akcji Nowa Europa" sheetId="171" r:id="rId110"/>
    <sheet name="PKO Obligacji Dług." sheetId="38" r:id="rId111"/>
    <sheet name="PKO Stabilnego Wzrostu" sheetId="23" r:id="rId112"/>
    <sheet name="PKO Zrównoważony" sheetId="25" r:id="rId113"/>
    <sheet name="PZU AP" sheetId="173" r:id="rId114"/>
    <sheet name="PZU AK" sheetId="174" r:id="rId115"/>
    <sheet name="PZU AMiŚS" sheetId="130" r:id="rId116"/>
    <sheet name="PZU M" sheetId="39" r:id="rId117"/>
    <sheet name="PZU ARR" sheetId="99" r:id="rId118"/>
    <sheet name="PZU PDP" sheetId="205" r:id="rId119"/>
    <sheet name="Quercus A" sheetId="101" r:id="rId120"/>
    <sheet name="Quercus OK" sheetId="143" r:id="rId121"/>
    <sheet name="Quercus GB" sheetId="144" r:id="rId122"/>
    <sheet name="Schroder ISF AO" sheetId="147" r:id="rId123"/>
    <sheet name="Schroder ISF EMDAR" sheetId="179" r:id="rId124"/>
    <sheet name="Schroder ISF EE" sheetId="146" r:id="rId125"/>
    <sheet name="Schroder ISF FME" sheetId="133" r:id="rId126"/>
    <sheet name="Schroder ISF GDG" sheetId="132" r:id="rId127"/>
    <sheet name="Schroder ISF GCHI" sheetId="135" r:id="rId128"/>
    <sheet name="Skarbiec Kons." sheetId="134" r:id="rId129"/>
    <sheet name="Skarbiec OWD" sheetId="113" r:id="rId130"/>
    <sheet name="Skarbiec MIŚS" sheetId="140" r:id="rId131"/>
    <sheet name="Skarbiec NG" sheetId="227" r:id="rId132"/>
    <sheet name="Skarbiec SW" sheetId="175" r:id="rId133"/>
    <sheet name="Skarbiec Brands" sheetId="216" r:id="rId134"/>
    <sheet name="Templeton GB" sheetId="159" r:id="rId135"/>
    <sheet name="Templeton GTR" sheetId="109" r:id="rId136"/>
    <sheet name="Templeton LA" sheetId="108" r:id="rId137"/>
    <sheet name="Generali AD" sheetId="187" r:id="rId138"/>
    <sheet name="Generali AMIŚS" sheetId="177" r:id="rId139"/>
    <sheet name="Generali ANE" sheetId="41" r:id="rId140"/>
    <sheet name="Generali UAWS" sheetId="40" r:id="rId141"/>
    <sheet name="Generali KA" sheetId="64" r:id="rId142"/>
    <sheet name="Generali KO" sheetId="110" r:id="rId143"/>
    <sheet name="Generali D" sheetId="20" r:id="rId144"/>
    <sheet name="Generali KZ" sheetId="62" r:id="rId145"/>
    <sheet name="Generali O" sheetId="26" r:id="rId146"/>
    <sheet name="Generali ONE" sheetId="105" r:id="rId147"/>
    <sheet name="Generali SW" sheetId="63" r:id="rId148"/>
    <sheet name="Generali OA" sheetId="191" r:id="rId149"/>
    <sheet name="Generali Z" sheetId="228" r:id="rId150"/>
    <sheet name="dodatkowedane" sheetId="80" r:id="rId151"/>
  </sheets>
  <definedNames>
    <definedName name="_xlnm.Print_Area" localSheetId="26">'Aktywny - Surowce i Nowe Gosp.'!$B$2:$E$73</definedName>
    <definedName name="_xlnm.Print_Area" localSheetId="32">'Allianz Obligacji Plus'!$B$2:$E$74</definedName>
    <definedName name="_xlnm.Print_Area" localSheetId="45">'Aviva Dł.Pap.Korp.'!$B$2:$E$74</definedName>
    <definedName name="_xlnm.Print_Area" localSheetId="46">'Franklin EDF'!$B$2:$E$74</definedName>
    <definedName name="_xlnm.Print_Area" localSheetId="10">'Fundusz Akcji Glob.'!$B$2:$E$73</definedName>
    <definedName name="_xlnm.Print_Area" localSheetId="6">'Fundusz Akcji Małych i ŚS'!$B$2:$E$73</definedName>
    <definedName name="_xlnm.Print_Area" localSheetId="5">'Fundusz Akcji Plus'!$B$2:$E$73</definedName>
    <definedName name="_xlnm.Print_Area" localSheetId="4">'Fundusz Aktywnej Alokacji'!$B$2:$E$73</definedName>
    <definedName name="_xlnm.Print_Area" localSheetId="23">'Fundusz Aktywny'!$B$2:$E$73</definedName>
    <definedName name="_xlnm.Print_Area" localSheetId="25">'Fundusz Azjatycki'!$B$2:$E$73</definedName>
    <definedName name="_xlnm.Print_Area" localSheetId="2">'Fundusz Dynamiczny'!$B$2:$E$74</definedName>
    <definedName name="_xlnm.Print_Area" localSheetId="12">'Fundusz Energetyczny'!$B$2:$E$73</definedName>
    <definedName name="_xlnm.Print_Area" localSheetId="0">'Fundusz Gwarantowany'!$B$2:$E$77</definedName>
    <definedName name="_xlnm.Print_Area" localSheetId="21">'Fundusz Konserwatywny'!$B$2:$E$74</definedName>
    <definedName name="_xlnm.Print_Area" localSheetId="24">'Fundusz Międzynarodowy'!$B$2:$E$73</definedName>
    <definedName name="_xlnm.Print_Area" localSheetId="3">'Fundusz Obligacji'!$B$2:$E$74</definedName>
    <definedName name="_xlnm.Print_Area" localSheetId="11">'Fundusz Obligacji Glob.'!$B$2:$E$73</definedName>
    <definedName name="_xlnm.Print_Area" localSheetId="7">'Fundusz Pieniężny'!$B$2:$E$73</definedName>
    <definedName name="_xlnm.Print_Area" localSheetId="8">'Fundusz Polskich Obl. Skarb.'!$B$2:$E$73</definedName>
    <definedName name="_xlnm.Print_Area" localSheetId="9">'Fundusz Selektywny'!$B$2:$E$73</definedName>
    <definedName name="_xlnm.Print_Area" localSheetId="22">'Fundusz Zrównoważony'!$B$2:$E$73</definedName>
    <definedName name="_xlnm.Print_Area" localSheetId="142">'Generali KO'!$B$2:$E$74</definedName>
    <definedName name="_xlnm.Print_Area" localSheetId="146">'Generali ONE'!$B$2:$E$74</definedName>
    <definedName name="_xlnm.Print_Area" localSheetId="55">'Investor Ameryka Quality'!$B$2:$E$74</definedName>
    <definedName name="_xlnm.Print_Area" localSheetId="52">'Investor Fun.Dyw. Wzr'!$B$2:$E$74</definedName>
    <definedName name="_xlnm.Print_Area" localSheetId="51">'Inwestor Akcji'!$B$2:$E$74</definedName>
    <definedName name="_xlnm.Print_Area" localSheetId="82">'NN Eur.SD'!$B$2:$E$74</definedName>
    <definedName name="_xlnm.Print_Area" localSheetId="83">'NN Glob. Długu Korp.'!$B$2:$E$74</definedName>
    <definedName name="_xlnm.Print_Area" localSheetId="84">'NN Glob.SD'!$B$2:$E$74</definedName>
    <definedName name="_xlnm.Print_Area" localSheetId="93">'Pekao AGD'!$B$2:$E$74</definedName>
    <definedName name="_xlnm.Print_Area" localSheetId="103">'Pekao B15D'!$B$2:$E$74</definedName>
    <definedName name="_xlnm.Print_Area" localSheetId="104">'Pekao DA2'!$B$2:$E$74</definedName>
    <definedName name="_xlnm.Print_Area" localSheetId="99">'Pekao DS'!$B$2:$E$74</definedName>
    <definedName name="_xlnm.Print_Area" localSheetId="101">'Pekao Kons.'!$B$2:$E$74</definedName>
    <definedName name="_xlnm.Print_Area" localSheetId="102">'Pekao Kons.+'!$B$2:$E$74</definedName>
    <definedName name="_xlnm.Print_Area" localSheetId="100">'Pekao OP'!$B$2:$E$74</definedName>
    <definedName name="_xlnm.Print_Area" localSheetId="95">'Pekao Spokojna Inw'!$B$2:$E$74</definedName>
    <definedName name="_xlnm.Print_Area" localSheetId="13">'Portfel Aktywnej Alokacji'!$B$2:$E$73</definedName>
    <definedName name="_xlnm.Print_Area" localSheetId="16">'Portfel ARR'!$B$2:$E$73</definedName>
    <definedName name="_xlnm.Print_Area" localSheetId="17">'Portfel ARW'!$B$2:$E$74</definedName>
    <definedName name="_xlnm.Print_Area" localSheetId="14">'Portfel Dynamiczny'!$B$2:$E$73</definedName>
    <definedName name="_xlnm.Print_Area" localSheetId="18">'Portfel OZ'!$B$2:$E$74</definedName>
    <definedName name="_xlnm.Print_Area" localSheetId="15">'Portfel Stabilnego Wzrostu'!$B$2:$E$73</definedName>
    <definedName name="_xlnm.Print_Area" localSheetId="115">'PZU AMiŚS'!$B$2:$E$74</definedName>
    <definedName name="_xlnm.Print_Area" localSheetId="117">'PZU ARR'!$B$2:$E$74</definedName>
    <definedName name="_xlnm.Print_Area" localSheetId="116">'PZU M'!$B$2:$E$74</definedName>
    <definedName name="_xlnm.Print_Area" localSheetId="119">'Quercus A'!$B$2:$E$74</definedName>
    <definedName name="_xlnm.Print_Area" localSheetId="125">'Schroder ISF FME'!$B$2:$E$74</definedName>
    <definedName name="_xlnm.Print_Area" localSheetId="127">'Schroder ISF GCHI'!$B$2:$E$74</definedName>
    <definedName name="_xlnm.Print_Area" localSheetId="126">'Schroder ISF GDG'!$B$2:$E$74</definedName>
    <definedName name="_xlnm.Print_Area" localSheetId="128">'Skarbiec Kons.'!$B$2:$E$74</definedName>
    <definedName name="_xlnm.Print_Area" localSheetId="129">'Skarbiec OWD'!$B$2:$E$74</definedName>
    <definedName name="_xlnm.Print_Area" localSheetId="135">'Templeton GTR'!$B$2:$E$74</definedName>
    <definedName name="_xlnm.Print_Area" localSheetId="136">'Templeton LA'!$B$2:$E$74</definedName>
    <definedName name="_xlnm.Print_Area" localSheetId="28">'Zaabezpieczony - Europy Wsch.'!$B$2:$E$73</definedName>
    <definedName name="_xlnm.Print_Area" localSheetId="27">'Zabezpieczony - Dalekiego Wsch.'!$B$2:$E$73</definedName>
  </definedNames>
  <calcPr calcId="162913"/>
</workbook>
</file>

<file path=xl/calcChain.xml><?xml version="1.0" encoding="utf-8"?>
<calcChain xmlns="http://schemas.openxmlformats.org/spreadsheetml/2006/main">
  <c r="E21" i="143" l="1"/>
  <c r="E11" i="143"/>
  <c r="D72" i="75" l="1"/>
  <c r="D70" i="75"/>
  <c r="D72" i="74"/>
  <c r="D70" i="74"/>
  <c r="D58" i="74"/>
  <c r="D74" i="74" s="1"/>
  <c r="D76" i="74" s="1"/>
  <c r="D72" i="73"/>
  <c r="D70" i="73"/>
  <c r="D58" i="73"/>
  <c r="D74" i="73" s="1"/>
  <c r="D76" i="73" s="1"/>
  <c r="D58" i="27"/>
  <c r="D70" i="27"/>
  <c r="D58" i="75" l="1"/>
  <c r="D74" i="75" s="1"/>
  <c r="D76" i="75" s="1"/>
  <c r="E41" i="143"/>
  <c r="E12" i="9" l="1"/>
  <c r="D74" i="8" l="1"/>
  <c r="D64" i="8"/>
  <c r="E12" i="8"/>
  <c r="D64" i="7"/>
  <c r="E12" i="7"/>
  <c r="D64" i="6"/>
  <c r="E12" i="6"/>
  <c r="D64" i="95"/>
  <c r="E12" i="95"/>
  <c r="E12" i="217" l="1"/>
  <c r="E12" i="199"/>
  <c r="E12" i="93"/>
  <c r="E12" i="94"/>
  <c r="E12" i="53" l="1"/>
  <c r="D64" i="67"/>
  <c r="E12" i="67"/>
  <c r="D64" i="69"/>
  <c r="E12" i="69"/>
  <c r="D64" i="120"/>
  <c r="E11" i="120"/>
  <c r="E12" i="120"/>
  <c r="E12" i="121" l="1"/>
  <c r="D64" i="122"/>
  <c r="E12" i="122"/>
  <c r="E12" i="79"/>
  <c r="D64" i="78"/>
  <c r="E12" i="78"/>
  <c r="D64" i="81"/>
  <c r="E12" i="81"/>
  <c r="D64" i="17"/>
  <c r="E12" i="17"/>
  <c r="D64" i="16"/>
  <c r="E12" i="16"/>
  <c r="D64" i="11"/>
  <c r="E12" i="11"/>
  <c r="D64" i="10"/>
  <c r="E14" i="10"/>
  <c r="E12" i="10"/>
  <c r="D64" i="5"/>
  <c r="E12" i="5"/>
  <c r="D64" i="4"/>
  <c r="E12" i="4"/>
  <c r="D64" i="194"/>
  <c r="E12" i="194"/>
  <c r="D74" i="1"/>
  <c r="E14" i="1"/>
  <c r="E12" i="1"/>
  <c r="E26" i="186" l="1"/>
  <c r="E41" i="186" s="1"/>
  <c r="E26" i="33"/>
  <c r="E41" i="33" s="1"/>
  <c r="D58" i="1" l="1"/>
  <c r="D64" i="84" l="1"/>
  <c r="D71" i="60"/>
  <c r="D64" i="60"/>
  <c r="D64" i="61"/>
  <c r="D71" i="58"/>
  <c r="D64" i="58"/>
  <c r="D64" i="13" l="1"/>
  <c r="D71" i="13"/>
  <c r="E26" i="58" l="1"/>
  <c r="E41" i="58"/>
  <c r="D17" i="11" l="1"/>
  <c r="D14" i="11"/>
  <c r="D12" i="11"/>
  <c r="D11" i="11" s="1"/>
  <c r="D21" i="11" s="1"/>
  <c r="D17" i="16"/>
  <c r="D14" i="16"/>
  <c r="D12" i="16"/>
  <c r="D11" i="16"/>
  <c r="D21" i="16" s="1"/>
  <c r="D17" i="17"/>
  <c r="D14" i="17"/>
  <c r="D12" i="17"/>
  <c r="D11" i="17" s="1"/>
  <c r="D21" i="17" s="1"/>
  <c r="D17" i="81"/>
  <c r="D14" i="81"/>
  <c r="D11" i="81" s="1"/>
  <c r="D21" i="81" s="1"/>
  <c r="D12" i="81"/>
  <c r="D17" i="78"/>
  <c r="D14" i="78"/>
  <c r="D12" i="78"/>
  <c r="D11" i="78" s="1"/>
  <c r="D21" i="78" s="1"/>
  <c r="D17" i="79"/>
  <c r="D14" i="79"/>
  <c r="D12" i="79"/>
  <c r="D11" i="79"/>
  <c r="D21" i="79" s="1"/>
  <c r="D17" i="122"/>
  <c r="D14" i="122"/>
  <c r="D12" i="122"/>
  <c r="D11" i="122" s="1"/>
  <c r="D21" i="122" s="1"/>
  <c r="D17" i="121"/>
  <c r="D14" i="121"/>
  <c r="D11" i="121" s="1"/>
  <c r="D21" i="121" s="1"/>
  <c r="D12" i="121"/>
  <c r="D17" i="120"/>
  <c r="D14" i="120"/>
  <c r="D12" i="120"/>
  <c r="D11" i="120" s="1"/>
  <c r="D21" i="120" s="1"/>
  <c r="D17" i="69"/>
  <c r="D14" i="69"/>
  <c r="D12" i="69"/>
  <c r="D11" i="69"/>
  <c r="D21" i="69" s="1"/>
  <c r="D17" i="67"/>
  <c r="D14" i="67"/>
  <c r="D12" i="67"/>
  <c r="D11" i="67" s="1"/>
  <c r="D21" i="67" s="1"/>
  <c r="D17" i="53"/>
  <c r="D12" i="53"/>
  <c r="D11" i="53" s="1"/>
  <c r="D21" i="53" s="1"/>
  <c r="D17" i="94"/>
  <c r="D12" i="94"/>
  <c r="D11" i="94" s="1"/>
  <c r="D21" i="94" s="1"/>
  <c r="D17" i="93"/>
  <c r="D12" i="93"/>
  <c r="D11" i="93" s="1"/>
  <c r="D21" i="93" s="1"/>
  <c r="D12" i="199"/>
  <c r="D11" i="199"/>
  <c r="D21" i="199" s="1"/>
  <c r="D12" i="217"/>
  <c r="D11" i="217"/>
  <c r="D21" i="217" s="1"/>
  <c r="D21" i="95"/>
  <c r="D17" i="95"/>
  <c r="D11" i="95"/>
  <c r="D17" i="6"/>
  <c r="D21" i="6" s="1"/>
  <c r="D12" i="6"/>
  <c r="D11" i="6"/>
  <c r="D17" i="7"/>
  <c r="D21" i="7" s="1"/>
  <c r="D12" i="7"/>
  <c r="D11" i="7"/>
  <c r="D17" i="8"/>
  <c r="D21" i="8" s="1"/>
  <c r="D11" i="8"/>
  <c r="D17" i="9"/>
  <c r="D11" i="9"/>
  <c r="D21" i="9" s="1"/>
  <c r="D17" i="13"/>
  <c r="D12" i="13"/>
  <c r="D11" i="13"/>
  <c r="D21" i="13" s="1"/>
  <c r="D17" i="58"/>
  <c r="D12" i="58"/>
  <c r="D11" i="58"/>
  <c r="D21" i="58" s="1"/>
  <c r="D17" i="61"/>
  <c r="D12" i="61"/>
  <c r="D11" i="61"/>
  <c r="D21" i="61" s="1"/>
  <c r="D17" i="60"/>
  <c r="D12" i="60"/>
  <c r="D11" i="60"/>
  <c r="D21" i="60" s="1"/>
  <c r="D17" i="84"/>
  <c r="D12" i="84"/>
  <c r="D11" i="84"/>
  <c r="D21" i="84" s="1"/>
  <c r="D17" i="10"/>
  <c r="D12" i="10"/>
  <c r="D11" i="10"/>
  <c r="D21" i="10" s="1"/>
  <c r="D17" i="1" l="1"/>
  <c r="D21" i="1" s="1"/>
  <c r="D12" i="1"/>
  <c r="D11" i="1"/>
  <c r="E26" i="152" l="1"/>
  <c r="E26" i="35" l="1"/>
  <c r="E41" i="35"/>
  <c r="E26" i="151"/>
  <c r="E41" i="151" s="1"/>
  <c r="E26" i="8" l="1"/>
  <c r="E41" i="8"/>
  <c r="E26" i="53"/>
  <c r="E41" i="53" s="1"/>
  <c r="D71" i="61" l="1"/>
  <c r="D64" i="9"/>
  <c r="D71" i="6" l="1"/>
  <c r="D23" i="80" l="1"/>
  <c r="E11" i="35" l="1"/>
  <c r="E21" i="35" s="1"/>
  <c r="T38" i="1" l="1"/>
  <c r="T37" i="1"/>
  <c r="T39" i="1" s="1"/>
  <c r="D71" i="1" l="1"/>
  <c r="E17" i="194" l="1"/>
  <c r="D73" i="194" s="1"/>
  <c r="E17" i="4"/>
  <c r="D73" i="4" s="1"/>
  <c r="E17" i="5"/>
  <c r="D73" i="5" s="1"/>
  <c r="E17" i="10"/>
  <c r="E17" i="11"/>
  <c r="E17" i="16"/>
  <c r="E17" i="17"/>
  <c r="E17" i="81"/>
  <c r="E17" i="78"/>
  <c r="E17" i="79"/>
  <c r="E17" i="122"/>
  <c r="E17" i="121"/>
  <c r="E17" i="120"/>
  <c r="E17" i="69"/>
  <c r="E17" i="67"/>
  <c r="E17" i="53"/>
  <c r="E17" i="94"/>
  <c r="E17" i="93"/>
  <c r="E17" i="95"/>
  <c r="E17" i="6"/>
  <c r="E17" i="7"/>
  <c r="E17" i="8"/>
  <c r="E17" i="9"/>
  <c r="E17" i="13"/>
  <c r="E17" i="58"/>
  <c r="E17" i="61"/>
  <c r="E17" i="60"/>
  <c r="E17" i="84"/>
  <c r="E17" i="1"/>
  <c r="D73" i="1" s="1"/>
  <c r="E14" i="194"/>
  <c r="E11" i="194" s="1"/>
  <c r="E14" i="4"/>
  <c r="E11" i="4" s="1"/>
  <c r="E14" i="5"/>
  <c r="E11" i="5" s="1"/>
  <c r="E11" i="10"/>
  <c r="E14" i="11"/>
  <c r="E11" i="11" s="1"/>
  <c r="E14" i="16"/>
  <c r="E11" i="16" s="1"/>
  <c r="E14" i="17"/>
  <c r="E11" i="17" s="1"/>
  <c r="E14" i="81"/>
  <c r="E11" i="81" s="1"/>
  <c r="E14" i="78"/>
  <c r="E11" i="78" s="1"/>
  <c r="E14" i="79"/>
  <c r="E11" i="79" s="1"/>
  <c r="E14" i="122"/>
  <c r="E11" i="122" s="1"/>
  <c r="E14" i="121"/>
  <c r="E11" i="121" s="1"/>
  <c r="E14" i="120"/>
  <c r="E14" i="69"/>
  <c r="E11" i="69" s="1"/>
  <c r="E14" i="67"/>
  <c r="E11" i="67" s="1"/>
  <c r="E11" i="61"/>
  <c r="E11" i="53"/>
  <c r="E11" i="94"/>
  <c r="E11" i="93"/>
  <c r="E11" i="199"/>
  <c r="E21" i="199" s="1"/>
  <c r="E11" i="217"/>
  <c r="E21" i="217" s="1"/>
  <c r="E69" i="217" s="1"/>
  <c r="E11" i="95"/>
  <c r="E11" i="6"/>
  <c r="E11" i="7"/>
  <c r="E11" i="8"/>
  <c r="E11" i="9"/>
  <c r="E11" i="13"/>
  <c r="E11" i="58"/>
  <c r="E11" i="60"/>
  <c r="E11" i="84"/>
  <c r="E11" i="28"/>
  <c r="E21" i="28" s="1"/>
  <c r="E11" i="22"/>
  <c r="E21" i="22" s="1"/>
  <c r="E11" i="49"/>
  <c r="E21" i="49" s="1"/>
  <c r="E11" i="29"/>
  <c r="E21" i="29" s="1"/>
  <c r="E11" i="30"/>
  <c r="E21" i="30" s="1"/>
  <c r="E11" i="48"/>
  <c r="E21" i="48" s="1"/>
  <c r="E11" i="83"/>
  <c r="E21" i="83" s="1"/>
  <c r="E11" i="42"/>
  <c r="E21" i="42" s="1"/>
  <c r="E11" i="188"/>
  <c r="E21" i="188" s="1"/>
  <c r="E11" i="195"/>
  <c r="E21" i="195" s="1"/>
  <c r="E11" i="196"/>
  <c r="E21" i="196" s="1"/>
  <c r="E11" i="209"/>
  <c r="E21" i="209" s="1"/>
  <c r="E11" i="210"/>
  <c r="E21" i="210" s="1"/>
  <c r="E11" i="197"/>
  <c r="E21" i="197" s="1"/>
  <c r="E11" i="112"/>
  <c r="E21" i="112" s="1"/>
  <c r="E11" i="96"/>
  <c r="E21" i="96" s="1"/>
  <c r="E11" i="151"/>
  <c r="E21" i="151" s="1"/>
  <c r="E11" i="152"/>
  <c r="E21" i="152" s="1"/>
  <c r="E11" i="211"/>
  <c r="E21" i="211" s="1"/>
  <c r="E11" i="218"/>
  <c r="E21" i="218" s="1"/>
  <c r="E11" i="106"/>
  <c r="E21" i="106" s="1"/>
  <c r="E11" i="123"/>
  <c r="E21" i="123" s="1"/>
  <c r="E11" i="33"/>
  <c r="E21" i="33" s="1"/>
  <c r="E11" i="34"/>
  <c r="E21" i="34" s="1"/>
  <c r="E11" i="124"/>
  <c r="E21" i="124" s="1"/>
  <c r="E11" i="57"/>
  <c r="E21" i="57" s="1"/>
  <c r="E11" i="55"/>
  <c r="E21" i="55" s="1"/>
  <c r="E11" i="43"/>
  <c r="E21" i="43" s="1"/>
  <c r="E11" i="189"/>
  <c r="E21" i="189" s="1"/>
  <c r="E11" i="212"/>
  <c r="E21" i="212" s="1"/>
  <c r="E11" i="202"/>
  <c r="E21" i="202" s="1"/>
  <c r="E11" i="201"/>
  <c r="E21" i="201" s="1"/>
  <c r="E11" i="24"/>
  <c r="E21" i="24" s="1"/>
  <c r="E11" i="149"/>
  <c r="E21" i="149" s="1"/>
  <c r="E11" i="148"/>
  <c r="E21" i="148" s="1"/>
  <c r="E11" i="186"/>
  <c r="E21" i="186" s="1"/>
  <c r="E11" i="153"/>
  <c r="E21" i="153" s="1"/>
  <c r="E11" i="47"/>
  <c r="E21" i="47" s="1"/>
  <c r="E11" i="27"/>
  <c r="E21" i="27" s="1"/>
  <c r="E70" i="27" s="1"/>
  <c r="E11" i="70"/>
  <c r="E21" i="70" s="1"/>
  <c r="E11" i="71"/>
  <c r="E21" i="71" s="1"/>
  <c r="E11" i="72"/>
  <c r="E21" i="72" s="1"/>
  <c r="E11" i="73"/>
  <c r="E21" i="73" s="1"/>
  <c r="E11" i="74"/>
  <c r="E21" i="74" s="1"/>
  <c r="E11" i="75"/>
  <c r="E21" i="75" s="1"/>
  <c r="E11" i="77"/>
  <c r="E21" i="77" s="1"/>
  <c r="E11" i="36"/>
  <c r="E21" i="36" s="1"/>
  <c r="E11" i="37"/>
  <c r="E21" i="37" s="1"/>
  <c r="E11" i="161"/>
  <c r="E21" i="161" s="1"/>
  <c r="E11" i="115"/>
  <c r="E21" i="115" s="1"/>
  <c r="E11" i="92"/>
  <c r="E21" i="92" s="1"/>
  <c r="E11" i="90"/>
  <c r="E21" i="90" s="1"/>
  <c r="E11" i="76"/>
  <c r="E21" i="76" s="1"/>
  <c r="E11" i="138"/>
  <c r="E21" i="138" s="1"/>
  <c r="E11" i="136"/>
  <c r="E21" i="136" s="1"/>
  <c r="E11" i="137"/>
  <c r="E21" i="137" s="1"/>
  <c r="E11" i="163"/>
  <c r="E21" i="163" s="1"/>
  <c r="E11" i="164"/>
  <c r="E21" i="164" s="1"/>
  <c r="E11" i="193"/>
  <c r="E21" i="193" s="1"/>
  <c r="E11" i="88"/>
  <c r="E21" i="88" s="1"/>
  <c r="E11" i="167"/>
  <c r="E21" i="167" s="1"/>
  <c r="E11" i="129"/>
  <c r="E21" i="129" s="1"/>
  <c r="E11" i="168"/>
  <c r="E21" i="168" s="1"/>
  <c r="E11" i="169"/>
  <c r="E21" i="169" s="1"/>
  <c r="E11" i="46"/>
  <c r="E21" i="46" s="1"/>
  <c r="E11" i="89"/>
  <c r="E21" i="89" s="1"/>
  <c r="E11" i="128"/>
  <c r="E21" i="128" s="1"/>
  <c r="E11" i="85"/>
  <c r="E21" i="85" s="1"/>
  <c r="E11" i="103"/>
  <c r="E21" i="103" s="1"/>
  <c r="E11" i="102"/>
  <c r="E21" i="102" s="1"/>
  <c r="E11" i="104"/>
  <c r="E21" i="104" s="1"/>
  <c r="E11" i="170"/>
  <c r="E21" i="170" s="1"/>
  <c r="E11" i="166"/>
  <c r="E21" i="166" s="1"/>
  <c r="E11" i="214"/>
  <c r="E21" i="214" s="1"/>
  <c r="E11" i="220"/>
  <c r="E21" i="220" s="1"/>
  <c r="E11" i="171"/>
  <c r="E21" i="171" s="1"/>
  <c r="E11" i="38"/>
  <c r="E21" i="38" s="1"/>
  <c r="E11" i="23"/>
  <c r="E21" i="23" s="1"/>
  <c r="E11" i="25"/>
  <c r="E21" i="25" s="1"/>
  <c r="E11" i="173"/>
  <c r="E21" i="173" s="1"/>
  <c r="E11" i="174"/>
  <c r="E21" i="174" s="1"/>
  <c r="E11" i="130"/>
  <c r="E21" i="130" s="1"/>
  <c r="E11" i="39"/>
  <c r="E21" i="39" s="1"/>
  <c r="E11" i="99"/>
  <c r="E21" i="99" s="1"/>
  <c r="E11" i="205"/>
  <c r="E21" i="205" s="1"/>
  <c r="E11" i="101"/>
  <c r="E21" i="101" s="1"/>
  <c r="E11" i="144"/>
  <c r="E21" i="144" s="1"/>
  <c r="E11" i="147"/>
  <c r="E21" i="147" s="1"/>
  <c r="E11" i="179"/>
  <c r="E21" i="179" s="1"/>
  <c r="E11" i="146"/>
  <c r="E21" i="146" s="1"/>
  <c r="E11" i="133"/>
  <c r="E21" i="133" s="1"/>
  <c r="E11" i="132"/>
  <c r="E21" i="132" s="1"/>
  <c r="E11" i="135"/>
  <c r="E21" i="135" s="1"/>
  <c r="E11" i="113"/>
  <c r="E21" i="113" s="1"/>
  <c r="E11" i="140"/>
  <c r="E21" i="140" s="1"/>
  <c r="E11" i="227"/>
  <c r="E21" i="227" s="1"/>
  <c r="E11" i="175"/>
  <c r="E21" i="175" s="1"/>
  <c r="E11" i="216"/>
  <c r="E21" i="216" s="1"/>
  <c r="E11" i="159"/>
  <c r="E21" i="159" s="1"/>
  <c r="E11" i="109"/>
  <c r="E21" i="109" s="1"/>
  <c r="E11" i="108"/>
  <c r="E21" i="108" s="1"/>
  <c r="E11" i="187"/>
  <c r="E21" i="187" s="1"/>
  <c r="E11" i="177"/>
  <c r="E21" i="177" s="1"/>
  <c r="E11" i="41"/>
  <c r="E21" i="41" s="1"/>
  <c r="E11" i="40"/>
  <c r="E21" i="40" s="1"/>
  <c r="E11" i="64"/>
  <c r="E21" i="64" s="1"/>
  <c r="E11" i="110"/>
  <c r="E21" i="110" s="1"/>
  <c r="E11" i="20"/>
  <c r="E21" i="20" s="1"/>
  <c r="E11" i="62"/>
  <c r="E21" i="62" s="1"/>
  <c r="E11" i="26"/>
  <c r="E21" i="26" s="1"/>
  <c r="E11" i="105"/>
  <c r="E21" i="105" s="1"/>
  <c r="E11" i="63"/>
  <c r="E21" i="63" s="1"/>
  <c r="E11" i="191"/>
  <c r="E21" i="191" s="1"/>
  <c r="E11" i="228"/>
  <c r="E21" i="228" s="1"/>
  <c r="E70" i="75" l="1"/>
  <c r="E58" i="75"/>
  <c r="E74" i="75" s="1"/>
  <c r="E76" i="75" s="1"/>
  <c r="E70" i="74"/>
  <c r="E58" i="74"/>
  <c r="E74" i="74" s="1"/>
  <c r="E76" i="74" s="1"/>
  <c r="E70" i="73"/>
  <c r="E58" i="73"/>
  <c r="E74" i="73" s="1"/>
  <c r="E76" i="73" s="1"/>
  <c r="E21" i="16"/>
  <c r="E21" i="7"/>
  <c r="E21" i="69"/>
  <c r="E21" i="120"/>
  <c r="E21" i="79"/>
  <c r="E21" i="11"/>
  <c r="E21" i="61"/>
  <c r="E71" i="61" s="1"/>
  <c r="E21" i="58"/>
  <c r="E71" i="58" s="1"/>
  <c r="E21" i="8"/>
  <c r="E21" i="84"/>
  <c r="E21" i="9"/>
  <c r="E21" i="6"/>
  <c r="E21" i="95"/>
  <c r="E21" i="67"/>
  <c r="E21" i="121"/>
  <c r="E77" i="121" s="1"/>
  <c r="E21" i="122"/>
  <c r="E21" i="17"/>
  <c r="E21" i="4"/>
  <c r="E21" i="60"/>
  <c r="E71" i="60" s="1"/>
  <c r="E21" i="13"/>
  <c r="E71" i="13" s="1"/>
  <c r="E21" i="94"/>
  <c r="E21" i="53"/>
  <c r="E21" i="10"/>
  <c r="E21" i="194"/>
  <c r="E21" i="81"/>
  <c r="E21" i="93"/>
  <c r="E21" i="78"/>
  <c r="E21" i="5"/>
  <c r="E62" i="121" l="1"/>
  <c r="E76" i="121"/>
  <c r="E69" i="121"/>
  <c r="E26" i="194" l="1"/>
  <c r="E41" i="194" s="1"/>
  <c r="E26" i="4"/>
  <c r="E41" i="4" s="1"/>
  <c r="E26" i="5"/>
  <c r="E41" i="5" s="1"/>
  <c r="E26" i="10"/>
  <c r="E41" i="10" s="1"/>
  <c r="E26" i="11"/>
  <c r="E41" i="11" s="1"/>
  <c r="E26" i="16"/>
  <c r="E41" i="16" s="1"/>
  <c r="E26" i="17"/>
  <c r="E41" i="17" s="1"/>
  <c r="E26" i="81"/>
  <c r="E41" i="81" s="1"/>
  <c r="E26" i="78"/>
  <c r="E41" i="78" s="1"/>
  <c r="E26" i="79"/>
  <c r="E41" i="79" s="1"/>
  <c r="E26" i="122"/>
  <c r="E41" i="122" s="1"/>
  <c r="E26" i="121"/>
  <c r="E41" i="121" s="1"/>
  <c r="E26" i="120"/>
  <c r="E41" i="120" s="1"/>
  <c r="E26" i="69"/>
  <c r="E41" i="69" s="1"/>
  <c r="E26" i="67"/>
  <c r="E41" i="67" s="1"/>
  <c r="E26" i="94"/>
  <c r="E41" i="94" s="1"/>
  <c r="E26" i="93"/>
  <c r="E41" i="93" s="1"/>
  <c r="E26" i="199"/>
  <c r="E41" i="199" s="1"/>
  <c r="E26" i="217"/>
  <c r="E41" i="217" s="1"/>
  <c r="E26" i="95"/>
  <c r="E41" i="95" s="1"/>
  <c r="E26" i="6"/>
  <c r="E41" i="6" s="1"/>
  <c r="E26" i="7"/>
  <c r="E41" i="7" s="1"/>
  <c r="E26" i="9"/>
  <c r="E41" i="9" s="1"/>
  <c r="E26" i="13"/>
  <c r="E41" i="13" s="1"/>
  <c r="E26" i="61"/>
  <c r="E41" i="61" s="1"/>
  <c r="E26" i="60"/>
  <c r="E41" i="60" s="1"/>
  <c r="E26" i="84"/>
  <c r="E41" i="84" s="1"/>
  <c r="E26" i="28"/>
  <c r="E41" i="28" s="1"/>
  <c r="E26" i="22"/>
  <c r="E41" i="22" s="1"/>
  <c r="E26" i="49"/>
  <c r="E41" i="49" s="1"/>
  <c r="E26" i="29"/>
  <c r="E41" i="29" s="1"/>
  <c r="E26" i="30"/>
  <c r="E41" i="30" s="1"/>
  <c r="E26" i="48"/>
  <c r="E41" i="48" s="1"/>
  <c r="E26" i="83"/>
  <c r="E41" i="83" s="1"/>
  <c r="E26" i="42"/>
  <c r="E41" i="42" s="1"/>
  <c r="E26" i="188"/>
  <c r="E41" i="188" s="1"/>
  <c r="E26" i="195"/>
  <c r="E41" i="195" s="1"/>
  <c r="E26" i="196"/>
  <c r="E41" i="196" s="1"/>
  <c r="E26" i="209"/>
  <c r="E41" i="209" s="1"/>
  <c r="E26" i="210"/>
  <c r="E41" i="210" s="1"/>
  <c r="E26" i="197"/>
  <c r="E41" i="197" s="1"/>
  <c r="E26" i="112"/>
  <c r="E41" i="112" s="1"/>
  <c r="E26" i="96"/>
  <c r="E41" i="96" s="1"/>
  <c r="E41" i="152"/>
  <c r="E26" i="211"/>
  <c r="E41" i="211" s="1"/>
  <c r="E26" i="218"/>
  <c r="E41" i="218" s="1"/>
  <c r="E26" i="106"/>
  <c r="E41" i="106" s="1"/>
  <c r="E26" i="123"/>
  <c r="E41" i="123" s="1"/>
  <c r="E26" i="34"/>
  <c r="E41" i="34" s="1"/>
  <c r="E26" i="124"/>
  <c r="E41" i="124" s="1"/>
  <c r="E26" i="57"/>
  <c r="E41" i="57" s="1"/>
  <c r="E26" i="55"/>
  <c r="E41" i="55" s="1"/>
  <c r="E26" i="43"/>
  <c r="E41" i="43" s="1"/>
  <c r="E26" i="189"/>
  <c r="E41" i="189" s="1"/>
  <c r="E26" i="212"/>
  <c r="E41" i="212" s="1"/>
  <c r="E26" i="202"/>
  <c r="E41" i="202" s="1"/>
  <c r="E26" i="201"/>
  <c r="E41" i="201" s="1"/>
  <c r="E26" i="24"/>
  <c r="E41" i="24" s="1"/>
  <c r="E26" i="149"/>
  <c r="E41" i="149" s="1"/>
  <c r="E26" i="148"/>
  <c r="E41" i="148" s="1"/>
  <c r="E26" i="224"/>
  <c r="E41" i="224" s="1"/>
  <c r="E26" i="153"/>
  <c r="E41" i="153" s="1"/>
  <c r="E26" i="47"/>
  <c r="E41" i="47" s="1"/>
  <c r="E26" i="27"/>
  <c r="E41" i="27" s="1"/>
  <c r="E26" i="70"/>
  <c r="E26" i="71"/>
  <c r="E41" i="71" s="1"/>
  <c r="E26" i="72"/>
  <c r="E41" i="72" s="1"/>
  <c r="E26" i="73"/>
  <c r="E41" i="73" s="1"/>
  <c r="E26" i="74"/>
  <c r="E41" i="74" s="1"/>
  <c r="E26" i="75"/>
  <c r="E41" i="75" s="1"/>
  <c r="E26" i="77"/>
  <c r="E41" i="77" s="1"/>
  <c r="E26" i="36"/>
  <c r="E41" i="36" s="1"/>
  <c r="E26" i="37"/>
  <c r="E41" i="37" s="1"/>
  <c r="E26" i="161"/>
  <c r="E41" i="161" s="1"/>
  <c r="E26" i="115"/>
  <c r="E41" i="115" s="1"/>
  <c r="E26" i="92"/>
  <c r="E41" i="92" s="1"/>
  <c r="E26" i="90"/>
  <c r="E41" i="90" s="1"/>
  <c r="E26" i="76"/>
  <c r="E41" i="76" s="1"/>
  <c r="E26" i="138"/>
  <c r="E41" i="138" s="1"/>
  <c r="E26" i="136"/>
  <c r="E41" i="136" s="1"/>
  <c r="E26" i="137"/>
  <c r="E41" i="137" s="1"/>
  <c r="E26" i="163"/>
  <c r="E41" i="163" s="1"/>
  <c r="E26" i="213"/>
  <c r="E41" i="213" s="1"/>
  <c r="E26" i="164"/>
  <c r="E41" i="164" s="1"/>
  <c r="E26" i="193"/>
  <c r="E41" i="193" s="1"/>
  <c r="E26" i="88"/>
  <c r="E41" i="88" s="1"/>
  <c r="E26" i="167"/>
  <c r="E41" i="167" s="1"/>
  <c r="E26" i="129"/>
  <c r="E41" i="129" s="1"/>
  <c r="E26" i="168"/>
  <c r="E41" i="168" s="1"/>
  <c r="E26" i="169"/>
  <c r="E41" i="169" s="1"/>
  <c r="E26" i="46"/>
  <c r="E41" i="46" s="1"/>
  <c r="E26" i="89"/>
  <c r="E41" i="89" s="1"/>
  <c r="E26" i="128"/>
  <c r="E41" i="128" s="1"/>
  <c r="E26" i="85"/>
  <c r="E41" i="85" s="1"/>
  <c r="E26" i="103"/>
  <c r="E41" i="103" s="1"/>
  <c r="E26" i="102"/>
  <c r="E41" i="102" s="1"/>
  <c r="E26" i="104"/>
  <c r="E41" i="104" s="1"/>
  <c r="E26" i="170"/>
  <c r="E41" i="170" s="1"/>
  <c r="E26" i="166"/>
  <c r="E41" i="166" s="1"/>
  <c r="E26" i="214"/>
  <c r="E41" i="214" s="1"/>
  <c r="E26" i="220"/>
  <c r="E41" i="220" s="1"/>
  <c r="E26" i="171"/>
  <c r="E41" i="171" s="1"/>
  <c r="E26" i="38"/>
  <c r="E41" i="38" s="1"/>
  <c r="E26" i="23"/>
  <c r="E41" i="23" s="1"/>
  <c r="E26" i="25"/>
  <c r="E41" i="25" s="1"/>
  <c r="E26" i="173"/>
  <c r="E41" i="173" s="1"/>
  <c r="E26" i="174"/>
  <c r="E41" i="174" s="1"/>
  <c r="E26" i="130"/>
  <c r="E41" i="130" s="1"/>
  <c r="E26" i="39"/>
  <c r="E41" i="39" s="1"/>
  <c r="E26" i="99"/>
  <c r="E41" i="99" s="1"/>
  <c r="E26" i="205"/>
  <c r="E41" i="205" s="1"/>
  <c r="E26" i="101"/>
  <c r="E41" i="101" s="1"/>
  <c r="E26" i="143"/>
  <c r="E26" i="144"/>
  <c r="E41" i="144" s="1"/>
  <c r="E26" i="147"/>
  <c r="E41" i="147" s="1"/>
  <c r="E26" i="179"/>
  <c r="E41" i="179" s="1"/>
  <c r="E26" i="146"/>
  <c r="E41" i="146" s="1"/>
  <c r="E26" i="133"/>
  <c r="E41" i="133" s="1"/>
  <c r="E26" i="132"/>
  <c r="E41" i="132" s="1"/>
  <c r="E26" i="135"/>
  <c r="E41" i="135" s="1"/>
  <c r="E26" i="134"/>
  <c r="E41" i="134" s="1"/>
  <c r="E26" i="113"/>
  <c r="E41" i="113" s="1"/>
  <c r="E26" i="140"/>
  <c r="E41" i="140" s="1"/>
  <c r="E26" i="227"/>
  <c r="E41" i="227" s="1"/>
  <c r="E26" i="175"/>
  <c r="E41" i="175" s="1"/>
  <c r="E26" i="216"/>
  <c r="E41" i="216" s="1"/>
  <c r="E26" i="159"/>
  <c r="E41" i="159" s="1"/>
  <c r="E26" i="109"/>
  <c r="E41" i="109" s="1"/>
  <c r="E26" i="108"/>
  <c r="E41" i="108" s="1"/>
  <c r="E26" i="187"/>
  <c r="E41" i="187" s="1"/>
  <c r="E26" i="177"/>
  <c r="E41" i="177" s="1"/>
  <c r="E26" i="41"/>
  <c r="E41" i="41" s="1"/>
  <c r="E26" i="40"/>
  <c r="E41" i="40" s="1"/>
  <c r="E26" i="64"/>
  <c r="E41" i="64" s="1"/>
  <c r="E26" i="110"/>
  <c r="E41" i="110" s="1"/>
  <c r="E26" i="20"/>
  <c r="E41" i="20" s="1"/>
  <c r="E26" i="62"/>
  <c r="E41" i="62" s="1"/>
  <c r="E26" i="26"/>
  <c r="E41" i="26" s="1"/>
  <c r="E26" i="105"/>
  <c r="E41" i="105" s="1"/>
  <c r="E26" i="63"/>
  <c r="E41" i="63" s="1"/>
  <c r="E26" i="191"/>
  <c r="E41" i="191" s="1"/>
  <c r="E26" i="228"/>
  <c r="E41" i="228" s="1"/>
  <c r="E26" i="1"/>
  <c r="E41" i="1" s="1"/>
  <c r="E18" i="80" l="1"/>
  <c r="E23" i="80" s="1"/>
  <c r="E74" i="228" l="1"/>
  <c r="E75" i="228" s="1"/>
  <c r="D72" i="228"/>
  <c r="E64" i="228"/>
  <c r="D64" i="228"/>
  <c r="D58" i="228" s="1"/>
  <c r="D74" i="228" s="1"/>
  <c r="D75" i="228" s="1"/>
  <c r="D72" i="227"/>
  <c r="D64" i="227" l="1"/>
  <c r="D58" i="227" s="1"/>
  <c r="D74" i="227" l="1"/>
  <c r="D75" i="227" s="1"/>
  <c r="E58" i="227"/>
  <c r="E64" i="227" l="1"/>
  <c r="E74" i="227"/>
  <c r="E75" i="227" s="1"/>
  <c r="D72" i="224" l="1"/>
  <c r="D64" i="224" l="1"/>
  <c r="D58" i="224" s="1"/>
  <c r="D74" i="224" s="1"/>
  <c r="D76" i="224" s="1"/>
  <c r="E74" i="224" l="1"/>
  <c r="E76" i="224" s="1"/>
  <c r="D71" i="84" l="1"/>
  <c r="D72" i="220" l="1"/>
  <c r="D72" i="218"/>
  <c r="D64" i="218" l="1"/>
  <c r="D58" i="218" s="1"/>
  <c r="D74" i="218" s="1"/>
  <c r="D76" i="218" s="1"/>
  <c r="D64" i="220"/>
  <c r="D58" i="220" s="1"/>
  <c r="E58" i="218" l="1"/>
  <c r="E74" i="218" s="1"/>
  <c r="E76" i="218" s="1"/>
  <c r="D74" i="220"/>
  <c r="D75" i="220" s="1"/>
  <c r="E58" i="220"/>
  <c r="E64" i="218" l="1"/>
  <c r="E74" i="220"/>
  <c r="E75" i="220" s="1"/>
  <c r="E64" i="220"/>
  <c r="D71" i="8" l="1"/>
  <c r="D73" i="10" l="1"/>
  <c r="D73" i="11"/>
  <c r="D73" i="17"/>
  <c r="D73" i="69"/>
  <c r="D73" i="7"/>
  <c r="D64" i="48"/>
  <c r="D73" i="48"/>
  <c r="D64" i="196"/>
  <c r="D58" i="196" s="1"/>
  <c r="D73" i="196"/>
  <c r="D64" i="70"/>
  <c r="D73" i="70"/>
  <c r="D64" i="71"/>
  <c r="D58" i="71" s="1"/>
  <c r="D73" i="71"/>
  <c r="D64" i="72"/>
  <c r="D73" i="72"/>
  <c r="D64" i="55"/>
  <c r="D58" i="55" s="1"/>
  <c r="D73" i="55"/>
  <c r="D64" i="37"/>
  <c r="D73" i="37"/>
  <c r="D64" i="90"/>
  <c r="D58" i="90" s="1"/>
  <c r="D73" i="90"/>
  <c r="D64" i="153"/>
  <c r="D58" i="153" s="1"/>
  <c r="D73" i="153"/>
  <c r="D64" i="23"/>
  <c r="D58" i="23" s="1"/>
  <c r="D73" i="23"/>
  <c r="D64" i="143"/>
  <c r="D58" i="143" s="1"/>
  <c r="D73" i="143"/>
  <c r="D64" i="134"/>
  <c r="D58" i="134" s="1"/>
  <c r="D73" i="134"/>
  <c r="D64" i="177"/>
  <c r="D73" i="177"/>
  <c r="D64" i="110"/>
  <c r="D58" i="110" s="1"/>
  <c r="D73" i="110"/>
  <c r="D64" i="20"/>
  <c r="D73" i="20"/>
  <c r="D73" i="217"/>
  <c r="D72" i="217"/>
  <c r="D71" i="217"/>
  <c r="D71" i="4"/>
  <c r="D71" i="5"/>
  <c r="D71" i="10"/>
  <c r="D71" i="11"/>
  <c r="D71" i="16"/>
  <c r="D71" i="17"/>
  <c r="D71" i="81"/>
  <c r="D71" i="78"/>
  <c r="D71" i="79"/>
  <c r="D71" i="122"/>
  <c r="D71" i="121"/>
  <c r="E71" i="121" s="1"/>
  <c r="D71" i="120"/>
  <c r="D71" i="69"/>
  <c r="D71" i="67"/>
  <c r="E71" i="67" s="1"/>
  <c r="D71" i="53"/>
  <c r="D71" i="94"/>
  <c r="D71" i="93"/>
  <c r="E71" i="93" s="1"/>
  <c r="D71" i="199"/>
  <c r="D71" i="194"/>
  <c r="D72" i="216"/>
  <c r="D72" i="214"/>
  <c r="D72" i="213"/>
  <c r="D72" i="212"/>
  <c r="D72" i="211"/>
  <c r="D72" i="210"/>
  <c r="D72" i="209"/>
  <c r="D72" i="205"/>
  <c r="D72" i="201"/>
  <c r="D72" i="202"/>
  <c r="D58" i="20"/>
  <c r="E58" i="20" s="1"/>
  <c r="E64" i="20" s="1"/>
  <c r="D58" i="177"/>
  <c r="E58" i="177" s="1"/>
  <c r="E64" i="177" s="1"/>
  <c r="D58" i="37"/>
  <c r="D58" i="72"/>
  <c r="D74" i="72" s="1"/>
  <c r="D76" i="72" s="1"/>
  <c r="D58" i="70"/>
  <c r="D58" i="84"/>
  <c r="D73" i="84"/>
  <c r="D58" i="60"/>
  <c r="D73" i="60"/>
  <c r="D58" i="61"/>
  <c r="D73" i="61"/>
  <c r="D58" i="58"/>
  <c r="D73" i="58"/>
  <c r="D58" i="13"/>
  <c r="D74" i="13" s="1"/>
  <c r="D73" i="13"/>
  <c r="D73" i="9"/>
  <c r="D58" i="8"/>
  <c r="D73" i="8"/>
  <c r="D58" i="6"/>
  <c r="D73" i="6"/>
  <c r="D71" i="95"/>
  <c r="D58" i="95"/>
  <c r="D72" i="199"/>
  <c r="D58" i="199"/>
  <c r="D73" i="199"/>
  <c r="D72" i="197"/>
  <c r="D72" i="196"/>
  <c r="D72" i="195"/>
  <c r="D73" i="95"/>
  <c r="D58" i="93"/>
  <c r="D58" i="94"/>
  <c r="D73" i="94"/>
  <c r="D58" i="53"/>
  <c r="D73" i="53"/>
  <c r="E73" i="53" s="1"/>
  <c r="D58" i="67"/>
  <c r="D73" i="67"/>
  <c r="D58" i="69"/>
  <c r="D58" i="120"/>
  <c r="D73" i="120"/>
  <c r="D58" i="10"/>
  <c r="D58" i="11"/>
  <c r="D58" i="16"/>
  <c r="D58" i="17"/>
  <c r="D58" i="81"/>
  <c r="D58" i="78"/>
  <c r="D58" i="79"/>
  <c r="D58" i="122"/>
  <c r="D58" i="121"/>
  <c r="D58" i="5"/>
  <c r="D73" i="16"/>
  <c r="D73" i="81"/>
  <c r="D73" i="78"/>
  <c r="D73" i="79"/>
  <c r="D73" i="122"/>
  <c r="D73" i="121"/>
  <c r="D72" i="10"/>
  <c r="D72" i="11"/>
  <c r="D72" i="16"/>
  <c r="D72" i="78"/>
  <c r="D72" i="79"/>
  <c r="D72" i="122"/>
  <c r="D72" i="121"/>
  <c r="D72" i="5"/>
  <c r="D58" i="4"/>
  <c r="D58" i="194"/>
  <c r="D74" i="194" s="1"/>
  <c r="D58" i="48"/>
  <c r="D64" i="30"/>
  <c r="D58" i="30" s="1"/>
  <c r="D72" i="191"/>
  <c r="D72" i="63"/>
  <c r="D72" i="105"/>
  <c r="D72" i="26"/>
  <c r="D72" i="62"/>
  <c r="D72" i="20"/>
  <c r="D72" i="110"/>
  <c r="D72" i="64"/>
  <c r="D72" i="40"/>
  <c r="D72" i="41"/>
  <c r="D72" i="177"/>
  <c r="D72" i="187"/>
  <c r="D72" i="108"/>
  <c r="D72" i="109"/>
  <c r="D72" i="159"/>
  <c r="D72" i="175"/>
  <c r="D72" i="140"/>
  <c r="D72" i="113"/>
  <c r="D72" i="134"/>
  <c r="D72" i="135"/>
  <c r="D72" i="132"/>
  <c r="D72" i="133"/>
  <c r="D72" i="146"/>
  <c r="D72" i="179"/>
  <c r="D72" i="147"/>
  <c r="D72" i="144"/>
  <c r="D72" i="143"/>
  <c r="D72" i="101"/>
  <c r="D72" i="99"/>
  <c r="D72" i="39"/>
  <c r="D72" i="130"/>
  <c r="D72" i="174"/>
  <c r="D72" i="173"/>
  <c r="D72" i="25"/>
  <c r="D72" i="23"/>
  <c r="D72" i="38"/>
  <c r="D72" i="171"/>
  <c r="D72" i="166"/>
  <c r="D72" i="170"/>
  <c r="D72" i="104"/>
  <c r="D72" i="102"/>
  <c r="D72" i="103"/>
  <c r="D72" i="85"/>
  <c r="D72" i="128"/>
  <c r="D72" i="89"/>
  <c r="D72" i="46"/>
  <c r="D72" i="169"/>
  <c r="D72" i="168"/>
  <c r="D72" i="129"/>
  <c r="D72" i="167"/>
  <c r="D72" i="88"/>
  <c r="D72" i="193"/>
  <c r="D72" i="164"/>
  <c r="D72" i="163"/>
  <c r="D72" i="137"/>
  <c r="D72" i="136"/>
  <c r="D72" i="138"/>
  <c r="D72" i="76"/>
  <c r="D72" i="90"/>
  <c r="D72" i="92"/>
  <c r="D72" i="115"/>
  <c r="D72" i="161"/>
  <c r="D72" i="37"/>
  <c r="D72" i="36"/>
  <c r="D72" i="77"/>
  <c r="D72" i="72"/>
  <c r="D72" i="71"/>
  <c r="D72" i="27"/>
  <c r="D72" i="47"/>
  <c r="D72" i="153"/>
  <c r="D72" i="35"/>
  <c r="D72" i="186"/>
  <c r="D72" i="148"/>
  <c r="D72" i="149"/>
  <c r="D72" i="24"/>
  <c r="D72" i="189"/>
  <c r="D72" i="43"/>
  <c r="D72" i="55"/>
  <c r="D72" i="57"/>
  <c r="D72" i="124"/>
  <c r="D72" i="34"/>
  <c r="D72" i="33"/>
  <c r="D72" i="123"/>
  <c r="D72" i="106"/>
  <c r="D72" i="152"/>
  <c r="D72" i="151"/>
  <c r="D72" i="96"/>
  <c r="D72" i="112"/>
  <c r="D72" i="188"/>
  <c r="D72" i="42"/>
  <c r="D72" i="83"/>
  <c r="D72" i="48"/>
  <c r="D72" i="30"/>
  <c r="D72" i="29"/>
  <c r="D72" i="49"/>
  <c r="D72" i="22"/>
  <c r="D72" i="28"/>
  <c r="D72" i="84"/>
  <c r="D72" i="60"/>
  <c r="D72" i="61"/>
  <c r="D72" i="58"/>
  <c r="D72" i="13"/>
  <c r="D72" i="9"/>
  <c r="D72" i="7"/>
  <c r="D72" i="6"/>
  <c r="D72" i="95"/>
  <c r="D72" i="93"/>
  <c r="D72" i="53"/>
  <c r="E72" i="53" s="1"/>
  <c r="D72" i="120"/>
  <c r="D72" i="4"/>
  <c r="E72" i="4" s="1"/>
  <c r="D72" i="194"/>
  <c r="E69" i="53"/>
  <c r="E64" i="53"/>
  <c r="D74" i="60" l="1"/>
  <c r="D75" i="60" s="1"/>
  <c r="D74" i="61"/>
  <c r="D75" i="61" s="1"/>
  <c r="D74" i="58"/>
  <c r="D74" i="95"/>
  <c r="D75" i="95" s="1"/>
  <c r="D74" i="199"/>
  <c r="E72" i="199"/>
  <c r="D74" i="78"/>
  <c r="D74" i="6"/>
  <c r="D75" i="6" s="1"/>
  <c r="D75" i="58"/>
  <c r="D74" i="196"/>
  <c r="D75" i="196" s="1"/>
  <c r="E58" i="196"/>
  <c r="E64" i="196" s="1"/>
  <c r="D74" i="120"/>
  <c r="D75" i="120" s="1"/>
  <c r="D74" i="4"/>
  <c r="D75" i="4" s="1"/>
  <c r="D74" i="70"/>
  <c r="D76" i="70" s="1"/>
  <c r="D75" i="194"/>
  <c r="E58" i="37"/>
  <c r="E64" i="37" s="1"/>
  <c r="E58" i="110"/>
  <c r="E64" i="110" s="1"/>
  <c r="E58" i="153"/>
  <c r="E64" i="153" s="1"/>
  <c r="E72" i="93"/>
  <c r="D72" i="69"/>
  <c r="D74" i="69" s="1"/>
  <c r="D75" i="69" s="1"/>
  <c r="E73" i="6"/>
  <c r="D72" i="94"/>
  <c r="D74" i="94" s="1"/>
  <c r="D75" i="94" s="1"/>
  <c r="D58" i="9"/>
  <c r="D74" i="9" s="1"/>
  <c r="D75" i="9" s="1"/>
  <c r="D72" i="8"/>
  <c r="D75" i="8" s="1"/>
  <c r="E76" i="93"/>
  <c r="E76" i="53"/>
  <c r="D74" i="53"/>
  <c r="D72" i="67"/>
  <c r="D74" i="67" s="1"/>
  <c r="D75" i="67" s="1"/>
  <c r="E58" i="6"/>
  <c r="E64" i="6"/>
  <c r="D64" i="191"/>
  <c r="D58" i="191" s="1"/>
  <c r="E58" i="191" s="1"/>
  <c r="D64" i="63"/>
  <c r="D58" i="63" s="1"/>
  <c r="D74" i="63" s="1"/>
  <c r="D75" i="63" s="1"/>
  <c r="D64" i="105"/>
  <c r="D58" i="105" s="1"/>
  <c r="E58" i="105" s="1"/>
  <c r="E64" i="105" s="1"/>
  <c r="D64" i="26"/>
  <c r="D58" i="26" s="1"/>
  <c r="D64" i="62"/>
  <c r="D58" i="62" s="1"/>
  <c r="D64" i="40"/>
  <c r="D58" i="40" s="1"/>
  <c r="D64" i="187"/>
  <c r="D58" i="187" s="1"/>
  <c r="D64" i="108"/>
  <c r="D58" i="108" s="1"/>
  <c r="E58" i="108" s="1"/>
  <c r="D64" i="216"/>
  <c r="D58" i="216" s="1"/>
  <c r="E58" i="216" s="1"/>
  <c r="D64" i="175"/>
  <c r="D58" i="175" s="1"/>
  <c r="E58" i="175" s="1"/>
  <c r="D64" i="140"/>
  <c r="D58" i="140" s="1"/>
  <c r="D64" i="113"/>
  <c r="D58" i="113" s="1"/>
  <c r="D64" i="146"/>
  <c r="D58" i="146" s="1"/>
  <c r="E58" i="146" s="1"/>
  <c r="D64" i="144"/>
  <c r="D58" i="144" s="1"/>
  <c r="D64" i="205"/>
  <c r="D58" i="205" s="1"/>
  <c r="D64" i="99"/>
  <c r="D58" i="99" s="1"/>
  <c r="D74" i="99" s="1"/>
  <c r="D75" i="99" s="1"/>
  <c r="D64" i="39"/>
  <c r="D58" i="39" s="1"/>
  <c r="D64" i="130"/>
  <c r="D58" i="130" s="1"/>
  <c r="D64" i="174"/>
  <c r="D58" i="174" s="1"/>
  <c r="D74" i="174" s="1"/>
  <c r="D75" i="174" s="1"/>
  <c r="D64" i="25"/>
  <c r="D58" i="25" s="1"/>
  <c r="E58" i="25" s="1"/>
  <c r="E64" i="25" s="1"/>
  <c r="D64" i="38"/>
  <c r="D58" i="38" s="1"/>
  <c r="D64" i="171"/>
  <c r="D58" i="171" s="1"/>
  <c r="E58" i="171" s="1"/>
  <c r="E64" i="171" s="1"/>
  <c r="D64" i="214"/>
  <c r="D58" i="214" s="1"/>
  <c r="E58" i="214" s="1"/>
  <c r="D64" i="166"/>
  <c r="D58" i="166" s="1"/>
  <c r="D64" i="170"/>
  <c r="D58" i="170" s="1"/>
  <c r="E58" i="170" s="1"/>
  <c r="E64" i="170" s="1"/>
  <c r="D64" i="102"/>
  <c r="D58" i="102" s="1"/>
  <c r="D74" i="102" s="1"/>
  <c r="D75" i="102" s="1"/>
  <c r="D64" i="103"/>
  <c r="D58" i="103" s="1"/>
  <c r="D64" i="89"/>
  <c r="D58" i="89" s="1"/>
  <c r="D74" i="89" s="1"/>
  <c r="D75" i="89" s="1"/>
  <c r="D64" i="168"/>
  <c r="D58" i="168" s="1"/>
  <c r="D64" i="88"/>
  <c r="D58" i="88" s="1"/>
  <c r="D74" i="88" s="1"/>
  <c r="D75" i="88" s="1"/>
  <c r="D64" i="164"/>
  <c r="D58" i="164" s="1"/>
  <c r="D64" i="92"/>
  <c r="D58" i="92" s="1"/>
  <c r="D64" i="163"/>
  <c r="D58" i="163" s="1"/>
  <c r="E58" i="163" s="1"/>
  <c r="E64" i="163" s="1"/>
  <c r="D64" i="137"/>
  <c r="D58" i="137" s="1"/>
  <c r="D64" i="136"/>
  <c r="D58" i="136" s="1"/>
  <c r="D74" i="136" s="1"/>
  <c r="D75" i="136" s="1"/>
  <c r="D64" i="138"/>
  <c r="D58" i="138" s="1"/>
  <c r="D74" i="90"/>
  <c r="D75" i="90" s="1"/>
  <c r="E58" i="90"/>
  <c r="E64" i="90" s="1"/>
  <c r="D64" i="115"/>
  <c r="D58" i="115" s="1"/>
  <c r="D64" i="161"/>
  <c r="D58" i="161" s="1"/>
  <c r="D64" i="36"/>
  <c r="D58" i="36" s="1"/>
  <c r="E58" i="36" s="1"/>
  <c r="D64" i="77"/>
  <c r="D58" i="77" s="1"/>
  <c r="E58" i="77" s="1"/>
  <c r="D74" i="71"/>
  <c r="D76" i="71" s="1"/>
  <c r="D64" i="149"/>
  <c r="D58" i="149" s="1"/>
  <c r="D64" i="24"/>
  <c r="D58" i="24" s="1"/>
  <c r="D74" i="24" s="1"/>
  <c r="D76" i="24" s="1"/>
  <c r="D64" i="201"/>
  <c r="D58" i="201" s="1"/>
  <c r="D74" i="201" s="1"/>
  <c r="D75" i="201" s="1"/>
  <c r="D64" i="212"/>
  <c r="D58" i="212" s="1"/>
  <c r="D74" i="212" s="1"/>
  <c r="D75" i="212" s="1"/>
  <c r="D64" i="189"/>
  <c r="D58" i="189" s="1"/>
  <c r="E58" i="189" s="1"/>
  <c r="D64" i="43"/>
  <c r="D58" i="43" s="1"/>
  <c r="D64" i="124"/>
  <c r="D58" i="124" s="1"/>
  <c r="D64" i="34"/>
  <c r="D58" i="34" s="1"/>
  <c r="D64" i="123"/>
  <c r="D58" i="123" s="1"/>
  <c r="D64" i="106"/>
  <c r="D58" i="106" s="1"/>
  <c r="D64" i="211"/>
  <c r="D58" i="211" s="1"/>
  <c r="E58" i="211" s="1"/>
  <c r="D64" i="151"/>
  <c r="D58" i="151" s="1"/>
  <c r="D64" i="96"/>
  <c r="D58" i="96" s="1"/>
  <c r="D64" i="112"/>
  <c r="D58" i="112" s="1"/>
  <c r="E58" i="112" s="1"/>
  <c r="D64" i="28"/>
  <c r="D58" i="28" s="1"/>
  <c r="E58" i="28" s="1"/>
  <c r="D72" i="81"/>
  <c r="D74" i="81" s="1"/>
  <c r="D75" i="81" s="1"/>
  <c r="D72" i="17"/>
  <c r="E72" i="17" s="1"/>
  <c r="E71" i="95"/>
  <c r="E64" i="95"/>
  <c r="E58" i="95"/>
  <c r="E73" i="95"/>
  <c r="D74" i="122"/>
  <c r="D75" i="122" s="1"/>
  <c r="E58" i="63"/>
  <c r="D75" i="199"/>
  <c r="D74" i="84"/>
  <c r="D75" i="84" s="1"/>
  <c r="D74" i="23"/>
  <c r="E73" i="23"/>
  <c r="D64" i="41"/>
  <c r="D58" i="41" s="1"/>
  <c r="D64" i="101"/>
  <c r="D58" i="101" s="1"/>
  <c r="D64" i="173"/>
  <c r="D58" i="173" s="1"/>
  <c r="D64" i="104"/>
  <c r="D58" i="104" s="1"/>
  <c r="D64" i="213"/>
  <c r="D58" i="213" s="1"/>
  <c r="D74" i="213" s="1"/>
  <c r="D75" i="213" s="1"/>
  <c r="D64" i="76"/>
  <c r="D58" i="76" s="1"/>
  <c r="E58" i="76" s="1"/>
  <c r="D74" i="27"/>
  <c r="D76" i="27" s="1"/>
  <c r="D64" i="202"/>
  <c r="D58" i="202" s="1"/>
  <c r="E58" i="202" s="1"/>
  <c r="D64" i="57"/>
  <c r="D58" i="57" s="1"/>
  <c r="D64" i="33"/>
  <c r="D58" i="33" s="1"/>
  <c r="E58" i="53"/>
  <c r="E74" i="53" s="1"/>
  <c r="E64" i="4"/>
  <c r="D75" i="13"/>
  <c r="D72" i="1"/>
  <c r="E58" i="199"/>
  <c r="E64" i="199"/>
  <c r="E73" i="199"/>
  <c r="E69" i="199"/>
  <c r="D74" i="20"/>
  <c r="D75" i="20" s="1"/>
  <c r="D74" i="110"/>
  <c r="D75" i="110" s="1"/>
  <c r="D64" i="64"/>
  <c r="D58" i="64" s="1"/>
  <c r="E58" i="64" s="1"/>
  <c r="D75" i="177"/>
  <c r="D74" i="177" s="1"/>
  <c r="D64" i="109"/>
  <c r="D58" i="109" s="1"/>
  <c r="D64" i="159"/>
  <c r="D58" i="159" s="1"/>
  <c r="D74" i="134"/>
  <c r="D75" i="134" s="1"/>
  <c r="D64" i="135"/>
  <c r="D58" i="135" s="1"/>
  <c r="D64" i="132"/>
  <c r="D58" i="132" s="1"/>
  <c r="D64" i="133"/>
  <c r="D58" i="133" s="1"/>
  <c r="D64" i="179"/>
  <c r="D58" i="179" s="1"/>
  <c r="D64" i="147"/>
  <c r="D58" i="147" s="1"/>
  <c r="D74" i="147" s="1"/>
  <c r="D76" i="147" s="1"/>
  <c r="D74" i="143"/>
  <c r="D75" i="143" s="1"/>
  <c r="D64" i="85"/>
  <c r="D58" i="85" s="1"/>
  <c r="D64" i="128"/>
  <c r="D64" i="46"/>
  <c r="D58" i="46" s="1"/>
  <c r="E58" i="46" s="1"/>
  <c r="D64" i="169"/>
  <c r="D58" i="169" s="1"/>
  <c r="E58" i="169" s="1"/>
  <c r="D64" i="129"/>
  <c r="D58" i="129" s="1"/>
  <c r="D74" i="129" s="1"/>
  <c r="D75" i="129" s="1"/>
  <c r="D64" i="167"/>
  <c r="D58" i="167" s="1"/>
  <c r="D74" i="167" s="1"/>
  <c r="D75" i="167" s="1"/>
  <c r="D64" i="193"/>
  <c r="D58" i="193" s="1"/>
  <c r="E58" i="193" s="1"/>
  <c r="E74" i="193" s="1"/>
  <c r="E75" i="193" s="1"/>
  <c r="D74" i="37"/>
  <c r="D75" i="37" s="1"/>
  <c r="D64" i="47"/>
  <c r="D58" i="47" s="1"/>
  <c r="D74" i="153"/>
  <c r="D75" i="153" s="1"/>
  <c r="D64" i="35"/>
  <c r="D58" i="35" s="1"/>
  <c r="D64" i="186"/>
  <c r="D58" i="186" s="1"/>
  <c r="D64" i="148"/>
  <c r="D58" i="148" s="1"/>
  <c r="D64" i="152"/>
  <c r="D58" i="152" s="1"/>
  <c r="D64" i="197"/>
  <c r="D58" i="197" s="1"/>
  <c r="D64" i="210"/>
  <c r="D58" i="210" s="1"/>
  <c r="E58" i="210" s="1"/>
  <c r="D64" i="209"/>
  <c r="D58" i="209" s="1"/>
  <c r="E58" i="209" s="1"/>
  <c r="D64" i="195"/>
  <c r="D58" i="195" s="1"/>
  <c r="E58" i="195" s="1"/>
  <c r="D64" i="188"/>
  <c r="D58" i="188" s="1"/>
  <c r="E58" i="188" s="1"/>
  <c r="D64" i="42"/>
  <c r="D58" i="42" s="1"/>
  <c r="E58" i="42" s="1"/>
  <c r="D64" i="83"/>
  <c r="D58" i="83" s="1"/>
  <c r="D74" i="83" s="1"/>
  <c r="D75" i="83" s="1"/>
  <c r="D74" i="48"/>
  <c r="D75" i="48" s="1"/>
  <c r="D64" i="29"/>
  <c r="D58" i="29" s="1"/>
  <c r="E58" i="29" s="1"/>
  <c r="D64" i="49"/>
  <c r="D58" i="49" s="1"/>
  <c r="E58" i="49" s="1"/>
  <c r="D64" i="22"/>
  <c r="D58" i="22" s="1"/>
  <c r="D74" i="22" s="1"/>
  <c r="D75" i="22" s="1"/>
  <c r="D74" i="146"/>
  <c r="D76" i="146" s="1"/>
  <c r="E64" i="143"/>
  <c r="D74" i="36"/>
  <c r="D75" i="36" s="1"/>
  <c r="D74" i="55"/>
  <c r="D75" i="55" s="1"/>
  <c r="E58" i="55"/>
  <c r="E64" i="55" s="1"/>
  <c r="D74" i="112"/>
  <c r="D75" i="112" s="1"/>
  <c r="E64" i="93"/>
  <c r="E69" i="93"/>
  <c r="D73" i="93"/>
  <c r="D74" i="93" s="1"/>
  <c r="D75" i="93" s="1"/>
  <c r="E75" i="93" s="1"/>
  <c r="E73" i="67"/>
  <c r="E69" i="67"/>
  <c r="E58" i="67"/>
  <c r="D74" i="121"/>
  <c r="D75" i="121" s="1"/>
  <c r="E75" i="121" s="1"/>
  <c r="D75" i="78"/>
  <c r="E64" i="81"/>
  <c r="E69" i="81"/>
  <c r="E58" i="81"/>
  <c r="E64" i="17"/>
  <c r="E58" i="17"/>
  <c r="E69" i="17"/>
  <c r="E73" i="17"/>
  <c r="D74" i="11"/>
  <c r="D75" i="11" s="1"/>
  <c r="D74" i="10"/>
  <c r="D75" i="10" s="1"/>
  <c r="D74" i="5"/>
  <c r="D75" i="5" s="1"/>
  <c r="E64" i="5"/>
  <c r="E58" i="5"/>
  <c r="E73" i="5"/>
  <c r="E72" i="5"/>
  <c r="E69" i="5"/>
  <c r="E58" i="4"/>
  <c r="E73" i="4"/>
  <c r="E69" i="4"/>
  <c r="E74" i="25"/>
  <c r="E75" i="25" s="1"/>
  <c r="D74" i="28"/>
  <c r="D75" i="28" s="1"/>
  <c r="E64" i="194"/>
  <c r="E58" i="194"/>
  <c r="E73" i="194"/>
  <c r="E69" i="194"/>
  <c r="E73" i="120"/>
  <c r="E72" i="120"/>
  <c r="E69" i="120"/>
  <c r="E64" i="120"/>
  <c r="E58" i="120"/>
  <c r="E73" i="69"/>
  <c r="E58" i="69"/>
  <c r="E64" i="69"/>
  <c r="E71" i="69"/>
  <c r="E69" i="69"/>
  <c r="D74" i="30"/>
  <c r="D75" i="30" s="1"/>
  <c r="E58" i="30"/>
  <c r="D74" i="16"/>
  <c r="D75" i="16" s="1"/>
  <c r="E73" i="81"/>
  <c r="E64" i="67"/>
  <c r="E58" i="93"/>
  <c r="D74" i="25"/>
  <c r="D75" i="25" s="1"/>
  <c r="E73" i="177"/>
  <c r="E74" i="177" s="1"/>
  <c r="E75" i="177" s="1"/>
  <c r="E73" i="37"/>
  <c r="E58" i="103"/>
  <c r="D74" i="103"/>
  <c r="D75" i="103" s="1"/>
  <c r="E73" i="217"/>
  <c r="E64" i="217"/>
  <c r="E72" i="194"/>
  <c r="D74" i="163"/>
  <c r="D75" i="163" s="1"/>
  <c r="D74" i="170"/>
  <c r="D75" i="170" s="1"/>
  <c r="E74" i="134"/>
  <c r="E75" i="134" s="1"/>
  <c r="E73" i="153"/>
  <c r="E74" i="153" s="1"/>
  <c r="E75" i="153" s="1"/>
  <c r="E76" i="70"/>
  <c r="E58" i="205"/>
  <c r="D74" i="205"/>
  <c r="D75" i="205" s="1"/>
  <c r="D74" i="216"/>
  <c r="D75" i="216" s="1"/>
  <c r="E73" i="20"/>
  <c r="E74" i="20" s="1"/>
  <c r="E75" i="20" s="1"/>
  <c r="E73" i="55"/>
  <c r="E58" i="26"/>
  <c r="D74" i="26"/>
  <c r="D75" i="26" s="1"/>
  <c r="E58" i="164"/>
  <c r="D74" i="164"/>
  <c r="D75" i="164" s="1"/>
  <c r="E58" i="161"/>
  <c r="D74" i="161"/>
  <c r="D75" i="161" s="1"/>
  <c r="E73" i="110"/>
  <c r="E73" i="90"/>
  <c r="E73" i="196"/>
  <c r="E74" i="196" s="1"/>
  <c r="E75" i="196" s="1"/>
  <c r="D74" i="79"/>
  <c r="D75" i="79" s="1"/>
  <c r="E58" i="99" l="1"/>
  <c r="E72" i="81"/>
  <c r="E74" i="4"/>
  <c r="E58" i="174"/>
  <c r="E72" i="67"/>
  <c r="E74" i="67" s="1"/>
  <c r="E75" i="67" s="1"/>
  <c r="E58" i="129"/>
  <c r="E74" i="6"/>
  <c r="E75" i="6" s="1"/>
  <c r="E72" i="69"/>
  <c r="E74" i="69" s="1"/>
  <c r="E75" i="69" s="1"/>
  <c r="E58" i="88"/>
  <c r="E76" i="72"/>
  <c r="D75" i="53"/>
  <c r="E75" i="53" s="1"/>
  <c r="E74" i="110"/>
  <c r="E75" i="110" s="1"/>
  <c r="E76" i="71"/>
  <c r="E74" i="171"/>
  <c r="E75" i="171" s="1"/>
  <c r="D74" i="189"/>
  <c r="D75" i="189" s="1"/>
  <c r="D74" i="209"/>
  <c r="D75" i="209" s="1"/>
  <c r="E58" i="201"/>
  <c r="E64" i="201" s="1"/>
  <c r="E74" i="37"/>
  <c r="E75" i="37" s="1"/>
  <c r="D74" i="42"/>
  <c r="D75" i="42" s="1"/>
  <c r="D74" i="191"/>
  <c r="D75" i="191" s="1"/>
  <c r="D74" i="108"/>
  <c r="D76" i="108" s="1"/>
  <c r="E64" i="193"/>
  <c r="D74" i="49"/>
  <c r="D75" i="49" s="1"/>
  <c r="E58" i="212"/>
  <c r="E64" i="212" s="1"/>
  <c r="D74" i="195"/>
  <c r="D75" i="195" s="1"/>
  <c r="D74" i="105"/>
  <c r="D75" i="105" s="1"/>
  <c r="E74" i="90"/>
  <c r="E75" i="90" s="1"/>
  <c r="D74" i="211"/>
  <c r="D76" i="211" s="1"/>
  <c r="E58" i="136"/>
  <c r="E64" i="136" s="1"/>
  <c r="E58" i="89"/>
  <c r="D74" i="202"/>
  <c r="D75" i="202" s="1"/>
  <c r="E58" i="24"/>
  <c r="E64" i="24" s="1"/>
  <c r="D74" i="171"/>
  <c r="D75" i="171" s="1"/>
  <c r="D74" i="64"/>
  <c r="D75" i="64" s="1"/>
  <c r="D74" i="175"/>
  <c r="D75" i="175" s="1"/>
  <c r="D74" i="214"/>
  <c r="D75" i="214" s="1"/>
  <c r="E58" i="167"/>
  <c r="D74" i="77"/>
  <c r="D75" i="77" s="1"/>
  <c r="E72" i="9"/>
  <c r="E72" i="7"/>
  <c r="D58" i="128"/>
  <c r="E58" i="128" s="1"/>
  <c r="E74" i="105"/>
  <c r="E75" i="105" s="1"/>
  <c r="E74" i="170"/>
  <c r="E75" i="170" s="1"/>
  <c r="E58" i="22"/>
  <c r="E72" i="78"/>
  <c r="E64" i="78"/>
  <c r="E58" i="102"/>
  <c r="E74" i="102" s="1"/>
  <c r="E75" i="102" s="1"/>
  <c r="D74" i="46"/>
  <c r="D75" i="46" s="1"/>
  <c r="E74" i="163"/>
  <c r="E75" i="163" s="1"/>
  <c r="E64" i="9"/>
  <c r="E73" i="9"/>
  <c r="E73" i="7"/>
  <c r="E74" i="95"/>
  <c r="E75" i="95" s="1"/>
  <c r="E75" i="94"/>
  <c r="E76" i="94"/>
  <c r="E72" i="121"/>
  <c r="E58" i="79"/>
  <c r="D74" i="17"/>
  <c r="D75" i="17" s="1"/>
  <c r="E58" i="78"/>
  <c r="E69" i="78"/>
  <c r="E73" i="78"/>
  <c r="E73" i="16"/>
  <c r="D58" i="217"/>
  <c r="E71" i="84"/>
  <c r="E73" i="60"/>
  <c r="E69" i="60"/>
  <c r="E64" i="61"/>
  <c r="E69" i="58"/>
  <c r="E69" i="13"/>
  <c r="E73" i="13"/>
  <c r="D74" i="62"/>
  <c r="D75" i="62" s="1"/>
  <c r="E58" i="62"/>
  <c r="D74" i="40"/>
  <c r="D75" i="40" s="1"/>
  <c r="E58" i="40"/>
  <c r="E58" i="187"/>
  <c r="D74" i="187"/>
  <c r="D75" i="187" s="1"/>
  <c r="E64" i="175"/>
  <c r="E74" i="175"/>
  <c r="E75" i="175" s="1"/>
  <c r="D74" i="140"/>
  <c r="D75" i="140" s="1"/>
  <c r="E58" i="140"/>
  <c r="D74" i="113"/>
  <c r="D75" i="113" s="1"/>
  <c r="E58" i="113"/>
  <c r="E58" i="144"/>
  <c r="D74" i="144"/>
  <c r="D75" i="144" s="1"/>
  <c r="D74" i="39"/>
  <c r="D75" i="39" s="1"/>
  <c r="E58" i="39"/>
  <c r="D74" i="130"/>
  <c r="D75" i="130" s="1"/>
  <c r="E58" i="130"/>
  <c r="E58" i="23"/>
  <c r="E64" i="23" s="1"/>
  <c r="E58" i="38"/>
  <c r="D74" i="38"/>
  <c r="D75" i="38" s="1"/>
  <c r="D74" i="166"/>
  <c r="D75" i="166" s="1"/>
  <c r="E58" i="166"/>
  <c r="E58" i="168"/>
  <c r="D74" i="168"/>
  <c r="D75" i="168" s="1"/>
  <c r="D74" i="193"/>
  <c r="D75" i="193" s="1"/>
  <c r="D74" i="92"/>
  <c r="D75" i="92" s="1"/>
  <c r="E58" i="92"/>
  <c r="D74" i="137"/>
  <c r="D75" i="137" s="1"/>
  <c r="E58" i="137"/>
  <c r="E58" i="138"/>
  <c r="D74" i="138"/>
  <c r="D75" i="138" s="1"/>
  <c r="D74" i="76"/>
  <c r="D75" i="76" s="1"/>
  <c r="E58" i="115"/>
  <c r="D74" i="115"/>
  <c r="D75" i="115" s="1"/>
  <c r="E64" i="77"/>
  <c r="E74" i="77"/>
  <c r="E75" i="77" s="1"/>
  <c r="E58" i="149"/>
  <c r="D74" i="149"/>
  <c r="D76" i="149" s="1"/>
  <c r="E58" i="43"/>
  <c r="D74" i="43"/>
  <c r="D75" i="43" s="1"/>
  <c r="D74" i="124"/>
  <c r="D75" i="124" s="1"/>
  <c r="E58" i="124"/>
  <c r="E58" i="34"/>
  <c r="D74" i="34"/>
  <c r="D75" i="34" s="1"/>
  <c r="E58" i="123"/>
  <c r="D74" i="123"/>
  <c r="D75" i="123" s="1"/>
  <c r="D74" i="106"/>
  <c r="D75" i="106" s="1"/>
  <c r="E58" i="106"/>
  <c r="E58" i="151"/>
  <c r="D74" i="151"/>
  <c r="D76" i="151" s="1"/>
  <c r="E58" i="96"/>
  <c r="D74" i="96"/>
  <c r="D76" i="96" s="1"/>
  <c r="E72" i="84"/>
  <c r="E64" i="84"/>
  <c r="E58" i="60"/>
  <c r="E74" i="60" s="1"/>
  <c r="E73" i="61"/>
  <c r="E58" i="61"/>
  <c r="E58" i="58"/>
  <c r="E58" i="13"/>
  <c r="E74" i="13" s="1"/>
  <c r="E64" i="13"/>
  <c r="E73" i="94"/>
  <c r="E64" i="79"/>
  <c r="E73" i="79"/>
  <c r="E69" i="79"/>
  <c r="E72" i="79"/>
  <c r="E64" i="58"/>
  <c r="E71" i="94"/>
  <c r="E58" i="27"/>
  <c r="E74" i="27" s="1"/>
  <c r="E76" i="27" s="1"/>
  <c r="E74" i="199"/>
  <c r="E75" i="199" s="1"/>
  <c r="D75" i="1"/>
  <c r="E58" i="94"/>
  <c r="D74" i="29"/>
  <c r="D75" i="29" s="1"/>
  <c r="E74" i="55"/>
  <c r="E75" i="55" s="1"/>
  <c r="D74" i="210"/>
  <c r="D75" i="210" s="1"/>
  <c r="E69" i="94"/>
  <c r="E74" i="143"/>
  <c r="E75" i="143" s="1"/>
  <c r="E58" i="147"/>
  <c r="E64" i="147" s="1"/>
  <c r="D74" i="169"/>
  <c r="D75" i="169" s="1"/>
  <c r="E69" i="61"/>
  <c r="E64" i="60"/>
  <c r="E64" i="94"/>
  <c r="E72" i="61"/>
  <c r="E64" i="63"/>
  <c r="E74" i="63"/>
  <c r="E75" i="63" s="1"/>
  <c r="E72" i="94"/>
  <c r="D75" i="23"/>
  <c r="D74" i="41"/>
  <c r="D75" i="41" s="1"/>
  <c r="E58" i="41"/>
  <c r="E58" i="101"/>
  <c r="D74" i="101"/>
  <c r="D75" i="101" s="1"/>
  <c r="E58" i="173"/>
  <c r="D74" i="173"/>
  <c r="D75" i="173" s="1"/>
  <c r="E58" i="104"/>
  <c r="D74" i="104"/>
  <c r="D75" i="104" s="1"/>
  <c r="D74" i="57"/>
  <c r="D75" i="57" s="1"/>
  <c r="E58" i="57"/>
  <c r="D74" i="33"/>
  <c r="D75" i="33" s="1"/>
  <c r="E58" i="33"/>
  <c r="E73" i="48"/>
  <c r="E73" i="122"/>
  <c r="E69" i="122"/>
  <c r="E58" i="122"/>
  <c r="E72" i="122"/>
  <c r="E64" i="122"/>
  <c r="E74" i="17"/>
  <c r="E75" i="17" s="1"/>
  <c r="E69" i="16"/>
  <c r="E72" i="16"/>
  <c r="E64" i="16"/>
  <c r="E58" i="16"/>
  <c r="E58" i="11"/>
  <c r="E69" i="10"/>
  <c r="E74" i="5"/>
  <c r="E75" i="5" s="1"/>
  <c r="E75" i="4"/>
  <c r="E72" i="13"/>
  <c r="E58" i="109"/>
  <c r="D74" i="109"/>
  <c r="D76" i="109" s="1"/>
  <c r="D74" i="159"/>
  <c r="D76" i="159" s="1"/>
  <c r="E58" i="159"/>
  <c r="D74" i="135"/>
  <c r="D76" i="135" s="1"/>
  <c r="E58" i="135"/>
  <c r="D74" i="132"/>
  <c r="D76" i="132" s="1"/>
  <c r="E58" i="132"/>
  <c r="D74" i="133"/>
  <c r="D76" i="133" s="1"/>
  <c r="E58" i="133"/>
  <c r="D74" i="179"/>
  <c r="D76" i="179" s="1"/>
  <c r="E58" i="179"/>
  <c r="E58" i="85"/>
  <c r="D74" i="85"/>
  <c r="D75" i="85" s="1"/>
  <c r="E64" i="169"/>
  <c r="E74" i="169"/>
  <c r="E75" i="169" s="1"/>
  <c r="E58" i="47"/>
  <c r="D74" i="47"/>
  <c r="D75" i="47" s="1"/>
  <c r="E58" i="35"/>
  <c r="D74" i="35"/>
  <c r="D75" i="35" s="1"/>
  <c r="E58" i="186"/>
  <c r="D74" i="186"/>
  <c r="D75" i="186" s="1"/>
  <c r="E58" i="148"/>
  <c r="D74" i="148"/>
  <c r="D76" i="148" s="1"/>
  <c r="E58" i="152"/>
  <c r="D74" i="152"/>
  <c r="D76" i="152" s="1"/>
  <c r="D74" i="197"/>
  <c r="D75" i="197" s="1"/>
  <c r="E58" i="197"/>
  <c r="D74" i="188"/>
  <c r="D75" i="188" s="1"/>
  <c r="E58" i="83"/>
  <c r="E74" i="83" s="1"/>
  <c r="E75" i="83" s="1"/>
  <c r="E58" i="48"/>
  <c r="E64" i="48" s="1"/>
  <c r="E73" i="84"/>
  <c r="E58" i="84"/>
  <c r="E69" i="84"/>
  <c r="E72" i="60"/>
  <c r="E72" i="58"/>
  <c r="E73" i="58"/>
  <c r="E58" i="9"/>
  <c r="E71" i="8"/>
  <c r="E73" i="8"/>
  <c r="E64" i="8"/>
  <c r="E58" i="8"/>
  <c r="D58" i="7"/>
  <c r="D74" i="7" s="1"/>
  <c r="E64" i="7"/>
  <c r="E64" i="108"/>
  <c r="E74" i="108"/>
  <c r="E76" i="108" s="1"/>
  <c r="E74" i="146"/>
  <c r="E76" i="146" s="1"/>
  <c r="E64" i="146"/>
  <c r="E64" i="89"/>
  <c r="E74" i="89"/>
  <c r="E75" i="89" s="1"/>
  <c r="E64" i="88"/>
  <c r="E74" i="88"/>
  <c r="E75" i="88" s="1"/>
  <c r="E64" i="76"/>
  <c r="E74" i="76"/>
  <c r="E75" i="76" s="1"/>
  <c r="E64" i="36"/>
  <c r="E74" i="36"/>
  <c r="E75" i="36" s="1"/>
  <c r="E74" i="24"/>
  <c r="E76" i="24" s="1"/>
  <c r="E64" i="189"/>
  <c r="E74" i="189"/>
  <c r="E75" i="189" s="1"/>
  <c r="E64" i="112"/>
  <c r="E74" i="112"/>
  <c r="E75" i="112" s="1"/>
  <c r="E73" i="93"/>
  <c r="E74" i="93" s="1"/>
  <c r="E74" i="120"/>
  <c r="E75" i="120" s="1"/>
  <c r="E73" i="121"/>
  <c r="E58" i="121"/>
  <c r="E64" i="121"/>
  <c r="E74" i="81"/>
  <c r="E75" i="81" s="1"/>
  <c r="E69" i="11"/>
  <c r="E73" i="11"/>
  <c r="E64" i="11"/>
  <c r="E72" i="11"/>
  <c r="E72" i="10"/>
  <c r="E73" i="10"/>
  <c r="E64" i="10"/>
  <c r="E58" i="10"/>
  <c r="E74" i="194"/>
  <c r="E75" i="194" s="1"/>
  <c r="E74" i="209"/>
  <c r="E75" i="209" s="1"/>
  <c r="E64" i="209"/>
  <c r="E64" i="26"/>
  <c r="E74" i="26"/>
  <c r="E75" i="26" s="1"/>
  <c r="E74" i="216"/>
  <c r="E75" i="216" s="1"/>
  <c r="E64" i="216"/>
  <c r="E74" i="103"/>
  <c r="E75" i="103" s="1"/>
  <c r="E64" i="103"/>
  <c r="E74" i="212"/>
  <c r="E75" i="212" s="1"/>
  <c r="E74" i="202"/>
  <c r="E75" i="202" s="1"/>
  <c r="E64" i="202"/>
  <c r="E64" i="129"/>
  <c r="E74" i="129"/>
  <c r="E75" i="129" s="1"/>
  <c r="E74" i="30"/>
  <c r="E75" i="30" s="1"/>
  <c r="E64" i="30"/>
  <c r="E74" i="42"/>
  <c r="E75" i="42" s="1"/>
  <c r="E64" i="42"/>
  <c r="E64" i="49"/>
  <c r="E74" i="49"/>
  <c r="E75" i="49" s="1"/>
  <c r="E64" i="29"/>
  <c r="E74" i="29"/>
  <c r="E75" i="29" s="1"/>
  <c r="E74" i="164"/>
  <c r="E75" i="164" s="1"/>
  <c r="E64" i="164"/>
  <c r="E64" i="214"/>
  <c r="E74" i="214"/>
  <c r="E75" i="214" s="1"/>
  <c r="E74" i="174"/>
  <c r="E75" i="174" s="1"/>
  <c r="E64" i="174"/>
  <c r="E74" i="205"/>
  <c r="E75" i="205" s="1"/>
  <c r="E64" i="205"/>
  <c r="E74" i="211"/>
  <c r="E76" i="211" s="1"/>
  <c r="E64" i="211"/>
  <c r="E74" i="213"/>
  <c r="E75" i="213" s="1"/>
  <c r="E64" i="213"/>
  <c r="E64" i="161"/>
  <c r="E74" i="161"/>
  <c r="E75" i="161" s="1"/>
  <c r="E74" i="46"/>
  <c r="E75" i="46" s="1"/>
  <c r="E64" i="46"/>
  <c r="E64" i="64"/>
  <c r="E74" i="64"/>
  <c r="E75" i="64" s="1"/>
  <c r="E64" i="191"/>
  <c r="E74" i="191"/>
  <c r="E75" i="191" s="1"/>
  <c r="E64" i="167"/>
  <c r="E74" i="167"/>
  <c r="E75" i="167" s="1"/>
  <c r="E64" i="210"/>
  <c r="E74" i="210"/>
  <c r="E75" i="210" s="1"/>
  <c r="E74" i="99"/>
  <c r="E75" i="99" s="1"/>
  <c r="E64" i="99"/>
  <c r="E74" i="28"/>
  <c r="E75" i="28" s="1"/>
  <c r="E64" i="28"/>
  <c r="E74" i="136"/>
  <c r="E75" i="136" s="1"/>
  <c r="E74" i="195"/>
  <c r="E75" i="195" s="1"/>
  <c r="E64" i="195"/>
  <c r="E74" i="22"/>
  <c r="E75" i="22" s="1"/>
  <c r="E64" i="22"/>
  <c r="E74" i="61" l="1"/>
  <c r="E75" i="61" s="1"/>
  <c r="E74" i="58"/>
  <c r="E75" i="58" s="1"/>
  <c r="E74" i="201"/>
  <c r="E75" i="201" s="1"/>
  <c r="E64" i="102"/>
  <c r="D74" i="128"/>
  <c r="D75" i="128" s="1"/>
  <c r="E74" i="121"/>
  <c r="E74" i="9"/>
  <c r="E75" i="9" s="1"/>
  <c r="E74" i="23"/>
  <c r="E75" i="23" s="1"/>
  <c r="E64" i="83"/>
  <c r="E74" i="79"/>
  <c r="E75" i="79" s="1"/>
  <c r="E74" i="128"/>
  <c r="E75" i="128" s="1"/>
  <c r="E64" i="128"/>
  <c r="E74" i="147"/>
  <c r="E76" i="147" s="1"/>
  <c r="E74" i="78"/>
  <c r="E75" i="78" s="1"/>
  <c r="E74" i="94"/>
  <c r="E58" i="217"/>
  <c r="E74" i="217" s="1"/>
  <c r="E75" i="217" s="1"/>
  <c r="D74" i="217"/>
  <c r="D75" i="217" s="1"/>
  <c r="E64" i="62"/>
  <c r="E74" i="62"/>
  <c r="E75" i="62" s="1"/>
  <c r="E64" i="40"/>
  <c r="E74" i="40"/>
  <c r="E75" i="40" s="1"/>
  <c r="E64" i="187"/>
  <c r="E74" i="187"/>
  <c r="E75" i="187" s="1"/>
  <c r="E64" i="140"/>
  <c r="E74" i="140"/>
  <c r="E75" i="140" s="1"/>
  <c r="E64" i="113"/>
  <c r="E74" i="113"/>
  <c r="E75" i="113" s="1"/>
  <c r="E74" i="144"/>
  <c r="E75" i="144" s="1"/>
  <c r="E64" i="144"/>
  <c r="E64" i="39"/>
  <c r="E74" i="39"/>
  <c r="E75" i="39" s="1"/>
  <c r="E64" i="130"/>
  <c r="E74" i="130"/>
  <c r="E75" i="130" s="1"/>
  <c r="E64" i="38"/>
  <c r="E74" i="38"/>
  <c r="E75" i="38" s="1"/>
  <c r="E64" i="166"/>
  <c r="E74" i="166"/>
  <c r="E75" i="166" s="1"/>
  <c r="E74" i="168"/>
  <c r="E75" i="168" s="1"/>
  <c r="E64" i="168"/>
  <c r="E64" i="92"/>
  <c r="E74" i="92"/>
  <c r="E75" i="92" s="1"/>
  <c r="E64" i="137"/>
  <c r="E74" i="137"/>
  <c r="E75" i="137" s="1"/>
  <c r="E64" i="138"/>
  <c r="E74" i="138"/>
  <c r="E75" i="138" s="1"/>
  <c r="E64" i="115"/>
  <c r="E74" i="115"/>
  <c r="E75" i="115" s="1"/>
  <c r="E64" i="149"/>
  <c r="E74" i="149"/>
  <c r="E76" i="149" s="1"/>
  <c r="E64" i="43"/>
  <c r="E74" i="43"/>
  <c r="E75" i="43" s="1"/>
  <c r="E64" i="124"/>
  <c r="E74" i="124"/>
  <c r="E75" i="124" s="1"/>
  <c r="E64" i="34"/>
  <c r="E74" i="34"/>
  <c r="E75" i="34" s="1"/>
  <c r="E64" i="123"/>
  <c r="E74" i="123"/>
  <c r="E75" i="123" s="1"/>
  <c r="E64" i="106"/>
  <c r="E74" i="106"/>
  <c r="E75" i="106" s="1"/>
  <c r="E64" i="151"/>
  <c r="E74" i="151"/>
  <c r="E76" i="151" s="1"/>
  <c r="E74" i="96"/>
  <c r="E76" i="96" s="1"/>
  <c r="E64" i="96"/>
  <c r="E75" i="60"/>
  <c r="E75" i="13"/>
  <c r="E74" i="16"/>
  <c r="E75" i="16" s="1"/>
  <c r="E74" i="48"/>
  <c r="E75" i="48" s="1"/>
  <c r="E74" i="122"/>
  <c r="E75" i="122" s="1"/>
  <c r="E64" i="41"/>
  <c r="E74" i="41"/>
  <c r="E75" i="41" s="1"/>
  <c r="E64" i="101"/>
  <c r="E74" i="101"/>
  <c r="E75" i="101" s="1"/>
  <c r="E64" i="173"/>
  <c r="E74" i="173"/>
  <c r="E75" i="173" s="1"/>
  <c r="E64" i="104"/>
  <c r="E74" i="104"/>
  <c r="E75" i="104" s="1"/>
  <c r="E64" i="57"/>
  <c r="E74" i="57"/>
  <c r="E75" i="57" s="1"/>
  <c r="E64" i="33"/>
  <c r="E74" i="33"/>
  <c r="E75" i="33" s="1"/>
  <c r="E64" i="109"/>
  <c r="E74" i="109"/>
  <c r="E76" i="109" s="1"/>
  <c r="E64" i="159"/>
  <c r="E74" i="159"/>
  <c r="E76" i="159" s="1"/>
  <c r="E64" i="135"/>
  <c r="E74" i="135"/>
  <c r="E76" i="135" s="1"/>
  <c r="E64" i="132"/>
  <c r="E74" i="132"/>
  <c r="E76" i="132" s="1"/>
  <c r="E64" i="133"/>
  <c r="E74" i="133"/>
  <c r="E76" i="133" s="1"/>
  <c r="E64" i="179"/>
  <c r="E74" i="179"/>
  <c r="E76" i="179" s="1"/>
  <c r="E64" i="85"/>
  <c r="E74" i="85"/>
  <c r="E75" i="85" s="1"/>
  <c r="E64" i="47"/>
  <c r="E74" i="47"/>
  <c r="E75" i="47" s="1"/>
  <c r="E64" i="35"/>
  <c r="E74" i="35"/>
  <c r="E75" i="35" s="1"/>
  <c r="E74" i="186"/>
  <c r="E75" i="186" s="1"/>
  <c r="E64" i="186"/>
  <c r="E64" i="148"/>
  <c r="E74" i="148"/>
  <c r="E76" i="148" s="1"/>
  <c r="E64" i="152"/>
  <c r="E74" i="152"/>
  <c r="E76" i="152" s="1"/>
  <c r="E74" i="197"/>
  <c r="E75" i="197" s="1"/>
  <c r="E64" i="197"/>
  <c r="E64" i="188"/>
  <c r="E74" i="188"/>
  <c r="E75" i="188" s="1"/>
  <c r="E74" i="84"/>
  <c r="E75" i="84" s="1"/>
  <c r="E74" i="8"/>
  <c r="E75" i="8" s="1"/>
  <c r="E58" i="7"/>
  <c r="E74" i="7" s="1"/>
  <c r="E75" i="7" s="1"/>
  <c r="E74" i="11"/>
  <c r="E75" i="11" s="1"/>
  <c r="E74" i="10"/>
  <c r="E75" i="10" s="1"/>
  <c r="D75" i="7" l="1"/>
  <c r="E11" i="1"/>
  <c r="E21" i="1" s="1"/>
  <c r="E66" i="1" s="1"/>
  <c r="E73" i="1" l="1"/>
  <c r="E59" i="1"/>
  <c r="E72" i="1"/>
  <c r="V39" i="1"/>
  <c r="W39" i="1" s="1"/>
  <c r="E58" i="1"/>
  <c r="E69" i="1"/>
  <c r="E71" i="1"/>
  <c r="E74" i="1" l="1"/>
  <c r="E75" i="1" s="1"/>
</calcChain>
</file>

<file path=xl/sharedStrings.xml><?xml version="1.0" encoding="utf-8"?>
<sst xmlns="http://schemas.openxmlformats.org/spreadsheetml/2006/main" count="19922" uniqueCount="266">
  <si>
    <t>PÓŁROCZNE SPRAWOZDANIE UBEZPIECZENIOWEGO FUNDUSZU KAPITAŁOWEGO</t>
  </si>
  <si>
    <t>TOWARZYSTWO UBEZPIECZEŃ  ALLIANZ ŻYCIE POLSKA S.A.</t>
  </si>
  <si>
    <t>(w zł)</t>
  </si>
  <si>
    <t xml:space="preserve">I.  </t>
  </si>
  <si>
    <t>1.</t>
  </si>
  <si>
    <t>lokaty</t>
  </si>
  <si>
    <t>2.</t>
  </si>
  <si>
    <t>środki pieniężne</t>
  </si>
  <si>
    <t>3.</t>
  </si>
  <si>
    <t>4.</t>
  </si>
  <si>
    <t>należności</t>
  </si>
  <si>
    <t>z tytułu transakcji zawartych na rynku finansowym</t>
  </si>
  <si>
    <t>pozostałe</t>
  </si>
  <si>
    <t xml:space="preserve">II.  </t>
  </si>
  <si>
    <t xml:space="preserve">pozostałe </t>
  </si>
  <si>
    <t>A.</t>
  </si>
  <si>
    <t>Aktywa netto funduszu na początek okresu sprawozdawczego</t>
  </si>
  <si>
    <t>B.</t>
  </si>
  <si>
    <t>I.</t>
  </si>
  <si>
    <t>Zwiększenia funduszu</t>
  </si>
  <si>
    <t>tytułem składek zwiększających wartość funduszu</t>
  </si>
  <si>
    <t>pozostałe przychody</t>
  </si>
  <si>
    <t>pozostałe zwiększenia</t>
  </si>
  <si>
    <t>II.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</si>
  <si>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</si>
  <si>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</si>
  <si>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</si>
  <si>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</si>
  <si>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</si>
  <si>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</si>
  <si>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</si>
  <si>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</si>
  <si>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</si>
  <si>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</si>
  <si>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</si>
  <si>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</si>
  <si>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 xml:space="preserve">Wynik netto z działalności inwestycyjnej </t>
  </si>
  <si>
    <t>D.</t>
  </si>
  <si>
    <t>Aktywa netto funduszu na koniec okresu sprawozdawczego</t>
  </si>
  <si>
    <t>Pozycja</t>
  </si>
  <si>
    <t>na początek okresu sprawozdawczego</t>
  </si>
  <si>
    <t>na koniec okresu sprawozdawczego</t>
  </si>
  <si>
    <t xml:space="preserve">LOKATY </t>
  </si>
  <si>
    <t>Lokaty (suma 1-12)</t>
  </si>
  <si>
    <t>papiery wartościowe emitowane, poręczone lub gwarantowane przez Skarb Państwa lub organizacje międzynarodowe,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</si>
  <si>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</si>
  <si>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</si>
  <si>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</si>
  <si>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</si>
  <si>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</si>
  <si>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</si>
  <si>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</si>
  <si>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</si>
  <si>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</si>
  <si>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</si>
  <si>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</si>
  <si>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</si>
  <si>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</si>
  <si>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</si>
  <si>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</si>
  <si>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III.</t>
  </si>
  <si>
    <t>Środki pieniężne</t>
  </si>
  <si>
    <t>IV.</t>
  </si>
  <si>
    <t>Należności</t>
  </si>
  <si>
    <t>V.</t>
  </si>
  <si>
    <t>Zobowiązania</t>
  </si>
  <si>
    <t>Aktywa netto (w tym)</t>
  </si>
  <si>
    <t>krajowe</t>
  </si>
  <si>
    <t>Fundusz Konserwatywny</t>
  </si>
  <si>
    <t>Fundusz Zrównoważony</t>
  </si>
  <si>
    <t>Fundusz Aktywny</t>
  </si>
  <si>
    <t>Fundusz Międzynarodowy</t>
  </si>
  <si>
    <t>Fundusz Azjatycki</t>
  </si>
  <si>
    <t>Aktywny - Surowce i Nowe Gospodarki</t>
  </si>
  <si>
    <t>Zabezpieczony - Rynku Polskiego</t>
  </si>
  <si>
    <t>Zabezpieczony - Europy Wschodniej</t>
  </si>
  <si>
    <t>Zabezpieczony - Dalekiego Wschodu</t>
  </si>
  <si>
    <t>Millenium Master I</t>
  </si>
  <si>
    <t>Millenium Master II</t>
  </si>
  <si>
    <t>Millenium Master III</t>
  </si>
  <si>
    <t>Millenium Master IV</t>
  </si>
  <si>
    <t>Millenium Master V</t>
  </si>
  <si>
    <t>Millenium Master VI</t>
  </si>
  <si>
    <t>Millenium Master VII</t>
  </si>
  <si>
    <t>Fundusz Gwarantowany</t>
  </si>
  <si>
    <t>Fundusz Stabilnego Wzrostu</t>
  </si>
  <si>
    <t>Fundusz Dynamiczny</t>
  </si>
  <si>
    <t>Fundusz Aktywnej Alokacji</t>
  </si>
  <si>
    <t>Fundusz Akcji Plus</t>
  </si>
  <si>
    <t>Fundusz Akcji Małych i Średnich Spółek</t>
  </si>
  <si>
    <t>Fundusz Selektywny</t>
  </si>
  <si>
    <t>Fundusz Polskich Obligacji Skarbowych</t>
  </si>
  <si>
    <t>INFORMACJE DODATKOWE</t>
  </si>
  <si>
    <t xml:space="preserve">DO SPRAWOZDANIA PÓŁROCZNEGO </t>
  </si>
  <si>
    <t>FUNDUSZY KAPITAŁOWYCH</t>
  </si>
  <si>
    <t>TU ALLIANZ ŻYCIE POLSKA  S.A.</t>
  </si>
  <si>
    <t xml:space="preserve">Przypis składki brutto </t>
  </si>
  <si>
    <t xml:space="preserve">Potrącenia/ opłaty </t>
  </si>
  <si>
    <t xml:space="preserve">Składka netto </t>
  </si>
  <si>
    <t>Fundusz Pieniężny</t>
  </si>
  <si>
    <t>Strategii MultiObligacyjnych</t>
  </si>
  <si>
    <t>Fundusz Akcji Globalnych</t>
  </si>
  <si>
    <t>Fundusz Obligacji Globalnych</t>
  </si>
  <si>
    <t>WARTOŚĆ AKTYWÓW NETTO FUNDUSZU</t>
  </si>
  <si>
    <t xml:space="preserve">II. </t>
  </si>
  <si>
    <t>ZMIANY WARTOŚCI AKTYWÓW NETTO FUNDUSZU</t>
  </si>
  <si>
    <t>3.1.</t>
  </si>
  <si>
    <t>3.2.</t>
  </si>
  <si>
    <t>wobec ubezpieczających, ubezpieczonych lub uprawnionych z umów ubezpieczenia</t>
  </si>
  <si>
    <t>Aktywa</t>
  </si>
  <si>
    <t>III.  Aktywa netto (I-II)</t>
  </si>
  <si>
    <t>Wynik netto z działalności operacyjnej (I-II)</t>
  </si>
  <si>
    <t>Liczba jednostek uczestnictwa funduszu:</t>
  </si>
  <si>
    <t>Wartość jednostki uczestnictwa funduszu:</t>
  </si>
  <si>
    <t>minimalna wartość jednostki uczestnictwa funduszu w okresie sprawozdawczym</t>
  </si>
  <si>
    <t>maksymalna wartość jednostki uczestnictwa funduszu w okresie sprawozdawczym</t>
  </si>
  <si>
    <t xml:space="preserve">     ZESTAWIENIE AKTYWÓW NETTO FUNDUSZU</t>
  </si>
  <si>
    <t>Udział w aktywach       netto funduszu (w %)</t>
  </si>
  <si>
    <t>instrumenty pochodne</t>
  </si>
  <si>
    <t>zagraniczne - państwa UE</t>
  </si>
  <si>
    <t>zagraniczne - państwa poza UE</t>
  </si>
  <si>
    <t>LICZBA I WARTOŚĆ JEDNOSTEK ROZRACHUNKOWYCH uczestnictwa funduszu</t>
  </si>
  <si>
    <t>Wartość bilansowa (w zł)</t>
  </si>
  <si>
    <t>-</t>
  </si>
  <si>
    <t>Fundusz Energetyczny</t>
  </si>
  <si>
    <t>TOWARZYSTWO UBEZPIECZEŃ  ALLIANZ ŻYCIE POLSKA SA</t>
  </si>
  <si>
    <t>I</t>
  </si>
  <si>
    <t xml:space="preserve">I  </t>
  </si>
  <si>
    <t xml:space="preserve">II  </t>
  </si>
  <si>
    <t>III  Aktywa netto (I-II)</t>
  </si>
  <si>
    <t xml:space="preserve">II </t>
  </si>
  <si>
    <t>A</t>
  </si>
  <si>
    <t>B</t>
  </si>
  <si>
    <t>II</t>
  </si>
  <si>
    <t>C</t>
  </si>
  <si>
    <t>D</t>
  </si>
  <si>
    <t>III</t>
  </si>
  <si>
    <t>IV</t>
  </si>
  <si>
    <t>V</t>
  </si>
  <si>
    <t xml:space="preserve">Fundusz Obligacji </t>
  </si>
  <si>
    <t>Allianz Portfel Aktywnej Alokacji</t>
  </si>
  <si>
    <t>Allianz Portfel Dynamiczny</t>
  </si>
  <si>
    <t>Allianz Portfel Stabilnego Wzrostu</t>
  </si>
  <si>
    <t>Allianz Portfel Akcji Rynków Rozwiniętych</t>
  </si>
  <si>
    <t>Allianz Portfel Akcji Rynków Wschodzących</t>
  </si>
  <si>
    <t>Allianz Portfel Obligacji Zagranicznych</t>
  </si>
  <si>
    <t>Allianz Portfel Obligacji Obniżonego Ryzyka</t>
  </si>
  <si>
    <t>Allianz Portfel Strategicznej Alokacji</t>
  </si>
  <si>
    <t>Allianz Stabilnego Wzrostu</t>
  </si>
  <si>
    <t>Allianz Obligacji Plus</t>
  </si>
  <si>
    <t xml:space="preserve">Allianz Aktywnej Alokacji </t>
  </si>
  <si>
    <t>Allianz Akcji Małych i Średnich Spółek</t>
  </si>
  <si>
    <t>Allianz Konserwatywny</t>
  </si>
  <si>
    <t>Allianz Polskich Obligacji Skarbowych</t>
  </si>
  <si>
    <t>Allianz Selektywny</t>
  </si>
  <si>
    <t>Allianz Akcji Globalnych</t>
  </si>
  <si>
    <t>Allianz Dynamiczna Multistrategia</t>
  </si>
  <si>
    <t>Allianz Defensywna Multistrategia</t>
  </si>
  <si>
    <t>Allianz Zbalansowana Multistrategia</t>
  </si>
  <si>
    <t>Allianz Globalny Stabilnego Dochodu</t>
  </si>
  <si>
    <t>Allianz Aviva Dłużnych Papierów Korporacyjnych</t>
  </si>
  <si>
    <t>Allianz Franklin European Dividend Fund (PLN Hedged)</t>
  </si>
  <si>
    <t>Allianz Franklin Global Fundamental Strategies Fund (PLN Hedged)</t>
  </si>
  <si>
    <t>Allianz Franklin U.S. Opportunities Fund (PLN Hedged)</t>
  </si>
  <si>
    <t>Allianz Goldman Sachs Emerging Markets Debt Portfolio A (Acc) (PLN) Hedged</t>
  </si>
  <si>
    <t>Allianz Goldman Sachs Global Strategic Macro Bond Portfolio A (Acc) (PLN) Hedged</t>
  </si>
  <si>
    <t>Allianz Investor Akcji</t>
  </si>
  <si>
    <t>Allianz Investor Zrównoważony</t>
  </si>
  <si>
    <t>Allianz Investor BRIC</t>
  </si>
  <si>
    <t>Allianz Investor Gold</t>
  </si>
  <si>
    <t>Allianz Investor Indie i Chiny</t>
  </si>
  <si>
    <t>Allianz Investor Zabezpieczenia Emerytalnego</t>
  </si>
  <si>
    <t>Allianz JPM Global Healthcare Fund (PLN Hedged)</t>
  </si>
  <si>
    <t>Allianz JPM Global Strategic Bond (PLN Hedged)</t>
  </si>
  <si>
    <t>Allianz ESALIENS Akcji</t>
  </si>
  <si>
    <t>Allianz ESALIENS Obligacji</t>
  </si>
  <si>
    <t xml:space="preserve">Allianz NN Akcji </t>
  </si>
  <si>
    <t>Allianz NN Obligacji</t>
  </si>
  <si>
    <t>Allianz NN Średnich i Małych Spółek</t>
  </si>
  <si>
    <t>Allianz NN Europejski Spółek Dywidendowych</t>
  </si>
  <si>
    <t>Allianz NN Globalny Długu Korporacyjnego</t>
  </si>
  <si>
    <t>Allianz NN Globalny Spółek Dywidendowych</t>
  </si>
  <si>
    <t>Allianz NN Japonia</t>
  </si>
  <si>
    <t>Allianz NN Obligacji Rynków Wschodzących</t>
  </si>
  <si>
    <t>Allianz NN Spółek Dywidendowych USA</t>
  </si>
  <si>
    <t>Allianz NN Spółek Dywidendowych Rynków Wschodzących</t>
  </si>
  <si>
    <t>Allianz Noble Fund Akcji Małych i Średnich Spółek</t>
  </si>
  <si>
    <t>Allianz Pekao Akcji Rynków Wschodzących</t>
  </si>
  <si>
    <t>Allianz Pekao Alternatywny Globalnego Dochodu</t>
  </si>
  <si>
    <t>Allianz Pekao Obligacji Strategicznych</t>
  </si>
  <si>
    <t>Allianz Pekao Wzrostu i Dochodu Rynku Europejskiego</t>
  </si>
  <si>
    <t>Allianz Pekao Surowców i Energii</t>
  </si>
  <si>
    <t>Allianz Pekao Akcji Polskich</t>
  </si>
  <si>
    <t>Allianz Pekao Dynamicznych Spółek</t>
  </si>
  <si>
    <t>Allianz Pekao Obligacji Plus</t>
  </si>
  <si>
    <t>Allianz Pekao Obligacji - Dynamiczna Alokacja 2</t>
  </si>
  <si>
    <t>Allianz Pekao Akcji - Aktywna Selekcja</t>
  </si>
  <si>
    <t>Allianz Pekao Strategii Globalnej</t>
  </si>
  <si>
    <t>Allianz Pekao Akcji Małych i Średnich Spółek Rynków Rozwiniętych</t>
  </si>
  <si>
    <t>Allianz Pekao Obligacji i Dochodu</t>
  </si>
  <si>
    <t>Allianz PKO Akcji Nowa Europa</t>
  </si>
  <si>
    <t>Allianz PKO Obligacji Długoterminowych</t>
  </si>
  <si>
    <t>Allianz PKO Stabilnego Wzrostu</t>
  </si>
  <si>
    <t>Allianz PKO Zrównoważony</t>
  </si>
  <si>
    <t>Allianz PZU Akcji Krakowiak</t>
  </si>
  <si>
    <t>Allianz PZU Akcji Małych i Średnich Spółek</t>
  </si>
  <si>
    <t>Allianz PZU Medyczny</t>
  </si>
  <si>
    <t>Allianz PZU Akcji Rynków Rozwiniętych</t>
  </si>
  <si>
    <t>Allianz PZU Papierów Dłużnych POLONEZ</t>
  </si>
  <si>
    <t>Allianz Quercus Agresywny</t>
  </si>
  <si>
    <t>Allianz Quercus Ochrony Kapitału</t>
  </si>
  <si>
    <t>Allianz Quercus Global Balanced</t>
  </si>
  <si>
    <t>Allianz Schroder Asian Opportunities (PLN Hedged)</t>
  </si>
  <si>
    <t>Allianz Schroder Emerging Markets Debt Absolute Return (PLN Hedged)</t>
  </si>
  <si>
    <t>Allianz Schroder EURO Equity Fund (PLN Hedged)</t>
  </si>
  <si>
    <t>Allianz Schroder Frontier Markets Equity Fund (PLN Hedged)</t>
  </si>
  <si>
    <t>Allianz Schroder Global Diversified Growth Fund (PLN Hedged)</t>
  </si>
  <si>
    <t>Allianz Skarbiec Obligacji Wysokiego Dochodu</t>
  </si>
  <si>
    <t>Allianz Skarbiec Małych i Średnich Spółek</t>
  </si>
  <si>
    <t>Allianz Skarbiec Spółek Wzrostowych</t>
  </si>
  <si>
    <t>Allianz Skarbiec Top Brands</t>
  </si>
  <si>
    <t>Allianz Templeton Global Bond Fund (PLN Hedged)</t>
  </si>
  <si>
    <t>Allianz Templeton Global Total Return Fund (PLN Hedged)</t>
  </si>
  <si>
    <t xml:space="preserve">Allianz Investor Dochodowy </t>
  </si>
  <si>
    <t>Allianz Investor Oszczędnościowy</t>
  </si>
  <si>
    <t xml:space="preserve">Allianz NN Polski Odpowiedzialnego Inwestowania </t>
  </si>
  <si>
    <t>Allianz Pekao Spokojna Inwestycja</t>
  </si>
  <si>
    <t>Allianz Pekao Konserwatywny</t>
  </si>
  <si>
    <t>Allianz Pekao Konserwatywny Plus</t>
  </si>
  <si>
    <t>Allianz Skarbiec Konserwatywny</t>
  </si>
  <si>
    <t>Allianz Generali Obligacje Aktywny</t>
  </si>
  <si>
    <t>Allianz Generali Obligacje: Nowa Europa</t>
  </si>
  <si>
    <t>Allianz Generali Akcje: Nowa Europa</t>
  </si>
  <si>
    <t>Allianz Generali Akcje Małych i Średnich Spółek</t>
  </si>
  <si>
    <t>Allianz Generali Akcje Wzrostu</t>
  </si>
  <si>
    <t>Allianz Generali Korona Akcje</t>
  </si>
  <si>
    <t>Allianz Generali Korona Obligacje</t>
  </si>
  <si>
    <t>Allianz Generali Korona Dochodowy</t>
  </si>
  <si>
    <t>Allianz Generali Korona Zrównoważony</t>
  </si>
  <si>
    <t>Allianz Generali Oszczędnościowy</t>
  </si>
  <si>
    <t>Allianz Generali Stabilny Wzrost</t>
  </si>
  <si>
    <t>Allianz JPM Global Macro Opportunities Fund D (PLN)</t>
  </si>
  <si>
    <t>Allianz JPM Emerging Markets Opportunities Fund (PLN)</t>
  </si>
  <si>
    <t>Allianz ESALIENS Konserwatywny</t>
  </si>
  <si>
    <t>Allianz Schroder ISF - Global Credit High Income (PLN Hedged)</t>
  </si>
  <si>
    <t>Allianz Generali Złota</t>
  </si>
  <si>
    <t>31-12-2020</t>
  </si>
  <si>
    <t>Allianz Akcji Rynku Złota</t>
  </si>
  <si>
    <t>Allianz China A-Shares</t>
  </si>
  <si>
    <t>Allianz Pekao Bazowy 15 Dywidendowy</t>
  </si>
  <si>
    <t>Allianz Skarbiec Nowej Generacji</t>
  </si>
  <si>
    <t>30-06-2021</t>
  </si>
  <si>
    <t>Allianz Templeton Latin America Fund (PLN Hedged)</t>
  </si>
  <si>
    <t>Allianz Generali Akcji: Megatrendy</t>
  </si>
  <si>
    <t>Allianz NN Indeks Surowców</t>
  </si>
  <si>
    <t>Allianz Investor Quality</t>
  </si>
  <si>
    <t>Allianz Investor Akumulacji Kapitału</t>
  </si>
  <si>
    <t>SPORZĄDZONE NA DZIEŃ 31-12-2021</t>
  </si>
  <si>
    <t>Allianz Investor Fundamentalny Dywidend i Wzrostu</t>
  </si>
  <si>
    <t>Allianz Investor TOP 25 Małych i Średnich Spółek</t>
  </si>
  <si>
    <t>Allianz ESALIENS Medycyny i Nowych Technologii</t>
  </si>
  <si>
    <t>Allianz NN Stabilny Globalnej Dywersyfikacji</t>
  </si>
  <si>
    <t>31-12-2021</t>
  </si>
  <si>
    <t>30-12-2021</t>
  </si>
  <si>
    <t>Allianz PZU Akcji Polskich</t>
  </si>
  <si>
    <t>NA DZIEŃ 31-12-2021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</si>
</sst>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z_ł_-;\-* #,##0.00\ _z_ł_-;_-* &quot;-&quot;??\ _z_ł_-;_-@_-"/>
    <numFmt numFmtId="165" formatCode="#,##0.0000"/>
    <numFmt numFmtId="166" formatCode="0.0000"/>
    <numFmt numFmtId="167" formatCode="_-* #,##0.0000\ _z_ł_-;\-* #,##0.0000\ _z_ł_-;_-* &quot;-&quot;????\ _z_ł_-;_-@_-"/>
    <numFmt numFmtId="168" formatCode="#,##0.0000_ ;\-#,##0.0000\ "/>
    <numFmt numFmtId="169" formatCode="0.000"/>
    <numFmt numFmtId="170" formatCode="#,##0.00000"/>
    <numFmt numFmtId="171" formatCode="#,##0.000000"/>
    <numFmt numFmtId="172" formatCode="0.000000"/>
    <numFmt numFmtId="173" formatCode="0.00000"/>
    <numFmt numFmtId="174" formatCode="#,##0.000000000"/>
  </numFmts>
  <fonts count="7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indexed="6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0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0"/>
      <color indexed="64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4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21" borderId="4" applyNumberFormat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23" fillId="20" borderId="1" applyNumberFormat="0" applyAlignment="0" applyProtection="0"/>
    <xf numFmtId="9" fontId="4" fillId="0" borderId="0" applyFont="0" applyFill="0" applyBorder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23" borderId="9" applyNumberFormat="0" applyFont="0" applyAlignment="0" applyProtection="0"/>
    <xf numFmtId="0" fontId="28" fillId="3" borderId="0" applyNumberFormat="0" applyBorder="0" applyAlignment="0" applyProtection="0"/>
    <xf numFmtId="0" fontId="34" fillId="0" borderId="0"/>
    <xf numFmtId="0" fontId="22" fillId="23" borderId="66" applyNumberFormat="0" applyFont="0" applyAlignment="0" applyProtection="0"/>
    <xf numFmtId="0" fontId="24" fillId="0" borderId="65" applyNumberFormat="0" applyFill="0" applyAlignment="0" applyProtection="0"/>
    <xf numFmtId="0" fontId="23" fillId="20" borderId="63" applyNumberFormat="0" applyAlignment="0" applyProtection="0"/>
    <xf numFmtId="0" fontId="14" fillId="20" borderId="64" applyNumberFormat="0" applyAlignment="0" applyProtection="0"/>
    <xf numFmtId="0" fontId="13" fillId="7" borderId="63" applyNumberFormat="0" applyAlignment="0" applyProtection="0"/>
    <xf numFmtId="0" fontId="4" fillId="0" borderId="0"/>
    <xf numFmtId="0" fontId="22" fillId="23" borderId="70" applyNumberFormat="0" applyFont="0" applyAlignment="0" applyProtection="0"/>
    <xf numFmtId="0" fontId="24" fillId="0" borderId="69" applyNumberFormat="0" applyFill="0" applyAlignment="0" applyProtection="0"/>
    <xf numFmtId="0" fontId="23" fillId="20" borderId="67" applyNumberFormat="0" applyAlignment="0" applyProtection="0"/>
    <xf numFmtId="0" fontId="14" fillId="20" borderId="68" applyNumberFormat="0" applyAlignment="0" applyProtection="0"/>
    <xf numFmtId="0" fontId="13" fillId="7" borderId="67" applyNumberFormat="0" applyAlignment="0" applyProtection="0"/>
    <xf numFmtId="0" fontId="36" fillId="0" borderId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41" borderId="0" applyNumberFormat="0" applyBorder="0" applyAlignment="0" applyProtection="0"/>
    <xf numFmtId="0" fontId="37" fillId="45" borderId="0" applyNumberFormat="0" applyBorder="0" applyAlignment="0" applyProtection="0"/>
    <xf numFmtId="0" fontId="37" fillId="49" borderId="0" applyNumberFormat="0" applyBorder="0" applyAlignment="0" applyProtection="0"/>
    <xf numFmtId="0" fontId="37" fillId="53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42" borderId="0" applyNumberFormat="0" applyBorder="0" applyAlignment="0" applyProtection="0"/>
    <xf numFmtId="0" fontId="37" fillId="46" borderId="0" applyNumberFormat="0" applyBorder="0" applyAlignment="0" applyProtection="0"/>
    <xf numFmtId="0" fontId="37" fillId="50" borderId="0" applyNumberFormat="0" applyBorder="0" applyAlignment="0" applyProtection="0"/>
    <xf numFmtId="0" fontId="37" fillId="54" borderId="0" applyNumberFormat="0" applyBorder="0" applyAlignment="0" applyProtection="0"/>
    <xf numFmtId="0" fontId="38" fillId="35" borderId="0" applyNumberFormat="0" applyBorder="0" applyAlignment="0" applyProtection="0"/>
    <xf numFmtId="0" fontId="38" fillId="39" borderId="0" applyNumberFormat="0" applyBorder="0" applyAlignment="0" applyProtection="0"/>
    <xf numFmtId="0" fontId="38" fillId="43" borderId="0" applyNumberFormat="0" applyBorder="0" applyAlignment="0" applyProtection="0"/>
    <xf numFmtId="0" fontId="38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32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9" fillId="26" borderId="0" applyNumberFormat="0" applyBorder="0" applyAlignment="0" applyProtection="0"/>
    <xf numFmtId="0" fontId="40" fillId="29" borderId="74" applyNumberFormat="0" applyAlignment="0" applyProtection="0"/>
    <xf numFmtId="0" fontId="41" fillId="30" borderId="77" applyNumberFormat="0" applyAlignment="0" applyProtection="0"/>
    <xf numFmtId="0" fontId="42" fillId="0" borderId="0" applyNumberFormat="0" applyFill="0" applyBorder="0" applyAlignment="0" applyProtection="0"/>
    <xf numFmtId="0" fontId="43" fillId="25" borderId="0" applyNumberFormat="0" applyBorder="0" applyAlignment="0" applyProtection="0"/>
    <xf numFmtId="0" fontId="44" fillId="0" borderId="71" applyNumberFormat="0" applyFill="0" applyAlignment="0" applyProtection="0"/>
    <xf numFmtId="0" fontId="45" fillId="0" borderId="72" applyNumberFormat="0" applyFill="0" applyAlignment="0" applyProtection="0"/>
    <xf numFmtId="0" fontId="46" fillId="0" borderId="73" applyNumberFormat="0" applyFill="0" applyAlignment="0" applyProtection="0"/>
    <xf numFmtId="0" fontId="46" fillId="0" borderId="0" applyNumberFormat="0" applyFill="0" applyBorder="0" applyAlignment="0" applyProtection="0"/>
    <xf numFmtId="0" fontId="47" fillId="28" borderId="74" applyNumberFormat="0" applyAlignment="0" applyProtection="0"/>
    <xf numFmtId="0" fontId="48" fillId="0" borderId="76" applyNumberFormat="0" applyFill="0" applyAlignment="0" applyProtection="0"/>
    <xf numFmtId="0" fontId="49" fillId="27" borderId="0" applyNumberFormat="0" applyBorder="0" applyAlignment="0" applyProtection="0"/>
    <xf numFmtId="0" fontId="36" fillId="31" borderId="78" applyNumberFormat="0" applyFont="0" applyAlignment="0" applyProtection="0"/>
    <xf numFmtId="0" fontId="50" fillId="29" borderId="75" applyNumberFormat="0" applyAlignment="0" applyProtection="0"/>
    <xf numFmtId="0" fontId="51" fillId="0" borderId="0" applyNumberFormat="0" applyFill="0" applyBorder="0" applyAlignment="0" applyProtection="0"/>
    <xf numFmtId="0" fontId="52" fillId="0" borderId="7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54" fillId="31" borderId="78" applyNumberFormat="0" applyFont="0" applyAlignment="0" applyProtection="0"/>
    <xf numFmtId="0" fontId="4" fillId="31" borderId="78" applyNumberFormat="0" applyFont="0" applyAlignment="0" applyProtection="0"/>
    <xf numFmtId="0" fontId="57" fillId="0" borderId="0"/>
    <xf numFmtId="0" fontId="4" fillId="0" borderId="0"/>
    <xf numFmtId="0" fontId="13" fillId="7" borderId="89" applyNumberFormat="0" applyAlignment="0" applyProtection="0"/>
    <xf numFmtId="0" fontId="14" fillId="20" borderId="90" applyNumberFormat="0" applyAlignment="0" applyProtection="0"/>
    <xf numFmtId="0" fontId="23" fillId="20" borderId="89" applyNumberFormat="0" applyAlignment="0" applyProtection="0"/>
    <xf numFmtId="0" fontId="24" fillId="0" borderId="91" applyNumberFormat="0" applyFill="0" applyAlignment="0" applyProtection="0"/>
    <xf numFmtId="0" fontId="22" fillId="23" borderId="92" applyNumberFormat="0" applyFont="0" applyAlignment="0" applyProtection="0"/>
    <xf numFmtId="0" fontId="24" fillId="0" borderId="91" applyNumberFormat="0" applyFill="0" applyAlignment="0" applyProtection="0"/>
    <xf numFmtId="0" fontId="14" fillId="20" borderId="90" applyNumberFormat="0" applyAlignment="0" applyProtection="0"/>
    <xf numFmtId="0" fontId="22" fillId="23" borderId="92" applyNumberFormat="0" applyFont="0" applyAlignment="0" applyProtection="0"/>
    <xf numFmtId="0" fontId="22" fillId="23" borderId="92" applyNumberFormat="0" applyFont="0" applyAlignment="0" applyProtection="0"/>
    <xf numFmtId="0" fontId="4" fillId="0" borderId="0"/>
    <xf numFmtId="0" fontId="13" fillId="7" borderId="89" applyNumberFormat="0" applyAlignment="0" applyProtection="0"/>
    <xf numFmtId="0" fontId="14" fillId="20" borderId="90" applyNumberFormat="0" applyAlignment="0" applyProtection="0"/>
    <xf numFmtId="0" fontId="23" fillId="20" borderId="89" applyNumberFormat="0" applyAlignment="0" applyProtection="0"/>
    <xf numFmtId="0" fontId="24" fillId="0" borderId="91" applyNumberFormat="0" applyFill="0" applyAlignment="0" applyProtection="0"/>
    <xf numFmtId="0" fontId="23" fillId="20" borderId="89" applyNumberFormat="0" applyAlignment="0" applyProtection="0"/>
    <xf numFmtId="0" fontId="13" fillId="7" borderId="89" applyNumberFormat="0" applyAlignment="0" applyProtection="0"/>
    <xf numFmtId="0" fontId="4" fillId="0" borderId="0"/>
    <xf numFmtId="0" fontId="4" fillId="31" borderId="78" applyNumberFormat="0" applyFont="0" applyAlignment="0" applyProtection="0"/>
    <xf numFmtId="0" fontId="3" fillId="0" borderId="0"/>
    <xf numFmtId="0" fontId="4" fillId="0" borderId="0"/>
    <xf numFmtId="0" fontId="58" fillId="0" borderId="0"/>
    <xf numFmtId="0" fontId="59" fillId="0" borderId="0"/>
    <xf numFmtId="0" fontId="2" fillId="0" borderId="0"/>
    <xf numFmtId="9" fontId="2" fillId="0" borderId="0" applyFont="0" applyFill="0" applyBorder="0" applyAlignment="0" applyProtection="0"/>
    <xf numFmtId="164" fontId="60" fillId="0" borderId="0" applyFont="0" applyFill="0" applyBorder="0" applyAlignment="0" applyProtection="0"/>
    <xf numFmtId="0" fontId="1" fillId="0" borderId="0"/>
    <xf numFmtId="0" fontId="64" fillId="0" borderId="0"/>
    <xf numFmtId="0" fontId="65" fillId="0" borderId="0"/>
    <xf numFmtId="0" fontId="66" fillId="0" borderId="0"/>
    <xf numFmtId="0" fontId="64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0" fontId="67" fillId="0" borderId="0"/>
    <xf numFmtId="0" fontId="1" fillId="0" borderId="0"/>
    <xf numFmtId="0" fontId="62" fillId="0" borderId="0"/>
  </cellStyleXfs>
  <cellXfs count="422">
    <xf numFmtId="0" fontId="0" fillId="0" borderId="0" xfId="0"/>
    <xf numFmtId="0" fontId="5" fillId="24" borderId="0" xfId="0" applyFont="1" applyFill="1"/>
    <xf numFmtId="4" fontId="5" fillId="24" borderId="0" xfId="0" applyNumberFormat="1" applyFont="1" applyFill="1"/>
    <xf numFmtId="0" fontId="5" fillId="24" borderId="0" xfId="0" applyFont="1" applyFill="1" applyBorder="1" applyAlignment="1">
      <alignment horizontal="left" wrapText="1"/>
    </xf>
    <xf numFmtId="0" fontId="9" fillId="24" borderId="13" xfId="0" applyFont="1" applyFill="1" applyBorder="1" applyAlignment="1">
      <alignment horizontal="center"/>
    </xf>
    <xf numFmtId="0" fontId="9" fillId="24" borderId="18" xfId="0" applyFont="1" applyFill="1" applyBorder="1" applyAlignment="1">
      <alignment wrapText="1"/>
    </xf>
    <xf numFmtId="0" fontId="5" fillId="24" borderId="0" xfId="0" applyFont="1" applyFill="1" applyBorder="1" applyAlignment="1">
      <alignment horizontal="center" wrapText="1"/>
    </xf>
    <xf numFmtId="164" fontId="5" fillId="24" borderId="0" xfId="0" applyNumberFormat="1" applyFont="1" applyFill="1" applyBorder="1" applyAlignment="1">
      <alignment wrapText="1"/>
    </xf>
    <xf numFmtId="0" fontId="8" fillId="24" borderId="17" xfId="0" applyFont="1" applyFill="1" applyBorder="1" applyAlignment="1">
      <alignment horizontal="left" wrapText="1"/>
    </xf>
    <xf numFmtId="0" fontId="8" fillId="24" borderId="18" xfId="0" applyFont="1" applyFill="1" applyBorder="1" applyAlignment="1">
      <alignment horizontal="left" wrapText="1"/>
    </xf>
    <xf numFmtId="0" fontId="8" fillId="24" borderId="18" xfId="0" applyFont="1" applyFill="1" applyBorder="1" applyAlignment="1">
      <alignment wrapText="1"/>
    </xf>
    <xf numFmtId="0" fontId="9" fillId="24" borderId="27" xfId="0" applyFont="1" applyFill="1" applyBorder="1" applyAlignment="1">
      <alignment wrapText="1"/>
    </xf>
    <xf numFmtId="0" fontId="8" fillId="24" borderId="22" xfId="0" applyFont="1" applyFill="1" applyBorder="1"/>
    <xf numFmtId="0" fontId="9" fillId="24" borderId="17" xfId="0" applyFont="1" applyFill="1" applyBorder="1" applyAlignment="1">
      <alignment horizontal="center"/>
    </xf>
    <xf numFmtId="0" fontId="9" fillId="24" borderId="18" xfId="0" applyNumberFormat="1" applyFont="1" applyFill="1" applyBorder="1" applyAlignment="1">
      <alignment wrapText="1"/>
    </xf>
    <xf numFmtId="0" fontId="9" fillId="24" borderId="20" xfId="0" applyFont="1" applyFill="1" applyBorder="1" applyAlignment="1">
      <alignment horizontal="center"/>
    </xf>
    <xf numFmtId="0" fontId="9" fillId="24" borderId="19" xfId="0" applyNumberFormat="1" applyFont="1" applyFill="1" applyBorder="1" applyAlignment="1">
      <alignment wrapText="1"/>
    </xf>
    <xf numFmtId="4" fontId="5" fillId="24" borderId="27" xfId="0" applyNumberFormat="1" applyFont="1" applyFill="1" applyBorder="1" applyAlignment="1">
      <alignment horizontal="center" wrapText="1"/>
    </xf>
    <xf numFmtId="4" fontId="5" fillId="24" borderId="28" xfId="0" applyNumberFormat="1" applyFont="1" applyFill="1" applyBorder="1" applyAlignment="1">
      <alignment horizontal="center" wrapText="1"/>
    </xf>
    <xf numFmtId="0" fontId="8" fillId="24" borderId="29" xfId="0" applyFont="1" applyFill="1" applyBorder="1" applyAlignment="1">
      <alignment horizontal="left" wrapText="1"/>
    </xf>
    <xf numFmtId="0" fontId="9" fillId="24" borderId="26" xfId="0" applyFont="1" applyFill="1" applyBorder="1" applyAlignment="1">
      <alignment horizontal="center"/>
    </xf>
    <xf numFmtId="0" fontId="9" fillId="24" borderId="27" xfId="0" applyNumberFormat="1" applyFont="1" applyFill="1" applyBorder="1" applyAlignment="1">
      <alignment wrapText="1"/>
    </xf>
    <xf numFmtId="0" fontId="8" fillId="24" borderId="32" xfId="0" applyFont="1" applyFill="1" applyBorder="1"/>
    <xf numFmtId="0" fontId="8" fillId="24" borderId="33" xfId="0" applyNumberFormat="1" applyFont="1" applyFill="1" applyBorder="1" applyAlignment="1">
      <alignment wrapText="1"/>
    </xf>
    <xf numFmtId="4" fontId="8" fillId="24" borderId="33" xfId="0" applyNumberFormat="1" applyFont="1" applyFill="1" applyBorder="1"/>
    <xf numFmtId="10" fontId="8" fillId="24" borderId="34" xfId="37" applyNumberFormat="1" applyFont="1" applyFill="1" applyBorder="1"/>
    <xf numFmtId="0" fontId="0" fillId="24" borderId="0" xfId="0" applyFill="1"/>
    <xf numFmtId="4" fontId="8" fillId="24" borderId="24" xfId="0" applyNumberFormat="1" applyFont="1" applyFill="1" applyBorder="1"/>
    <xf numFmtId="0" fontId="8" fillId="24" borderId="13" xfId="0" applyFont="1" applyFill="1" applyBorder="1" applyAlignment="1">
      <alignment horizontal="center"/>
    </xf>
    <xf numFmtId="0" fontId="8" fillId="24" borderId="38" xfId="0" applyNumberFormat="1" applyFont="1" applyFill="1" applyBorder="1" applyAlignment="1">
      <alignment wrapText="1"/>
    </xf>
    <xf numFmtId="10" fontId="8" fillId="24" borderId="15" xfId="37" applyNumberFormat="1" applyFont="1" applyFill="1" applyBorder="1"/>
    <xf numFmtId="0" fontId="22" fillId="0" borderId="0" xfId="35"/>
    <xf numFmtId="0" fontId="29" fillId="0" borderId="0" xfId="35" applyFont="1"/>
    <xf numFmtId="164" fontId="29" fillId="0" borderId="0" xfId="35" applyNumberFormat="1" applyFont="1"/>
    <xf numFmtId="0" fontId="30" fillId="0" borderId="29" xfId="35" applyFont="1" applyBorder="1"/>
    <xf numFmtId="0" fontId="30" fillId="0" borderId="41" xfId="35" applyFont="1" applyBorder="1"/>
    <xf numFmtId="164" fontId="30" fillId="0" borderId="42" xfId="35" applyNumberFormat="1" applyFont="1" applyBorder="1"/>
    <xf numFmtId="164" fontId="30" fillId="0" borderId="37" xfId="35" applyNumberFormat="1" applyFont="1" applyBorder="1"/>
    <xf numFmtId="164" fontId="30" fillId="0" borderId="0" xfId="35" applyNumberFormat="1" applyFont="1"/>
    <xf numFmtId="0" fontId="30" fillId="0" borderId="0" xfId="35" applyFont="1"/>
    <xf numFmtId="0" fontId="30" fillId="0" borderId="43" xfId="35" applyFont="1" applyBorder="1"/>
    <xf numFmtId="0" fontId="30" fillId="0" borderId="0" xfId="35" applyFont="1" applyBorder="1"/>
    <xf numFmtId="164" fontId="31" fillId="0" borderId="44" xfId="35" applyNumberFormat="1" applyFont="1" applyBorder="1" applyAlignment="1">
      <alignment horizontal="center"/>
    </xf>
    <xf numFmtId="164" fontId="31" fillId="0" borderId="45" xfId="35" applyNumberFormat="1" applyFont="1" applyBorder="1" applyAlignment="1">
      <alignment horizontal="center"/>
    </xf>
    <xf numFmtId="0" fontId="30" fillId="0" borderId="46" xfId="35" applyFont="1" applyBorder="1"/>
    <xf numFmtId="0" fontId="30" fillId="0" borderId="47" xfId="35" applyFont="1" applyBorder="1"/>
    <xf numFmtId="164" fontId="31" fillId="0" borderId="48" xfId="35" applyNumberFormat="1" applyFont="1" applyBorder="1" applyAlignment="1">
      <alignment horizontal="center"/>
    </xf>
    <xf numFmtId="164" fontId="31" fillId="0" borderId="49" xfId="35" applyNumberFormat="1" applyFont="1" applyBorder="1" applyAlignment="1">
      <alignment horizontal="center"/>
    </xf>
    <xf numFmtId="164" fontId="30" fillId="0" borderId="44" xfId="35" applyNumberFormat="1" applyFont="1" applyBorder="1"/>
    <xf numFmtId="164" fontId="30" fillId="0" borderId="45" xfId="35" applyNumberFormat="1" applyFont="1" applyBorder="1"/>
    <xf numFmtId="0" fontId="31" fillId="0" borderId="43" xfId="35" applyFont="1" applyBorder="1"/>
    <xf numFmtId="0" fontId="31" fillId="0" borderId="0" xfId="35" applyFont="1" applyBorder="1"/>
    <xf numFmtId="164" fontId="31" fillId="0" borderId="44" xfId="35" applyNumberFormat="1" applyFont="1" applyFill="1" applyBorder="1"/>
    <xf numFmtId="164" fontId="31" fillId="0" borderId="44" xfId="35" applyNumberFormat="1" applyFont="1" applyBorder="1"/>
    <xf numFmtId="164" fontId="31" fillId="0" borderId="45" xfId="35" applyNumberFormat="1" applyFont="1" applyBorder="1"/>
    <xf numFmtId="4" fontId="30" fillId="0" borderId="0" xfId="35" applyNumberFormat="1" applyFont="1"/>
    <xf numFmtId="0" fontId="31" fillId="0" borderId="29" xfId="35" applyFont="1" applyBorder="1"/>
    <xf numFmtId="0" fontId="31" fillId="0" borderId="41" xfId="35" applyFont="1" applyBorder="1"/>
    <xf numFmtId="164" fontId="31" fillId="0" borderId="42" xfId="35" applyNumberFormat="1" applyFont="1" applyBorder="1"/>
    <xf numFmtId="164" fontId="31" fillId="0" borderId="37" xfId="35" applyNumberFormat="1" applyFont="1" applyBorder="1"/>
    <xf numFmtId="0" fontId="31" fillId="0" borderId="46" xfId="35" applyFont="1" applyBorder="1"/>
    <xf numFmtId="0" fontId="31" fillId="0" borderId="47" xfId="35" applyFont="1" applyBorder="1"/>
    <xf numFmtId="164" fontId="31" fillId="0" borderId="48" xfId="35" applyNumberFormat="1" applyFont="1" applyBorder="1"/>
    <xf numFmtId="164" fontId="31" fillId="0" borderId="49" xfId="35" applyNumberFormat="1" applyFont="1" applyBorder="1"/>
    <xf numFmtId="164" fontId="30" fillId="0" borderId="48" xfId="35" applyNumberFormat="1" applyFont="1" applyBorder="1"/>
    <xf numFmtId="164" fontId="30" fillId="0" borderId="49" xfId="35" applyNumberFormat="1" applyFont="1" applyBorder="1"/>
    <xf numFmtId="10" fontId="8" fillId="24" borderId="31" xfId="37" applyNumberFormat="1" applyFont="1" applyFill="1" applyBorder="1"/>
    <xf numFmtId="164" fontId="0" fillId="0" borderId="0" xfId="0" applyNumberFormat="1"/>
    <xf numFmtId="0" fontId="9" fillId="24" borderId="39" xfId="0" applyFont="1" applyFill="1" applyBorder="1" applyAlignment="1">
      <alignment wrapText="1"/>
    </xf>
    <xf numFmtId="0" fontId="9" fillId="24" borderId="40" xfId="0" applyFont="1" applyFill="1" applyBorder="1" applyAlignment="1">
      <alignment wrapText="1"/>
    </xf>
    <xf numFmtId="4" fontId="8" fillId="24" borderId="14" xfId="0" applyNumberFormat="1" applyFont="1" applyFill="1" applyBorder="1" applyAlignment="1">
      <alignment horizontal="center" wrapText="1"/>
    </xf>
    <xf numFmtId="164" fontId="22" fillId="0" borderId="0" xfId="35" applyNumberFormat="1"/>
    <xf numFmtId="4" fontId="22" fillId="0" borderId="0" xfId="35" applyNumberFormat="1"/>
    <xf numFmtId="4" fontId="0" fillId="0" borderId="0" xfId="0" applyNumberFormat="1"/>
    <xf numFmtId="164" fontId="22" fillId="0" borderId="0" xfId="35" applyNumberFormat="1" applyAlignment="1">
      <alignment horizontal="right"/>
    </xf>
    <xf numFmtId="164" fontId="32" fillId="0" borderId="44" xfId="35" applyNumberFormat="1" applyFont="1" applyFill="1" applyBorder="1"/>
    <xf numFmtId="4" fontId="8" fillId="0" borderId="0" xfId="0" applyNumberFormat="1" applyFont="1"/>
    <xf numFmtId="166" fontId="4" fillId="24" borderId="25" xfId="0" applyNumberFormat="1" applyFont="1" applyFill="1" applyBorder="1"/>
    <xf numFmtId="0" fontId="9" fillId="24" borderId="11" xfId="0" applyFont="1" applyFill="1" applyBorder="1" applyAlignment="1">
      <alignment horizontal="center"/>
    </xf>
    <xf numFmtId="4" fontId="33" fillId="0" borderId="0" xfId="0" applyNumberFormat="1" applyFont="1"/>
    <xf numFmtId="4" fontId="4" fillId="24" borderId="18" xfId="0" applyNumberFormat="1" applyFont="1" applyFill="1" applyBorder="1"/>
    <xf numFmtId="10" fontId="4" fillId="24" borderId="31" xfId="37" applyNumberFormat="1" applyFont="1" applyFill="1" applyBorder="1"/>
    <xf numFmtId="4" fontId="4" fillId="24" borderId="27" xfId="0" applyNumberFormat="1" applyFont="1" applyFill="1" applyBorder="1"/>
    <xf numFmtId="10" fontId="4" fillId="24" borderId="28" xfId="37" applyNumberFormat="1" applyFont="1" applyFill="1" applyBorder="1"/>
    <xf numFmtId="4" fontId="4" fillId="24" borderId="19" xfId="0" applyNumberFormat="1" applyFont="1" applyFill="1" applyBorder="1"/>
    <xf numFmtId="10" fontId="4" fillId="24" borderId="35" xfId="37" applyNumberFormat="1" applyFont="1" applyFill="1" applyBorder="1"/>
    <xf numFmtId="0" fontId="4" fillId="24" borderId="0" xfId="0" applyFont="1" applyFill="1"/>
    <xf numFmtId="0" fontId="8" fillId="0" borderId="0" xfId="0" applyFont="1"/>
    <xf numFmtId="0" fontId="7" fillId="24" borderId="0" xfId="0" applyFont="1" applyFill="1" applyBorder="1" applyAlignment="1">
      <alignment horizontal="center"/>
    </xf>
    <xf numFmtId="0" fontId="8" fillId="24" borderId="10" xfId="0" applyFont="1" applyFill="1" applyBorder="1" applyAlignment="1">
      <alignment wrapText="1"/>
    </xf>
    <xf numFmtId="0" fontId="7" fillId="24" borderId="0" xfId="0" applyFont="1" applyFill="1" applyBorder="1" applyAlignment="1">
      <alignment horizontal="center"/>
    </xf>
    <xf numFmtId="0" fontId="8" fillId="24" borderId="10" xfId="0" applyFont="1" applyFill="1" applyBorder="1" applyAlignment="1">
      <alignment wrapText="1"/>
    </xf>
    <xf numFmtId="0" fontId="35" fillId="24" borderId="0" xfId="0" applyFont="1" applyFill="1" applyBorder="1" applyAlignment="1">
      <alignment horizontal="left" vertical="center" wrapText="1"/>
    </xf>
    <xf numFmtId="0" fontId="8" fillId="24" borderId="22" xfId="0" applyFont="1" applyFill="1" applyBorder="1" applyAlignment="1">
      <alignment wrapText="1"/>
    </xf>
    <xf numFmtId="0" fontId="9" fillId="24" borderId="57" xfId="0" applyFont="1" applyFill="1" applyBorder="1" applyAlignment="1">
      <alignment wrapText="1"/>
    </xf>
    <xf numFmtId="0" fontId="8" fillId="24" borderId="17" xfId="0" applyFont="1" applyFill="1" applyBorder="1" applyAlignment="1">
      <alignment wrapText="1"/>
    </xf>
    <xf numFmtId="0" fontId="8" fillId="24" borderId="0" xfId="0" applyFont="1" applyFill="1" applyBorder="1" applyAlignment="1">
      <alignment horizontal="left" wrapText="1"/>
    </xf>
    <xf numFmtId="164" fontId="8" fillId="24" borderId="0" xfId="0" applyNumberFormat="1" applyFont="1" applyFill="1" applyBorder="1" applyAlignment="1">
      <alignment horizontal="right" wrapText="1"/>
    </xf>
    <xf numFmtId="0" fontId="8" fillId="24" borderId="30" xfId="0" applyFont="1" applyFill="1" applyBorder="1" applyAlignment="1">
      <alignment horizontal="left" wrapText="1"/>
    </xf>
    <xf numFmtId="0" fontId="8" fillId="24" borderId="14" xfId="0" applyFont="1" applyFill="1" applyBorder="1" applyAlignment="1">
      <alignment horizontal="left" wrapText="1"/>
    </xf>
    <xf numFmtId="0" fontId="8" fillId="24" borderId="26" xfId="0" applyFont="1" applyFill="1" applyBorder="1" applyAlignment="1">
      <alignment horizontal="left" wrapText="1"/>
    </xf>
    <xf numFmtId="0" fontId="8" fillId="24" borderId="27" xfId="0" applyFont="1" applyFill="1" applyBorder="1" applyAlignment="1">
      <alignment horizontal="left" wrapText="1"/>
    </xf>
    <xf numFmtId="0" fontId="8" fillId="24" borderId="54" xfId="0" applyFont="1" applyFill="1" applyBorder="1" applyAlignment="1">
      <alignment horizontal="left" wrapText="1"/>
    </xf>
    <xf numFmtId="0" fontId="8" fillId="24" borderId="21" xfId="0" applyFont="1" applyFill="1" applyBorder="1" applyAlignment="1">
      <alignment horizontal="left" wrapText="1"/>
    </xf>
    <xf numFmtId="4" fontId="8" fillId="24" borderId="16" xfId="0" applyNumberFormat="1" applyFont="1" applyFill="1" applyBorder="1"/>
    <xf numFmtId="0" fontId="9" fillId="24" borderId="17" xfId="0" applyFont="1" applyFill="1" applyBorder="1" applyAlignment="1">
      <alignment horizontal="left"/>
    </xf>
    <xf numFmtId="0" fontId="9" fillId="24" borderId="20" xfId="0" applyFont="1" applyFill="1" applyBorder="1" applyAlignment="1">
      <alignment horizontal="left"/>
    </xf>
    <xf numFmtId="0" fontId="9" fillId="24" borderId="17" xfId="0" applyFont="1" applyFill="1" applyBorder="1" applyAlignment="1">
      <alignment wrapText="1"/>
    </xf>
    <xf numFmtId="0" fontId="9" fillId="24" borderId="26" xfId="0" applyFont="1" applyFill="1" applyBorder="1" applyAlignment="1">
      <alignment wrapText="1"/>
    </xf>
    <xf numFmtId="0" fontId="9" fillId="24" borderId="17" xfId="0" applyFont="1" applyFill="1" applyBorder="1" applyAlignment="1">
      <alignment horizontal="left" wrapText="1"/>
    </xf>
    <xf numFmtId="0" fontId="9" fillId="24" borderId="26" xfId="0" applyFont="1" applyFill="1" applyBorder="1" applyAlignment="1">
      <alignment horizontal="left" wrapText="1"/>
    </xf>
    <xf numFmtId="0" fontId="9" fillId="24" borderId="20" xfId="0" applyFont="1" applyFill="1" applyBorder="1" applyAlignment="1">
      <alignment horizontal="left" wrapText="1"/>
    </xf>
    <xf numFmtId="0" fontId="9" fillId="24" borderId="0" xfId="0" applyFont="1" applyFill="1" applyBorder="1" applyAlignment="1">
      <alignment horizontal="left"/>
    </xf>
    <xf numFmtId="0" fontId="9" fillId="24" borderId="0" xfId="0" applyNumberFormat="1" applyFont="1" applyFill="1" applyBorder="1" applyAlignment="1">
      <alignment wrapText="1"/>
    </xf>
    <xf numFmtId="166" fontId="4" fillId="24" borderId="0" xfId="0" applyNumberFormat="1" applyFont="1" applyFill="1" applyBorder="1"/>
    <xf numFmtId="0" fontId="9" fillId="24" borderId="32" xfId="0" applyFont="1" applyFill="1" applyBorder="1" applyAlignment="1">
      <alignment horizontal="center"/>
    </xf>
    <xf numFmtId="0" fontId="9" fillId="24" borderId="33" xfId="0" applyNumberFormat="1" applyFont="1" applyFill="1" applyBorder="1" applyAlignment="1">
      <alignment wrapText="1"/>
    </xf>
    <xf numFmtId="4" fontId="4" fillId="24" borderId="33" xfId="0" applyNumberFormat="1" applyFont="1" applyFill="1" applyBorder="1"/>
    <xf numFmtId="10" fontId="4" fillId="24" borderId="34" xfId="37" applyNumberFormat="1" applyFont="1" applyFill="1" applyBorder="1"/>
    <xf numFmtId="0" fontId="8" fillId="24" borderId="60" xfId="0" applyFont="1" applyFill="1" applyBorder="1"/>
    <xf numFmtId="0" fontId="8" fillId="24" borderId="61" xfId="0" applyNumberFormat="1" applyFont="1" applyFill="1" applyBorder="1" applyAlignment="1">
      <alignment wrapText="1"/>
    </xf>
    <xf numFmtId="4" fontId="8" fillId="24" borderId="61" xfId="0" applyNumberFormat="1" applyFont="1" applyFill="1" applyBorder="1"/>
    <xf numFmtId="10" fontId="8" fillId="24" borderId="62" xfId="37" applyNumberFormat="1" applyFont="1" applyFill="1" applyBorder="1"/>
    <xf numFmtId="0" fontId="8" fillId="24" borderId="17" xfId="0" applyFont="1" applyFill="1" applyBorder="1"/>
    <xf numFmtId="0" fontId="8" fillId="24" borderId="18" xfId="0" applyNumberFormat="1" applyFont="1" applyFill="1" applyBorder="1" applyAlignment="1">
      <alignment wrapText="1"/>
    </xf>
    <xf numFmtId="4" fontId="8" fillId="24" borderId="18" xfId="0" applyNumberFormat="1" applyFont="1" applyFill="1" applyBorder="1"/>
    <xf numFmtId="0" fontId="9" fillId="24" borderId="26" xfId="0" applyFont="1" applyFill="1" applyBorder="1" applyAlignment="1">
      <alignment horizontal="left"/>
    </xf>
    <xf numFmtId="0" fontId="8" fillId="24" borderId="39" xfId="0" applyNumberFormat="1" applyFont="1" applyFill="1" applyBorder="1" applyAlignment="1">
      <alignment wrapText="1"/>
    </xf>
    <xf numFmtId="4" fontId="4" fillId="24" borderId="55" xfId="0" applyNumberFormat="1" applyFont="1" applyFill="1" applyBorder="1"/>
    <xf numFmtId="0" fontId="8" fillId="24" borderId="14" xfId="0" applyNumberFormat="1" applyFont="1" applyFill="1" applyBorder="1" applyAlignment="1">
      <alignment wrapText="1"/>
    </xf>
    <xf numFmtId="4" fontId="8" fillId="24" borderId="14" xfId="0" applyNumberFormat="1" applyFont="1" applyFill="1" applyBorder="1" applyAlignment="1">
      <alignment horizontal="right" wrapText="1"/>
    </xf>
    <xf numFmtId="0" fontId="8" fillId="24" borderId="23" xfId="0" applyFont="1" applyFill="1" applyBorder="1" applyAlignment="1">
      <alignment wrapText="1"/>
    </xf>
    <xf numFmtId="0" fontId="9" fillId="24" borderId="32" xfId="0" applyFont="1" applyFill="1" applyBorder="1" applyAlignment="1">
      <alignment horizontal="left"/>
    </xf>
    <xf numFmtId="0" fontId="8" fillId="24" borderId="17" xfId="0" applyFont="1" applyFill="1" applyBorder="1" applyAlignment="1">
      <alignment horizontal="left"/>
    </xf>
    <xf numFmtId="0" fontId="8" fillId="24" borderId="60" xfId="0" applyFont="1" applyFill="1" applyBorder="1" applyAlignment="1">
      <alignment horizontal="left"/>
    </xf>
    <xf numFmtId="0" fontId="8" fillId="24" borderId="32" xfId="0" applyFont="1" applyFill="1" applyBorder="1" applyAlignment="1">
      <alignment horizontal="left"/>
    </xf>
    <xf numFmtId="0" fontId="35" fillId="24" borderId="0" xfId="0" applyFont="1" applyFill="1" applyBorder="1" applyAlignment="1">
      <alignment horizontal="left" vertical="center" wrapText="1"/>
    </xf>
    <xf numFmtId="0" fontId="7" fillId="24" borderId="0" xfId="0" applyFont="1" applyFill="1" applyBorder="1" applyAlignment="1">
      <alignment horizontal="center"/>
    </xf>
    <xf numFmtId="0" fontId="8" fillId="24" borderId="10" xfId="0" applyFont="1" applyFill="1" applyBorder="1" applyAlignment="1">
      <alignment wrapText="1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0" fontId="7" fillId="24" borderId="0" xfId="0" applyFont="1" applyFill="1" applyBorder="1" applyAlignment="1">
      <alignment horizontal="center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0" fontId="7" fillId="24" borderId="0" xfId="0" applyFont="1" applyFill="1" applyBorder="1" applyAlignment="1">
      <alignment horizontal="center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0" fontId="7" fillId="24" borderId="0" xfId="0" applyFont="1" applyFill="1" applyBorder="1" applyAlignment="1">
      <alignment horizontal="center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0" fontId="7" fillId="24" borderId="0" xfId="0" applyFont="1" applyFill="1" applyBorder="1" applyAlignment="1">
      <alignment horizontal="center"/>
    </xf>
    <xf numFmtId="164" fontId="8" fillId="24" borderId="12" xfId="0" applyNumberFormat="1" applyFont="1" applyFill="1" applyBorder="1" applyAlignment="1">
      <alignment horizontal="right" wrapText="1"/>
    </xf>
    <xf numFmtId="165" fontId="4" fillId="24" borderId="50" xfId="0" applyNumberFormat="1" applyFont="1" applyFill="1" applyBorder="1"/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167" fontId="0" fillId="0" borderId="0" xfId="0" applyNumberFormat="1"/>
    <xf numFmtId="4" fontId="4" fillId="0" borderId="0" xfId="0" applyNumberFormat="1" applyFont="1"/>
    <xf numFmtId="0" fontId="0" fillId="0" borderId="0" xfId="0" applyAlignment="1">
      <alignment vertical="top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0" fontId="30" fillId="0" borderId="0" xfId="35" applyNumberFormat="1" applyFont="1"/>
    <xf numFmtId="4" fontId="4" fillId="0" borderId="0" xfId="35" applyNumberFormat="1" applyFont="1"/>
    <xf numFmtId="165" fontId="0" fillId="0" borderId="0" xfId="0" applyNumberFormat="1"/>
    <xf numFmtId="0" fontId="0" fillId="0" borderId="0" xfId="0" applyFill="1"/>
    <xf numFmtId="0" fontId="8" fillId="0" borderId="0" xfId="0" applyFont="1" applyFill="1"/>
    <xf numFmtId="4" fontId="0" fillId="0" borderId="0" xfId="0" applyNumberFormat="1" applyFill="1"/>
    <xf numFmtId="4" fontId="8" fillId="0" borderId="0" xfId="0" applyNumberFormat="1" applyFont="1" applyFill="1"/>
    <xf numFmtId="4" fontId="33" fillId="0" borderId="0" xfId="0" applyNumberFormat="1" applyFont="1" applyFill="1"/>
    <xf numFmtId="164" fontId="0" fillId="0" borderId="0" xfId="0" applyNumberFormat="1" applyFill="1"/>
    <xf numFmtId="4" fontId="8" fillId="0" borderId="16" xfId="0" applyNumberFormat="1" applyFont="1" applyFill="1" applyBorder="1"/>
    <xf numFmtId="4" fontId="8" fillId="0" borderId="24" xfId="0" applyNumberFormat="1" applyFont="1" applyFill="1" applyBorder="1"/>
    <xf numFmtId="164" fontId="33" fillId="0" borderId="0" xfId="0" applyNumberFormat="1" applyFont="1"/>
    <xf numFmtId="2" fontId="33" fillId="0" borderId="0" xfId="0" applyNumberFormat="1" applyFont="1"/>
    <xf numFmtId="164" fontId="8" fillId="0" borderId="0" xfId="0" applyNumberFormat="1" applyFont="1" applyFill="1" applyBorder="1" applyAlignment="1">
      <alignment horizontal="right" wrapText="1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164" fontId="30" fillId="0" borderId="0" xfId="35" applyNumberFormat="1" applyFont="1" applyAlignment="1">
      <alignment horizontal="left"/>
    </xf>
    <xf numFmtId="164" fontId="22" fillId="0" borderId="0" xfId="35" applyNumberFormat="1" applyAlignment="1">
      <alignment horizontal="left"/>
    </xf>
    <xf numFmtId="169" fontId="0" fillId="0" borderId="0" xfId="0" applyNumberFormat="1"/>
    <xf numFmtId="0" fontId="8" fillId="24" borderId="10" xfId="0" applyFont="1" applyFill="1" applyBorder="1" applyAlignment="1">
      <alignment wrapText="1"/>
    </xf>
    <xf numFmtId="0" fontId="8" fillId="24" borderId="10" xfId="0" applyFont="1" applyFill="1" applyBorder="1" applyAlignment="1">
      <alignment wrapText="1"/>
    </xf>
    <xf numFmtId="0" fontId="4" fillId="0" borderId="0" xfId="0" applyFont="1"/>
    <xf numFmtId="0" fontId="4" fillId="24" borderId="17" xfId="0" applyFont="1" applyFill="1" applyBorder="1" applyAlignment="1">
      <alignment horizontal="left" wrapText="1"/>
    </xf>
    <xf numFmtId="0" fontId="4" fillId="24" borderId="18" xfId="0" applyFont="1" applyFill="1" applyBorder="1" applyAlignment="1">
      <alignment wrapText="1"/>
    </xf>
    <xf numFmtId="0" fontId="4" fillId="24" borderId="39" xfId="0" applyFont="1" applyFill="1" applyBorder="1" applyAlignment="1">
      <alignment wrapText="1"/>
    </xf>
    <xf numFmtId="0" fontId="4" fillId="24" borderId="26" xfId="0" applyFont="1" applyFill="1" applyBorder="1" applyAlignment="1">
      <alignment horizontal="left" wrapText="1"/>
    </xf>
    <xf numFmtId="0" fontId="4" fillId="24" borderId="57" xfId="0" applyFont="1" applyFill="1" applyBorder="1" applyAlignment="1">
      <alignment wrapText="1"/>
    </xf>
    <xf numFmtId="0" fontId="4" fillId="24" borderId="20" xfId="0" applyFont="1" applyFill="1" applyBorder="1" applyAlignment="1">
      <alignment horizontal="left" wrapText="1"/>
    </xf>
    <xf numFmtId="0" fontId="4" fillId="24" borderId="40" xfId="0" applyFont="1" applyFill="1" applyBorder="1" applyAlignment="1">
      <alignment wrapText="1"/>
    </xf>
    <xf numFmtId="0" fontId="4" fillId="24" borderId="13" xfId="0" applyFont="1" applyFill="1" applyBorder="1" applyAlignment="1">
      <alignment horizontal="center"/>
    </xf>
    <xf numFmtId="0" fontId="4" fillId="24" borderId="17" xfId="0" applyFont="1" applyFill="1" applyBorder="1" applyAlignment="1">
      <alignment wrapText="1"/>
    </xf>
    <xf numFmtId="0" fontId="4" fillId="24" borderId="26" xfId="0" applyFont="1" applyFill="1" applyBorder="1" applyAlignment="1">
      <alignment wrapText="1"/>
    </xf>
    <xf numFmtId="0" fontId="4" fillId="24" borderId="27" xfId="0" applyFont="1" applyFill="1" applyBorder="1" applyAlignment="1">
      <alignment wrapText="1"/>
    </xf>
    <xf numFmtId="0" fontId="4" fillId="24" borderId="17" xfId="0" applyFont="1" applyFill="1" applyBorder="1" applyAlignment="1">
      <alignment horizontal="left"/>
    </xf>
    <xf numFmtId="0" fontId="4" fillId="24" borderId="18" xfId="0" applyNumberFormat="1" applyFont="1" applyFill="1" applyBorder="1" applyAlignment="1">
      <alignment wrapText="1"/>
    </xf>
    <xf numFmtId="0" fontId="4" fillId="24" borderId="26" xfId="0" applyFont="1" applyFill="1" applyBorder="1" applyAlignment="1">
      <alignment horizontal="left"/>
    </xf>
    <xf numFmtId="0" fontId="4" fillId="24" borderId="27" xfId="0" applyNumberFormat="1" applyFont="1" applyFill="1" applyBorder="1" applyAlignment="1">
      <alignment wrapText="1"/>
    </xf>
    <xf numFmtId="0" fontId="4" fillId="24" borderId="20" xfId="0" applyFont="1" applyFill="1" applyBorder="1" applyAlignment="1">
      <alignment horizontal="left"/>
    </xf>
    <xf numFmtId="0" fontId="4" fillId="24" borderId="19" xfId="0" applyNumberFormat="1" applyFont="1" applyFill="1" applyBorder="1" applyAlignment="1">
      <alignment wrapText="1"/>
    </xf>
    <xf numFmtId="0" fontId="4" fillId="24" borderId="0" xfId="0" applyFont="1" applyFill="1" applyBorder="1" applyAlignment="1">
      <alignment horizontal="left"/>
    </xf>
    <xf numFmtId="0" fontId="4" fillId="24" borderId="0" xfId="0" applyNumberFormat="1" applyFont="1" applyFill="1" applyBorder="1" applyAlignment="1">
      <alignment wrapText="1"/>
    </xf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8" fillId="24" borderId="38" xfId="0" applyFont="1" applyFill="1" applyBorder="1" applyAlignment="1">
      <alignment wrapText="1"/>
    </xf>
    <xf numFmtId="0" fontId="9" fillId="24" borderId="87" xfId="0" applyFont="1" applyFill="1" applyBorder="1" applyAlignment="1">
      <alignment wrapText="1"/>
    </xf>
    <xf numFmtId="0" fontId="9" fillId="24" borderId="88" xfId="0" applyFont="1" applyFill="1" applyBorder="1" applyAlignment="1">
      <alignment wrapText="1"/>
    </xf>
    <xf numFmtId="0" fontId="8" fillId="24" borderId="87" xfId="0" applyFont="1" applyFill="1" applyBorder="1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164" fontId="8" fillId="0" borderId="0" xfId="35" applyNumberFormat="1" applyFont="1"/>
    <xf numFmtId="4" fontId="8" fillId="0" borderId="0" xfId="35" applyNumberFormat="1" applyFont="1"/>
    <xf numFmtId="0" fontId="8" fillId="24" borderId="10" xfId="0" applyFont="1" applyFill="1" applyBorder="1" applyAlignment="1">
      <alignment wrapText="1"/>
    </xf>
    <xf numFmtId="0" fontId="4" fillId="0" borderId="0" xfId="0" applyFont="1" applyFill="1"/>
    <xf numFmtId="4" fontId="4" fillId="0" borderId="0" xfId="0" applyNumberFormat="1" applyFont="1" applyFill="1"/>
    <xf numFmtId="173" fontId="4" fillId="0" borderId="0" xfId="0" applyNumberFormat="1" applyFont="1"/>
    <xf numFmtId="167" fontId="4" fillId="0" borderId="0" xfId="0" applyNumberFormat="1" applyFont="1"/>
    <xf numFmtId="0" fontId="8" fillId="24" borderId="10" xfId="0" applyFont="1" applyFill="1" applyBorder="1" applyAlignment="1">
      <alignment wrapText="1"/>
    </xf>
    <xf numFmtId="0" fontId="35" fillId="24" borderId="0" xfId="0" applyFont="1" applyFill="1" applyBorder="1" applyAlignment="1">
      <alignment horizontal="left" vertical="center" wrapText="1"/>
    </xf>
    <xf numFmtId="174" fontId="0" fillId="0" borderId="0" xfId="0" applyNumberFormat="1"/>
    <xf numFmtId="0" fontId="8" fillId="24" borderId="10" xfId="0" applyFont="1" applyFill="1" applyBorder="1" applyAlignment="1">
      <alignment wrapText="1"/>
    </xf>
    <xf numFmtId="164" fontId="30" fillId="0" borderId="0" xfId="35" applyNumberFormat="1" applyFont="1" applyAlignment="1">
      <alignment horizontal="center"/>
    </xf>
    <xf numFmtId="0" fontId="4" fillId="24" borderId="11" xfId="0" applyFont="1" applyFill="1" applyBorder="1" applyAlignment="1">
      <alignment horizontal="center"/>
    </xf>
    <xf numFmtId="0" fontId="8" fillId="0" borderId="0" xfId="35" applyFont="1"/>
    <xf numFmtId="0" fontId="8" fillId="24" borderId="39" xfId="0" applyFont="1" applyFill="1" applyBorder="1" applyAlignment="1">
      <alignment wrapText="1"/>
    </xf>
    <xf numFmtId="4" fontId="4" fillId="0" borderId="0" xfId="0" quotePrefix="1" applyNumberFormat="1" applyFont="1"/>
    <xf numFmtId="170" fontId="4" fillId="0" borderId="0" xfId="0" quotePrefix="1" applyNumberFormat="1" applyFont="1"/>
    <xf numFmtId="164" fontId="3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4" fontId="0" fillId="0" borderId="0" xfId="0" applyNumberFormat="1" applyAlignment="1">
      <alignment horizontal="right"/>
    </xf>
    <xf numFmtId="4" fontId="8" fillId="0" borderId="0" xfId="0" applyNumberFormat="1" applyFont="1" applyAlignment="1">
      <alignment horizontal="right"/>
    </xf>
    <xf numFmtId="4" fontId="30" fillId="0" borderId="0" xfId="35" applyNumberFormat="1" applyFont="1" applyAlignment="1">
      <alignment horizontal="center"/>
    </xf>
    <xf numFmtId="164" fontId="8" fillId="24" borderId="37" xfId="0" applyNumberFormat="1" applyFont="1" applyFill="1" applyBorder="1" applyAlignment="1">
      <alignment horizontal="right" wrapText="1"/>
    </xf>
    <xf numFmtId="0" fontId="4" fillId="24" borderId="33" xfId="0" applyNumberFormat="1" applyFont="1" applyFill="1" applyBorder="1" applyAlignment="1">
      <alignment wrapText="1"/>
    </xf>
    <xf numFmtId="0" fontId="4" fillId="24" borderId="32" xfId="0" applyFont="1" applyFill="1" applyBorder="1" applyAlignment="1">
      <alignment horizontal="left"/>
    </xf>
    <xf numFmtId="0" fontId="56" fillId="0" borderId="0" xfId="0" applyFont="1"/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164" fontId="8" fillId="24" borderId="24" xfId="0" applyNumberFormat="1" applyFont="1" applyFill="1" applyBorder="1" applyAlignment="1">
      <alignment horizontal="right" wrapText="1"/>
    </xf>
    <xf numFmtId="164" fontId="4" fillId="24" borderId="36" xfId="0" applyNumberFormat="1" applyFont="1" applyFill="1" applyBorder="1" applyAlignment="1">
      <alignment horizontal="right" wrapText="1"/>
    </xf>
    <xf numFmtId="4" fontId="4" fillId="24" borderId="80" xfId="0" applyNumberFormat="1" applyFont="1" applyFill="1" applyBorder="1"/>
    <xf numFmtId="0" fontId="4" fillId="24" borderId="87" xfId="0" applyFont="1" applyFill="1" applyBorder="1" applyAlignment="1">
      <alignment wrapText="1"/>
    </xf>
    <xf numFmtId="0" fontId="4" fillId="24" borderId="88" xfId="0" applyFont="1" applyFill="1" applyBorder="1" applyAlignment="1">
      <alignment wrapText="1"/>
    </xf>
    <xf numFmtId="164" fontId="4" fillId="0" borderId="86" xfId="0" applyNumberFormat="1" applyFont="1" applyFill="1" applyBorder="1" applyAlignment="1">
      <alignment horizontal="right" wrapText="1"/>
    </xf>
    <xf numFmtId="164" fontId="4" fillId="24" borderId="86" xfId="0" applyNumberFormat="1" applyFont="1" applyFill="1" applyBorder="1" applyAlignment="1">
      <alignment horizontal="right" wrapText="1"/>
    </xf>
    <xf numFmtId="164" fontId="4" fillId="24" borderId="93" xfId="0" applyNumberFormat="1" applyFont="1" applyFill="1" applyBorder="1" applyAlignment="1">
      <alignment horizontal="right" wrapText="1"/>
    </xf>
    <xf numFmtId="164" fontId="8" fillId="24" borderId="86" xfId="0" applyNumberFormat="1" applyFont="1" applyFill="1" applyBorder="1" applyAlignment="1">
      <alignment horizontal="right" wrapText="1"/>
    </xf>
    <xf numFmtId="170" fontId="4" fillId="0" borderId="0" xfId="0" applyNumberFormat="1" applyFont="1"/>
    <xf numFmtId="4" fontId="56" fillId="0" borderId="0" xfId="0" applyNumberFormat="1" applyFont="1"/>
    <xf numFmtId="4" fontId="55" fillId="0" borderId="0" xfId="0" applyNumberFormat="1" applyFont="1"/>
    <xf numFmtId="0" fontId="4" fillId="0" borderId="18" xfId="0" applyFont="1" applyFill="1" applyBorder="1" applyAlignment="1">
      <alignment wrapText="1"/>
    </xf>
    <xf numFmtId="15" fontId="8" fillId="24" borderId="97" xfId="0" quotePrefix="1" applyNumberFormat="1" applyFont="1" applyFill="1" applyBorder="1" applyAlignment="1">
      <alignment horizontal="center" wrapText="1"/>
    </xf>
    <xf numFmtId="164" fontId="0" fillId="0" borderId="0" xfId="0" quotePrefix="1" applyNumberFormat="1"/>
    <xf numFmtId="164" fontId="4" fillId="0" borderId="0" xfId="0" applyNumberFormat="1" applyFont="1"/>
    <xf numFmtId="4" fontId="22" fillId="0" borderId="0" xfId="35" applyNumberFormat="1" applyFont="1"/>
    <xf numFmtId="0" fontId="22" fillId="0" borderId="0" xfId="35" applyFont="1"/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0" fontId="0" fillId="0" borderId="0" xfId="0" applyNumberFormat="1"/>
    <xf numFmtId="14" fontId="31" fillId="0" borderId="44" xfId="35" applyNumberFormat="1" applyFont="1" applyBorder="1" applyAlignment="1">
      <alignment horizontal="center"/>
    </xf>
    <xf numFmtId="14" fontId="31" fillId="0" borderId="45" xfId="35" applyNumberFormat="1" applyFont="1" applyBorder="1" applyAlignment="1">
      <alignment horizontal="center"/>
    </xf>
    <xf numFmtId="15" fontId="8" fillId="24" borderId="12" xfId="0" quotePrefix="1" applyNumberFormat="1" applyFont="1" applyFill="1" applyBorder="1" applyAlignment="1">
      <alignment horizontal="center" wrapText="1"/>
    </xf>
    <xf numFmtId="15" fontId="8" fillId="24" borderId="21" xfId="0" quotePrefix="1" applyNumberFormat="1" applyFont="1" applyFill="1" applyBorder="1" applyAlignment="1">
      <alignment horizontal="center" wrapText="1"/>
    </xf>
    <xf numFmtId="0" fontId="61" fillId="0" borderId="0" xfId="0" applyFont="1"/>
    <xf numFmtId="0" fontId="8" fillId="0" borderId="17" xfId="0" applyFont="1" applyFill="1" applyBorder="1" applyAlignment="1">
      <alignment horizontal="left" wrapText="1"/>
    </xf>
    <xf numFmtId="0" fontId="8" fillId="0" borderId="18" xfId="0" applyFont="1" applyFill="1" applyBorder="1" applyAlignment="1">
      <alignment horizontal="left" wrapText="1"/>
    </xf>
    <xf numFmtId="0" fontId="8" fillId="0" borderId="17" xfId="0" applyFont="1" applyFill="1" applyBorder="1" applyAlignment="1">
      <alignment wrapText="1"/>
    </xf>
    <xf numFmtId="0" fontId="8" fillId="0" borderId="18" xfId="0" applyFont="1" applyFill="1" applyBorder="1" applyAlignment="1">
      <alignment wrapText="1"/>
    </xf>
    <xf numFmtId="164" fontId="8" fillId="0" borderId="55" xfId="0" applyNumberFormat="1" applyFont="1" applyFill="1" applyBorder="1" applyAlignment="1">
      <alignment horizontal="right" wrapText="1"/>
    </xf>
    <xf numFmtId="164" fontId="8" fillId="0" borderId="25" xfId="0" applyNumberFormat="1" applyFont="1" applyFill="1" applyBorder="1" applyAlignment="1">
      <alignment horizontal="right" wrapText="1"/>
    </xf>
    <xf numFmtId="164" fontId="4" fillId="0" borderId="25" xfId="0" applyNumberFormat="1" applyFont="1" applyFill="1" applyBorder="1" applyAlignment="1">
      <alignment horizontal="right" wrapText="1"/>
    </xf>
    <xf numFmtId="164" fontId="4" fillId="0" borderId="50" xfId="0" applyNumberFormat="1" applyFont="1" applyFill="1" applyBorder="1" applyAlignment="1">
      <alignment horizontal="right" wrapText="1"/>
    </xf>
    <xf numFmtId="164" fontId="8" fillId="24" borderId="50" xfId="0" applyNumberFormat="1" applyFont="1" applyFill="1" applyBorder="1" applyAlignment="1">
      <alignment horizontal="right" wrapText="1"/>
    </xf>
    <xf numFmtId="166" fontId="4" fillId="24" borderId="36" xfId="0" applyNumberFormat="1" applyFont="1" applyFill="1" applyBorder="1"/>
    <xf numFmtId="166" fontId="4" fillId="0" borderId="25" xfId="0" applyNumberFormat="1" applyFont="1" applyFill="1" applyBorder="1"/>
    <xf numFmtId="164" fontId="4" fillId="24" borderId="0" xfId="0" applyNumberFormat="1" applyFont="1" applyFill="1" applyBorder="1" applyAlignment="1">
      <alignment wrapText="1"/>
    </xf>
    <xf numFmtId="164" fontId="63" fillId="24" borderId="0" xfId="0" applyNumberFormat="1" applyFont="1" applyFill="1" applyBorder="1" applyAlignment="1">
      <alignment wrapText="1"/>
    </xf>
    <xf numFmtId="0" fontId="8" fillId="24" borderId="10" xfId="0" applyFont="1" applyFill="1" applyBorder="1" applyAlignment="1">
      <alignment wrapText="1"/>
    </xf>
    <xf numFmtId="4" fontId="55" fillId="0" borderId="0" xfId="0" applyNumberFormat="1" applyFont="1" applyFill="1" applyAlignment="1">
      <alignment horizontal="right"/>
    </xf>
    <xf numFmtId="4" fontId="56" fillId="0" borderId="0" xfId="0" applyNumberFormat="1" applyFont="1" applyFill="1" applyAlignment="1">
      <alignment horizontal="right"/>
    </xf>
    <xf numFmtId="0" fontId="56" fillId="0" borderId="0" xfId="0" applyNumberFormat="1" applyFont="1" applyFill="1" applyAlignment="1">
      <alignment horizontal="right"/>
    </xf>
    <xf numFmtId="164" fontId="56" fillId="0" borderId="0" xfId="0" applyNumberFormat="1" applyFont="1" applyFill="1" applyAlignment="1">
      <alignment horizontal="right"/>
    </xf>
    <xf numFmtId="164" fontId="56" fillId="0" borderId="0" xfId="0" applyNumberFormat="1" applyFont="1"/>
    <xf numFmtId="0" fontId="33" fillId="0" borderId="0" xfId="0" applyFont="1"/>
    <xf numFmtId="4" fontId="8" fillId="24" borderId="14" xfId="0" quotePrefix="1" applyNumberFormat="1" applyFont="1" applyFill="1" applyBorder="1" applyAlignment="1">
      <alignment horizontal="center" wrapText="1"/>
    </xf>
    <xf numFmtId="4" fontId="0" fillId="0" borderId="0" xfId="127" applyNumberFormat="1" applyFont="1"/>
    <xf numFmtId="4" fontId="56" fillId="0" borderId="0" xfId="0" applyNumberFormat="1" applyFont="1" applyFill="1"/>
    <xf numFmtId="0" fontId="56" fillId="0" borderId="0" xfId="0" applyFont="1" applyFill="1"/>
    <xf numFmtId="4" fontId="4" fillId="0" borderId="0" xfId="0" applyNumberFormat="1" applyFont="1" applyAlignment="1">
      <alignment horizontal="right"/>
    </xf>
    <xf numFmtId="165" fontId="4" fillId="24" borderId="36" xfId="0" applyNumberFormat="1" applyFont="1" applyFill="1" applyBorder="1" applyAlignment="1">
      <alignment horizontal="right"/>
    </xf>
    <xf numFmtId="0" fontId="8" fillId="24" borderId="10" xfId="0" applyFont="1" applyFill="1" applyBorder="1" applyAlignment="1">
      <alignment wrapText="1"/>
    </xf>
    <xf numFmtId="4" fontId="4" fillId="0" borderId="55" xfId="0" applyNumberFormat="1" applyFont="1" applyFill="1" applyBorder="1"/>
    <xf numFmtId="164" fontId="8" fillId="24" borderId="23" xfId="0" applyNumberFormat="1" applyFont="1" applyFill="1" applyBorder="1" applyAlignment="1">
      <alignment horizontal="right" wrapText="1"/>
    </xf>
    <xf numFmtId="164" fontId="4" fillId="0" borderId="80" xfId="0" applyNumberFormat="1" applyFont="1" applyFill="1" applyBorder="1" applyAlignment="1">
      <alignment horizontal="right" wrapText="1"/>
    </xf>
    <xf numFmtId="164" fontId="4" fillId="24" borderId="80" xfId="0" applyNumberFormat="1" applyFont="1" applyFill="1" applyBorder="1" applyAlignment="1">
      <alignment horizontal="right" wrapText="1"/>
    </xf>
    <xf numFmtId="164" fontId="4" fillId="24" borderId="81" xfId="0" applyNumberFormat="1" applyFont="1" applyFill="1" applyBorder="1" applyAlignment="1">
      <alignment horizontal="right" wrapText="1"/>
    </xf>
    <xf numFmtId="164" fontId="8" fillId="24" borderId="80" xfId="0" applyNumberFormat="1" applyFont="1" applyFill="1" applyBorder="1" applyAlignment="1">
      <alignment horizontal="right" wrapText="1"/>
    </xf>
    <xf numFmtId="164" fontId="4" fillId="24" borderId="19" xfId="0" applyNumberFormat="1" applyFont="1" applyFill="1" applyBorder="1" applyAlignment="1">
      <alignment horizontal="right" wrapText="1"/>
    </xf>
    <xf numFmtId="164" fontId="8" fillId="24" borderId="21" xfId="0" applyNumberFormat="1" applyFont="1" applyFill="1" applyBorder="1" applyAlignment="1">
      <alignment horizontal="right" wrapText="1"/>
    </xf>
    <xf numFmtId="4" fontId="4" fillId="24" borderId="86" xfId="0" applyNumberFormat="1" applyFont="1" applyFill="1" applyBorder="1"/>
    <xf numFmtId="166" fontId="4" fillId="24" borderId="93" xfId="0" applyNumberFormat="1" applyFont="1" applyFill="1" applyBorder="1"/>
    <xf numFmtId="165" fontId="4" fillId="24" borderId="94" xfId="0" applyNumberFormat="1" applyFont="1" applyFill="1" applyBorder="1"/>
    <xf numFmtId="165" fontId="4" fillId="24" borderId="25" xfId="0" applyNumberFormat="1" applyFont="1" applyFill="1" applyBorder="1"/>
    <xf numFmtId="166" fontId="4" fillId="24" borderId="50" xfId="0" applyNumberFormat="1" applyFont="1" applyFill="1" applyBorder="1"/>
    <xf numFmtId="166" fontId="4" fillId="24" borderId="31" xfId="0" applyNumberFormat="1" applyFont="1" applyFill="1" applyBorder="1"/>
    <xf numFmtId="165" fontId="4" fillId="24" borderId="31" xfId="0" applyNumberFormat="1" applyFont="1" applyFill="1" applyBorder="1"/>
    <xf numFmtId="0" fontId="4" fillId="24" borderId="26" xfId="0" applyFont="1" applyFill="1" applyBorder="1" applyAlignment="1">
      <alignment horizontal="center"/>
    </xf>
    <xf numFmtId="0" fontId="4" fillId="24" borderId="17" xfId="0" applyFont="1" applyFill="1" applyBorder="1" applyAlignment="1">
      <alignment horizontal="center"/>
    </xf>
    <xf numFmtId="0" fontId="4" fillId="24" borderId="32" xfId="0" applyFont="1" applyFill="1" applyBorder="1" applyAlignment="1">
      <alignment horizontal="center"/>
    </xf>
    <xf numFmtId="0" fontId="4" fillId="24" borderId="20" xfId="0" applyFont="1" applyFill="1" applyBorder="1" applyAlignment="1">
      <alignment horizontal="center"/>
    </xf>
    <xf numFmtId="166" fontId="4" fillId="24" borderId="96" xfId="0" applyNumberFormat="1" applyFont="1" applyFill="1" applyBorder="1"/>
    <xf numFmtId="165" fontId="4" fillId="0" borderId="31" xfId="122" applyNumberFormat="1" applyFont="1" applyFill="1" applyBorder="1" applyAlignment="1">
      <alignment horizontal="right" vertical="top"/>
    </xf>
    <xf numFmtId="165" fontId="4" fillId="0" borderId="35" xfId="122" applyNumberFormat="1" applyFont="1" applyFill="1" applyBorder="1" applyAlignment="1">
      <alignment horizontal="right" vertical="top"/>
    </xf>
    <xf numFmtId="165" fontId="4" fillId="0" borderId="31" xfId="122" applyNumberFormat="1" applyFont="1" applyBorder="1" applyAlignment="1">
      <alignment horizontal="right" vertical="top"/>
    </xf>
    <xf numFmtId="165" fontId="4" fillId="0" borderId="35" xfId="122" applyNumberFormat="1" applyFont="1" applyBorder="1" applyAlignment="1">
      <alignment horizontal="right" vertical="top"/>
    </xf>
    <xf numFmtId="165" fontId="4" fillId="0" borderId="85" xfId="122" applyNumberFormat="1" applyFont="1" applyBorder="1" applyAlignment="1">
      <alignment horizontal="right" vertical="top"/>
    </xf>
    <xf numFmtId="165" fontId="4" fillId="24" borderId="85" xfId="0" applyNumberFormat="1" applyFont="1" applyFill="1" applyBorder="1"/>
    <xf numFmtId="166" fontId="4" fillId="24" borderId="86" xfId="0" applyNumberFormat="1" applyFont="1" applyFill="1" applyBorder="1"/>
    <xf numFmtId="165" fontId="4" fillId="0" borderId="49" xfId="122" applyNumberFormat="1" applyFont="1" applyBorder="1" applyAlignment="1">
      <alignment horizontal="right" vertical="top"/>
    </xf>
    <xf numFmtId="165" fontId="4" fillId="0" borderId="94" xfId="122" applyNumberFormat="1" applyFont="1" applyBorder="1" applyAlignment="1">
      <alignment horizontal="right" vertical="top"/>
    </xf>
    <xf numFmtId="165" fontId="4" fillId="0" borderId="95" xfId="122" applyNumberFormat="1" applyFont="1" applyBorder="1" applyAlignment="1">
      <alignment horizontal="right" vertical="top"/>
    </xf>
    <xf numFmtId="165" fontId="4" fillId="24" borderId="45" xfId="0" applyNumberFormat="1" applyFont="1" applyFill="1" applyBorder="1"/>
    <xf numFmtId="165" fontId="4" fillId="0" borderId="36" xfId="122" applyNumberFormat="1" applyFont="1" applyBorder="1" applyAlignment="1">
      <alignment horizontal="right" vertical="top"/>
    </xf>
    <xf numFmtId="165" fontId="4" fillId="0" borderId="85" xfId="122" applyNumberFormat="1" applyFont="1" applyFill="1" applyBorder="1" applyAlignment="1">
      <alignment horizontal="right" vertical="top"/>
    </xf>
    <xf numFmtId="165" fontId="4" fillId="0" borderId="85" xfId="0" applyNumberFormat="1" applyFont="1" applyFill="1" applyBorder="1"/>
    <xf numFmtId="166" fontId="4" fillId="0" borderId="86" xfId="0" applyNumberFormat="1" applyFont="1" applyFill="1" applyBorder="1"/>
    <xf numFmtId="165" fontId="4" fillId="0" borderId="45" xfId="122" applyNumberFormat="1" applyFont="1" applyBorder="1" applyAlignment="1">
      <alignment horizontal="right" vertical="top"/>
    </xf>
    <xf numFmtId="168" fontId="4" fillId="0" borderId="25" xfId="0" applyNumberFormat="1" applyFont="1" applyFill="1" applyBorder="1" applyAlignment="1">
      <alignment horizontal="right" wrapText="1"/>
    </xf>
    <xf numFmtId="165" fontId="4" fillId="24" borderId="50" xfId="0" applyNumberFormat="1" applyFont="1" applyFill="1" applyBorder="1" applyAlignment="1">
      <alignment horizontal="right"/>
    </xf>
    <xf numFmtId="0" fontId="35" fillId="24" borderId="0" xfId="0" applyFont="1" applyFill="1" applyBorder="1" applyAlignment="1">
      <alignment horizontal="left" vertical="center" wrapText="1"/>
    </xf>
    <xf numFmtId="0" fontId="8" fillId="24" borderId="10" xfId="0" applyFont="1" applyFill="1" applyBorder="1" applyAlignment="1">
      <alignment wrapText="1"/>
    </xf>
    <xf numFmtId="164" fontId="8" fillId="0" borderId="53" xfId="0" applyNumberFormat="1" applyFont="1" applyFill="1" applyBorder="1" applyAlignment="1">
      <alignment horizontal="right" wrapText="1"/>
    </xf>
    <xf numFmtId="164" fontId="8" fillId="0" borderId="37" xfId="0" applyNumberFormat="1" applyFont="1" applyFill="1" applyBorder="1" applyAlignment="1">
      <alignment horizontal="right" wrapText="1"/>
    </xf>
    <xf numFmtId="164" fontId="8" fillId="0" borderId="51" xfId="0" applyNumberFormat="1" applyFont="1" applyFill="1" applyBorder="1" applyAlignment="1">
      <alignment horizontal="right" wrapText="1"/>
    </xf>
    <xf numFmtId="0" fontId="4" fillId="0" borderId="17" xfId="0" applyFont="1" applyFill="1" applyBorder="1" applyAlignment="1">
      <alignment wrapText="1"/>
    </xf>
    <xf numFmtId="164" fontId="4" fillId="0" borderId="51" xfId="0" applyNumberFormat="1" applyFont="1" applyFill="1" applyBorder="1" applyAlignment="1">
      <alignment horizontal="right" wrapText="1"/>
    </xf>
    <xf numFmtId="0" fontId="4" fillId="0" borderId="26" xfId="0" applyFont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164" fontId="4" fillId="0" borderId="59" xfId="0" applyNumberFormat="1" applyFont="1" applyFill="1" applyBorder="1" applyAlignment="1">
      <alignment horizontal="right" wrapText="1"/>
    </xf>
    <xf numFmtId="164" fontId="8" fillId="0" borderId="59" xfId="0" applyNumberFormat="1" applyFont="1" applyFill="1" applyBorder="1" applyAlignment="1">
      <alignment horizontal="right" wrapText="1"/>
    </xf>
    <xf numFmtId="164" fontId="8" fillId="0" borderId="50" xfId="0" applyNumberFormat="1" applyFont="1" applyFill="1" applyBorder="1" applyAlignment="1">
      <alignment horizontal="right" wrapText="1"/>
    </xf>
    <xf numFmtId="164" fontId="8" fillId="0" borderId="13" xfId="0" applyNumberFormat="1" applyFont="1" applyFill="1" applyBorder="1" applyAlignment="1">
      <alignment horizontal="right" wrapText="1"/>
    </xf>
    <xf numFmtId="164" fontId="8" fillId="0" borderId="12" xfId="0" applyNumberFormat="1" applyFont="1" applyFill="1" applyBorder="1" applyAlignment="1">
      <alignment horizontal="right" wrapText="1"/>
    </xf>
    <xf numFmtId="165" fontId="4" fillId="0" borderId="51" xfId="0" applyNumberFormat="1" applyFont="1" applyFill="1" applyBorder="1"/>
    <xf numFmtId="165" fontId="4" fillId="0" borderId="25" xfId="0" applyNumberFormat="1" applyFont="1" applyFill="1" applyBorder="1"/>
    <xf numFmtId="165" fontId="4" fillId="0" borderId="50" xfId="0" applyNumberFormat="1" applyFont="1" applyFill="1" applyBorder="1"/>
    <xf numFmtId="4" fontId="4" fillId="0" borderId="58" xfId="0" applyNumberFormat="1" applyFont="1" applyFill="1" applyBorder="1"/>
    <xf numFmtId="166" fontId="4" fillId="0" borderId="50" xfId="0" applyNumberFormat="1" applyFont="1" applyFill="1" applyBorder="1"/>
    <xf numFmtId="166" fontId="4" fillId="0" borderId="31" xfId="0" applyNumberFormat="1" applyFont="1" applyFill="1" applyBorder="1"/>
    <xf numFmtId="166" fontId="4" fillId="0" borderId="52" xfId="0" applyNumberFormat="1" applyFont="1" applyFill="1" applyBorder="1"/>
    <xf numFmtId="166" fontId="4" fillId="0" borderId="35" xfId="0" applyNumberFormat="1" applyFont="1" applyFill="1" applyBorder="1"/>
    <xf numFmtId="4" fontId="4" fillId="0" borderId="80" xfId="139" applyNumberFormat="1" applyFont="1" applyFill="1" applyBorder="1" applyAlignment="1">
      <alignment horizontal="right" vertical="top"/>
    </xf>
    <xf numFmtId="164" fontId="8" fillId="24" borderId="53" xfId="0" applyNumberFormat="1" applyFont="1" applyFill="1" applyBorder="1" applyAlignment="1">
      <alignment horizontal="right" wrapText="1"/>
    </xf>
    <xf numFmtId="164" fontId="8" fillId="24" borderId="51" xfId="0" applyNumberFormat="1" applyFont="1" applyFill="1" applyBorder="1" applyAlignment="1">
      <alignment horizontal="right" wrapText="1"/>
    </xf>
    <xf numFmtId="164" fontId="4" fillId="24" borderId="51" xfId="0" applyNumberFormat="1" applyFont="1" applyFill="1" applyBorder="1" applyAlignment="1">
      <alignment horizontal="right" wrapText="1"/>
    </xf>
    <xf numFmtId="164" fontId="4" fillId="24" borderId="59" xfId="0" applyNumberFormat="1" applyFont="1" applyFill="1" applyBorder="1" applyAlignment="1">
      <alignment horizontal="right" wrapText="1"/>
    </xf>
    <xf numFmtId="164" fontId="8" fillId="24" borderId="59" xfId="0" applyNumberFormat="1" applyFont="1" applyFill="1" applyBorder="1" applyAlignment="1">
      <alignment horizontal="right" wrapText="1"/>
    </xf>
    <xf numFmtId="164" fontId="8" fillId="24" borderId="13" xfId="0" applyNumberFormat="1" applyFont="1" applyFill="1" applyBorder="1" applyAlignment="1">
      <alignment horizontal="right" wrapText="1"/>
    </xf>
    <xf numFmtId="165" fontId="4" fillId="24" borderId="82" xfId="0" applyNumberFormat="1" applyFont="1" applyFill="1" applyBorder="1"/>
    <xf numFmtId="165" fontId="4" fillId="0" borderId="96" xfId="0" applyNumberFormat="1" applyFont="1" applyBorder="1"/>
    <xf numFmtId="4" fontId="4" fillId="24" borderId="84" xfId="0" applyNumberFormat="1" applyFont="1" applyFill="1" applyBorder="1"/>
    <xf numFmtId="165" fontId="4" fillId="24" borderId="96" xfId="0" applyNumberFormat="1" applyFont="1" applyFill="1" applyBorder="1"/>
    <xf numFmtId="166" fontId="4" fillId="24" borderId="52" xfId="0" applyNumberFormat="1" applyFont="1" applyFill="1" applyBorder="1"/>
    <xf numFmtId="4" fontId="4" fillId="0" borderId="18" xfId="139" applyNumberFormat="1" applyFont="1" applyFill="1" applyBorder="1" applyAlignment="1">
      <alignment horizontal="right" vertical="top"/>
    </xf>
    <xf numFmtId="165" fontId="4" fillId="24" borderId="51" xfId="0" applyNumberFormat="1" applyFont="1" applyFill="1" applyBorder="1"/>
    <xf numFmtId="165" fontId="4" fillId="0" borderId="18" xfId="0" applyNumberFormat="1" applyFont="1" applyBorder="1"/>
    <xf numFmtId="4" fontId="4" fillId="24" borderId="58" xfId="0" applyNumberFormat="1" applyFont="1" applyFill="1" applyBorder="1"/>
    <xf numFmtId="4" fontId="8" fillId="0" borderId="96" xfId="0" applyNumberFormat="1" applyFont="1" applyFill="1" applyBorder="1"/>
    <xf numFmtId="4" fontId="4" fillId="0" borderId="96" xfId="0" applyNumberFormat="1" applyFont="1" applyFill="1" applyBorder="1"/>
    <xf numFmtId="166" fontId="4" fillId="0" borderId="35" xfId="0" applyNumberFormat="1" applyFont="1" applyBorder="1"/>
    <xf numFmtId="4" fontId="68" fillId="0" borderId="0" xfId="0" applyNumberFormat="1" applyFont="1"/>
    <xf numFmtId="165" fontId="4" fillId="0" borderId="96" xfId="0" quotePrefix="1" applyNumberFormat="1" applyFont="1" applyBorder="1"/>
    <xf numFmtId="165" fontId="4" fillId="24" borderId="36" xfId="0" applyNumberFormat="1" applyFont="1" applyFill="1" applyBorder="1"/>
    <xf numFmtId="165" fontId="4" fillId="0" borderId="31" xfId="0" applyNumberFormat="1" applyFont="1" applyBorder="1"/>
    <xf numFmtId="165" fontId="4" fillId="24" borderId="35" xfId="0" applyNumberFormat="1" applyFont="1" applyFill="1" applyBorder="1"/>
    <xf numFmtId="4" fontId="4" fillId="24" borderId="82" xfId="0" applyNumberFormat="1" applyFont="1" applyFill="1" applyBorder="1"/>
    <xf numFmtId="164" fontId="8" fillId="24" borderId="14" xfId="0" applyNumberFormat="1" applyFont="1" applyFill="1" applyBorder="1" applyAlignment="1">
      <alignment horizontal="right" wrapText="1"/>
    </xf>
    <xf numFmtId="164" fontId="8" fillId="0" borderId="80" xfId="0" applyNumberFormat="1" applyFont="1" applyFill="1" applyBorder="1" applyAlignment="1">
      <alignment horizontal="right" wrapText="1"/>
    </xf>
    <xf numFmtId="164" fontId="4" fillId="0" borderId="81" xfId="0" applyNumberFormat="1" applyFont="1" applyFill="1" applyBorder="1" applyAlignment="1">
      <alignment horizontal="right" wrapText="1"/>
    </xf>
    <xf numFmtId="164" fontId="8" fillId="24" borderId="81" xfId="0" applyNumberFormat="1" applyFont="1" applyFill="1" applyBorder="1" applyAlignment="1">
      <alignment horizontal="right" wrapText="1"/>
    </xf>
    <xf numFmtId="4" fontId="4" fillId="0" borderId="18" xfId="139" applyNumberFormat="1" applyFont="1" applyFill="1" applyBorder="1" applyAlignment="1">
      <alignment vertical="top"/>
    </xf>
    <xf numFmtId="166" fontId="4" fillId="24" borderId="35" xfId="0" applyNumberFormat="1" applyFont="1" applyFill="1" applyBorder="1"/>
    <xf numFmtId="4" fontId="69" fillId="0" borderId="18" xfId="134" applyNumberFormat="1" applyFont="1" applyFill="1" applyBorder="1"/>
    <xf numFmtId="10" fontId="4" fillId="24" borderId="93" xfId="37" applyNumberFormat="1" applyFont="1" applyFill="1" applyBorder="1"/>
    <xf numFmtId="4" fontId="4" fillId="0" borderId="96" xfId="0" applyNumberFormat="1" applyFont="1" applyBorder="1"/>
    <xf numFmtId="165" fontId="4" fillId="24" borderId="83" xfId="0" applyNumberFormat="1" applyFont="1" applyFill="1" applyBorder="1"/>
    <xf numFmtId="165" fontId="4" fillId="0" borderId="81" xfId="0" applyNumberFormat="1" applyFont="1" applyBorder="1"/>
    <xf numFmtId="165" fontId="4" fillId="0" borderId="84" xfId="0" applyNumberFormat="1" applyFont="1" applyBorder="1"/>
    <xf numFmtId="165" fontId="4" fillId="0" borderId="19" xfId="0" applyNumberFormat="1" applyFont="1" applyBorder="1"/>
    <xf numFmtId="0" fontId="22" fillId="0" borderId="0" xfId="35" applyFont="1" applyFill="1"/>
    <xf numFmtId="4" fontId="70" fillId="0" borderId="44" xfId="132" applyNumberFormat="1" applyFont="1" applyFill="1" applyBorder="1" applyAlignment="1" applyProtection="1">
      <alignment horizontal="center" vertical="center" wrapText="1"/>
      <protection locked="0"/>
    </xf>
    <xf numFmtId="4" fontId="70" fillId="0" borderId="98" xfId="132" applyNumberFormat="1" applyFont="1" applyFill="1" applyBorder="1" applyAlignment="1" applyProtection="1">
      <alignment horizontal="center" vertical="center" wrapText="1"/>
      <protection locked="0"/>
    </xf>
    <xf numFmtId="0" fontId="8" fillId="24" borderId="29" xfId="0" applyFont="1" applyFill="1" applyBorder="1" applyAlignment="1">
      <alignment horizontal="center" wrapText="1"/>
    </xf>
    <xf numFmtId="0" fontId="8" fillId="24" borderId="53" xfId="0" applyFont="1" applyFill="1" applyBorder="1" applyAlignment="1">
      <alignment horizontal="center" wrapText="1"/>
    </xf>
    <xf numFmtId="0" fontId="6" fillId="24" borderId="0" xfId="0" applyFont="1" applyFill="1" applyBorder="1" applyAlignment="1">
      <alignment horizontal="center"/>
    </xf>
    <xf numFmtId="0" fontId="35" fillId="24" borderId="0" xfId="0" applyFont="1" applyFill="1" applyBorder="1" applyAlignment="1">
      <alignment horizontal="left"/>
    </xf>
    <xf numFmtId="0" fontId="35" fillId="24" borderId="0" xfId="0" applyFont="1" applyFill="1" applyBorder="1" applyAlignment="1">
      <alignment horizontal="left" vertical="center" wrapText="1"/>
    </xf>
    <xf numFmtId="0" fontId="6" fillId="24" borderId="47" xfId="0" applyFont="1" applyFill="1" applyBorder="1" applyAlignment="1">
      <alignment horizontal="center" wrapText="1"/>
    </xf>
    <xf numFmtId="0" fontId="6" fillId="24" borderId="0" xfId="0" applyFont="1" applyFill="1" applyBorder="1" applyAlignment="1">
      <alignment horizontal="center" wrapText="1"/>
    </xf>
    <xf numFmtId="0" fontId="6" fillId="24" borderId="0" xfId="0" applyFont="1" applyFill="1" applyAlignment="1">
      <alignment horizontal="center" wrapText="1"/>
    </xf>
    <xf numFmtId="0" fontId="4" fillId="0" borderId="0" xfId="0" applyFont="1" applyAlignment="1"/>
    <xf numFmtId="0" fontId="4" fillId="0" borderId="47" xfId="0" applyFont="1" applyBorder="1" applyAlignment="1">
      <alignment horizontal="center" wrapText="1"/>
    </xf>
    <xf numFmtId="0" fontId="8" fillId="24" borderId="10" xfId="0" applyFont="1" applyFill="1" applyBorder="1" applyAlignment="1">
      <alignment wrapText="1"/>
    </xf>
    <xf numFmtId="0" fontId="8" fillId="24" borderId="11" xfId="0" applyFont="1" applyFill="1" applyBorder="1" applyAlignment="1">
      <alignment wrapText="1"/>
    </xf>
    <xf numFmtId="0" fontId="0" fillId="0" borderId="47" xfId="0" applyBorder="1" applyAlignment="1">
      <alignment horizontal="center" wrapText="1"/>
    </xf>
    <xf numFmtId="0" fontId="8" fillId="24" borderId="54" xfId="0" applyFont="1" applyFill="1" applyBorder="1" applyAlignment="1">
      <alignment wrapText="1"/>
    </xf>
    <xf numFmtId="0" fontId="8" fillId="24" borderId="56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47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47" xfId="0" applyBorder="1" applyAlignment="1">
      <alignment wrapText="1"/>
    </xf>
    <xf numFmtId="0" fontId="8" fillId="24" borderId="10" xfId="0" applyFont="1" applyFill="1" applyBorder="1" applyAlignment="1">
      <alignment horizontal="center" wrapText="1"/>
    </xf>
    <xf numFmtId="0" fontId="8" fillId="24" borderId="13" xfId="0" applyFont="1" applyFill="1" applyBorder="1" applyAlignment="1">
      <alignment horizontal="center" wrapText="1"/>
    </xf>
    <xf numFmtId="0" fontId="8" fillId="24" borderId="13" xfId="0" applyFont="1" applyFill="1" applyBorder="1" applyAlignment="1">
      <alignment wrapText="1"/>
    </xf>
  </cellXfs>
  <cellStyles count="140">
    <cellStyle name="=D:\WINNT\SYSTEM32\COMMAND.COM" xfId="102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ccent1" xfId="75"/>
    <cellStyle name="Accent2" xfId="76"/>
    <cellStyle name="Accent3" xfId="77"/>
    <cellStyle name="Accent4" xfId="78"/>
    <cellStyle name="Accent5" xfId="79"/>
    <cellStyle name="Accent6" xfId="80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Bad" xfId="81"/>
    <cellStyle name="Calculation" xfId="82"/>
    <cellStyle name="Check Cell" xfId="83"/>
    <cellStyle name="Dane wejściowe" xfId="25" builtinId="20" customBuiltin="1"/>
    <cellStyle name="Dane wejściowe 2" xfId="49"/>
    <cellStyle name="Dane wejściowe 2 2" xfId="55"/>
    <cellStyle name="Dane wejściowe 2 2 2" xfId="103"/>
    <cellStyle name="Dane wejściowe 2 3" xfId="113"/>
    <cellStyle name="Dane wejściowe 3" xfId="118"/>
    <cellStyle name="Dane wyjściowe" xfId="26" builtinId="21" customBuiltin="1"/>
    <cellStyle name="Dane wyjściowe 2" xfId="48"/>
    <cellStyle name="Dane wyjściowe 2 2" xfId="54"/>
    <cellStyle name="Dane wyjściowe 2 2 2" xfId="104"/>
    <cellStyle name="Dane wyjściowe 2 3" xfId="114"/>
    <cellStyle name="Dane wyjściowe 3" xfId="109"/>
    <cellStyle name="Dobry" xfId="27" builtinId="26" customBuiltin="1"/>
    <cellStyle name="Dziesiętny" xfId="127" builtinId="3"/>
    <cellStyle name="Dziesiętny 2" xfId="135"/>
    <cellStyle name="Explanatory Text" xfId="84"/>
    <cellStyle name="Good" xfId="85"/>
    <cellStyle name="Heading 1" xfId="86"/>
    <cellStyle name="Heading 2" xfId="87"/>
    <cellStyle name="Heading 3" xfId="88"/>
    <cellStyle name="Heading 4" xfId="89"/>
    <cellStyle name="Input" xfId="90"/>
    <cellStyle name="Komórka połączona" xfId="28" builtinId="24" customBuiltin="1"/>
    <cellStyle name="Komórka zaznaczona" xfId="29" builtinId="23" customBuiltin="1"/>
    <cellStyle name="Linked Cell" xfId="9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" xfId="92"/>
    <cellStyle name="Neutralny" xfId="34" builtinId="28" customBuiltin="1"/>
    <cellStyle name="Normal" xfId="137"/>
    <cellStyle name="Normalny" xfId="0" builtinId="0"/>
    <cellStyle name="Normalny 10" xfId="134"/>
    <cellStyle name="Normalny 2" xfId="44"/>
    <cellStyle name="Normalny 2 2" xfId="124"/>
    <cellStyle name="Normalny 2 2 2" xfId="132"/>
    <cellStyle name="Normalny 2 3" xfId="136"/>
    <cellStyle name="Normalny 2 4" xfId="130"/>
    <cellStyle name="Normalny 2_1.2" xfId="138"/>
    <cellStyle name="Normalny 3" xfId="50"/>
    <cellStyle name="Normalny 3 2" xfId="123"/>
    <cellStyle name="Normalny 3 3" xfId="133"/>
    <cellStyle name="Normalny 4" xfId="56"/>
    <cellStyle name="Normalny 4 2" xfId="112"/>
    <cellStyle name="Normalny 4 3" xfId="129"/>
    <cellStyle name="Normalny 5" xfId="98"/>
    <cellStyle name="Normalny 5 2" xfId="119"/>
    <cellStyle name="Normalny 50" xfId="131"/>
    <cellStyle name="Normalny 6" xfId="101"/>
    <cellStyle name="Normalny 7" xfId="121"/>
    <cellStyle name="Normalny 8" xfId="125"/>
    <cellStyle name="Normalny 9" xfId="128"/>
    <cellStyle name="Normalny_Arkusz1" xfId="35"/>
    <cellStyle name="Normalny_Arkusz1 2" xfId="122"/>
    <cellStyle name="Normalny_Arkusz1_1" xfId="139"/>
    <cellStyle name="Note" xfId="93"/>
    <cellStyle name="Note 2" xfId="99"/>
    <cellStyle name="Note 2 2" xfId="120"/>
    <cellStyle name="Note 3" xfId="100"/>
    <cellStyle name="Obliczenia" xfId="36" builtinId="22" customBuiltin="1"/>
    <cellStyle name="Obliczenia 2" xfId="47"/>
    <cellStyle name="Obliczenia 2 2" xfId="53"/>
    <cellStyle name="Obliczenia 2 2 2" xfId="105"/>
    <cellStyle name="Obliczenia 2 3" xfId="115"/>
    <cellStyle name="Obliczenia 3" xfId="117"/>
    <cellStyle name="Output" xfId="94"/>
    <cellStyle name="Procentowy" xfId="37" builtinId="5"/>
    <cellStyle name="Procentowy 2" xfId="126"/>
    <cellStyle name="Suma" xfId="38" builtinId="25" customBuiltin="1"/>
    <cellStyle name="Suma 2" xfId="46"/>
    <cellStyle name="Suma 2 2" xfId="52"/>
    <cellStyle name="Suma 2 2 2" xfId="106"/>
    <cellStyle name="Suma 2 3" xfId="108"/>
    <cellStyle name="Suma 3" xfId="116"/>
    <cellStyle name="Tekst objaśnienia" xfId="39" builtinId="53" customBuiltin="1"/>
    <cellStyle name="Tekst ostrzeżenia" xfId="40" builtinId="11" customBuiltin="1"/>
    <cellStyle name="Title" xfId="95"/>
    <cellStyle name="Total" xfId="96"/>
    <cellStyle name="Tytuł" xfId="41" builtinId="15" customBuiltin="1"/>
    <cellStyle name="Uwaga" xfId="42" builtinId="10" customBuiltin="1"/>
    <cellStyle name="Uwaga 2" xfId="45"/>
    <cellStyle name="Uwaga 2 2" xfId="51"/>
    <cellStyle name="Uwaga 2 2 2" xfId="107"/>
    <cellStyle name="Uwaga 2 3" xfId="111"/>
    <cellStyle name="Uwaga 3" xfId="110"/>
    <cellStyle name="Warning Text" xfId="97"/>
    <cellStyle name="Zły" xfId="43" builtinId="27" customBuiltin="1"/>
  </cellStyles>
  <dxfs count="0"/>
  <tableStyles count="0" defaultTableStyle="TableStyleMedium9" defaultPivotStyle="PivotStyleLight16"/>
  <colors>
    <mruColors>
      <color rgb="FF00FF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W81"/>
  <sheetViews>
    <sheetView zoomScale="80" zoomScaleNormal="80" workbookViewId="0">
      <selection activeCell="G16" sqref="G16"/>
    </sheetView>
  </sheetViews>
  <sheetFormatPr defaultRowHeight="12.5"/>
  <cols>
    <col min="1" max="1" width="9.1796875" style="86"/>
    <col min="2" max="2" width="5.26953125" style="86" bestFit="1" customWidth="1"/>
    <col min="3" max="3" width="75.453125" style="86" customWidth="1"/>
    <col min="4" max="5" width="17.81640625" style="86" customWidth="1"/>
    <col min="6" max="6" width="7.453125" customWidth="1"/>
    <col min="7" max="7" width="18.1796875" bestFit="1" customWidth="1"/>
    <col min="8" max="8" width="16.81640625" customWidth="1"/>
    <col min="9" max="9" width="10.26953125" customWidth="1"/>
    <col min="10" max="10" width="15.1796875" customWidth="1"/>
    <col min="11" max="11" width="19.54296875" customWidth="1"/>
    <col min="12" max="12" width="15.81640625" customWidth="1"/>
    <col min="20" max="20" width="16" bestFit="1" customWidth="1"/>
    <col min="22" max="22" width="16.1796875" bestFit="1" customWidth="1"/>
    <col min="23" max="23" width="14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14">
      <c r="B5" s="402" t="s">
        <v>1</v>
      </c>
      <c r="C5" s="402"/>
      <c r="D5" s="402"/>
      <c r="E5" s="402"/>
    </row>
    <row r="6" spans="2:12" ht="14.25" customHeight="1">
      <c r="B6" s="403" t="s">
        <v>84</v>
      </c>
      <c r="C6" s="403"/>
      <c r="D6" s="403"/>
      <c r="E6" s="403"/>
    </row>
    <row r="7" spans="2:12" ht="14">
      <c r="B7" s="336"/>
      <c r="C7" s="336"/>
      <c r="D7" s="336"/>
      <c r="E7" s="336"/>
    </row>
    <row r="8" spans="2:12" ht="12.75" customHeight="1">
      <c r="B8" s="405" t="s">
        <v>18</v>
      </c>
      <c r="C8" s="405"/>
      <c r="D8" s="405"/>
      <c r="E8" s="405"/>
    </row>
    <row r="9" spans="2:12" ht="15.75" customHeight="1" thickBot="1">
      <c r="B9" s="404" t="s">
        <v>103</v>
      </c>
      <c r="C9" s="404"/>
      <c r="D9" s="404"/>
      <c r="E9" s="404"/>
    </row>
    <row r="10" spans="2:12" ht="13.5" thickBot="1">
      <c r="B10" s="337"/>
      <c r="C10" s="227" t="s">
        <v>2</v>
      </c>
      <c r="D10" s="269" t="s">
        <v>246</v>
      </c>
      <c r="E10" s="26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141611549.37</v>
      </c>
      <c r="E11" s="245">
        <f>SUM(E12:E14)</f>
        <v>129214189.59999999</v>
      </c>
    </row>
    <row r="12" spans="2:12">
      <c r="B12" s="184" t="s">
        <v>4</v>
      </c>
      <c r="C12" s="186" t="s">
        <v>5</v>
      </c>
      <c r="D12" s="300">
        <f>146224580+2986736.46-7599767.09</f>
        <v>141611549.37</v>
      </c>
      <c r="E12" s="250">
        <f>133868909.63-7298707.69</f>
        <v>126570201.94</v>
      </c>
      <c r="G12" s="156"/>
    </row>
    <row r="13" spans="2:12" ht="12.75" customHeight="1">
      <c r="B13" s="184" t="s">
        <v>6</v>
      </c>
      <c r="C13" s="186" t="s">
        <v>7</v>
      </c>
      <c r="D13" s="301"/>
      <c r="E13" s="251">
        <v>697.21</v>
      </c>
      <c r="G13" s="73"/>
    </row>
    <row r="14" spans="2:12">
      <c r="B14" s="184" t="s">
        <v>8</v>
      </c>
      <c r="C14" s="186" t="s">
        <v>10</v>
      </c>
      <c r="D14" s="301"/>
      <c r="E14" s="251">
        <f>E15</f>
        <v>2643290.4500000002</v>
      </c>
      <c r="G14" s="67"/>
    </row>
    <row r="15" spans="2:12">
      <c r="B15" s="184" t="s">
        <v>106</v>
      </c>
      <c r="C15" s="186" t="s">
        <v>11</v>
      </c>
      <c r="D15" s="301"/>
      <c r="E15" s="251">
        <v>2643290.4500000002</v>
      </c>
      <c r="G15" s="67"/>
    </row>
    <row r="16" spans="2:12">
      <c r="B16" s="187" t="s">
        <v>107</v>
      </c>
      <c r="C16" s="188" t="s">
        <v>12</v>
      </c>
      <c r="D16" s="302"/>
      <c r="E16" s="252"/>
    </row>
    <row r="17" spans="2:12" ht="13">
      <c r="B17" s="8" t="s">
        <v>13</v>
      </c>
      <c r="C17" s="229" t="s">
        <v>65</v>
      </c>
      <c r="D17" s="303">
        <f>D18</f>
        <v>88639.72</v>
      </c>
      <c r="E17" s="253">
        <f>E18</f>
        <v>33063.93</v>
      </c>
    </row>
    <row r="18" spans="2:12">
      <c r="B18" s="184" t="s">
        <v>4</v>
      </c>
      <c r="C18" s="186" t="s">
        <v>11</v>
      </c>
      <c r="D18" s="302">
        <v>88639.72</v>
      </c>
      <c r="E18" s="252">
        <v>33063.93</v>
      </c>
    </row>
    <row r="19" spans="2:12" ht="15" customHeight="1">
      <c r="B19" s="184" t="s">
        <v>6</v>
      </c>
      <c r="C19" s="186" t="s">
        <v>108</v>
      </c>
      <c r="D19" s="301"/>
      <c r="E19" s="251"/>
    </row>
    <row r="20" spans="2:12" ht="13" thickBot="1">
      <c r="B20" s="189" t="s">
        <v>8</v>
      </c>
      <c r="C20" s="190" t="s">
        <v>14</v>
      </c>
      <c r="D20" s="304"/>
      <c r="E20" s="246"/>
      <c r="G20" s="67"/>
    </row>
    <row r="21" spans="2:12" ht="13.5" customHeight="1" thickBot="1">
      <c r="B21" s="409" t="s">
        <v>110</v>
      </c>
      <c r="C21" s="410"/>
      <c r="D21" s="305">
        <f>D11-D17</f>
        <v>141522909.65000001</v>
      </c>
      <c r="E21" s="151">
        <f>E11-E17</f>
        <v>129181125.66999999</v>
      </c>
      <c r="F21" s="79"/>
      <c r="G21" s="79"/>
      <c r="H21" s="171"/>
      <c r="J21" s="232"/>
      <c r="K21" s="171"/>
    </row>
    <row r="22" spans="2:12">
      <c r="B22" s="3"/>
      <c r="C22" s="6"/>
      <c r="D22" s="7"/>
      <c r="E22" s="282"/>
      <c r="G22" s="73"/>
    </row>
    <row r="23" spans="2:12" ht="14.25" customHeight="1">
      <c r="B23" s="405" t="s">
        <v>104</v>
      </c>
      <c r="C23" s="405"/>
      <c r="D23" s="405"/>
      <c r="E23" s="405"/>
      <c r="G23" s="73"/>
    </row>
    <row r="24" spans="2:12" ht="16.5" customHeight="1" thickBot="1">
      <c r="B24" s="404" t="s">
        <v>105</v>
      </c>
      <c r="C24" s="404"/>
      <c r="D24" s="404"/>
      <c r="E24" s="404"/>
    </row>
    <row r="25" spans="2:12" ht="13.5" thickBot="1">
      <c r="B25" s="337"/>
      <c r="C25" s="191" t="s">
        <v>2</v>
      </c>
      <c r="D25" s="269" t="s">
        <v>246</v>
      </c>
      <c r="E25" s="268" t="s">
        <v>262</v>
      </c>
    </row>
    <row r="26" spans="2:12" ht="13">
      <c r="B26" s="98" t="s">
        <v>15</v>
      </c>
      <c r="C26" s="99" t="s">
        <v>16</v>
      </c>
      <c r="D26" s="338">
        <v>156369794.63999999</v>
      </c>
      <c r="E26" s="339">
        <f>D21</f>
        <v>141522909.65000001</v>
      </c>
      <c r="F26" s="163"/>
      <c r="G26" s="173"/>
    </row>
    <row r="27" spans="2:12" ht="13">
      <c r="B27" s="271" t="s">
        <v>17</v>
      </c>
      <c r="C27" s="272" t="s">
        <v>111</v>
      </c>
      <c r="D27" s="340">
        <v>-15185008.660000004</v>
      </c>
      <c r="E27" s="275">
        <v>-9618062.3499999996</v>
      </c>
      <c r="F27" s="165"/>
      <c r="G27" s="285"/>
      <c r="H27" s="255"/>
      <c r="I27" s="255"/>
      <c r="J27" s="255"/>
      <c r="K27" s="67"/>
      <c r="L27" s="67"/>
    </row>
    <row r="28" spans="2:12" ht="13">
      <c r="B28" s="271" t="s">
        <v>18</v>
      </c>
      <c r="C28" s="272" t="s">
        <v>19</v>
      </c>
      <c r="D28" s="340">
        <v>5750260.9100000001</v>
      </c>
      <c r="E28" s="276">
        <v>6789347.4000000004</v>
      </c>
      <c r="F28" s="165"/>
      <c r="G28" s="285"/>
      <c r="H28" s="255"/>
      <c r="I28" s="255"/>
      <c r="J28" s="255"/>
    </row>
    <row r="29" spans="2:12">
      <c r="B29" s="341" t="s">
        <v>4</v>
      </c>
      <c r="C29" s="257" t="s">
        <v>20</v>
      </c>
      <c r="D29" s="342">
        <v>2265669.23</v>
      </c>
      <c r="E29" s="277">
        <v>2078496.88</v>
      </c>
      <c r="F29" s="165"/>
      <c r="G29" s="286"/>
      <c r="H29" s="255"/>
      <c r="I29" s="255"/>
      <c r="J29" s="255"/>
    </row>
    <row r="30" spans="2:12">
      <c r="B30" s="341" t="s">
        <v>6</v>
      </c>
      <c r="C30" s="257" t="s">
        <v>21</v>
      </c>
      <c r="D30" s="342"/>
      <c r="E30" s="277">
        <v>2643290.4500000002</v>
      </c>
      <c r="F30" s="165"/>
      <c r="G30" s="286"/>
      <c r="H30" s="255"/>
      <c r="I30" s="255"/>
      <c r="J30" s="255"/>
    </row>
    <row r="31" spans="2:12">
      <c r="B31" s="341" t="s">
        <v>8</v>
      </c>
      <c r="C31" s="257" t="s">
        <v>22</v>
      </c>
      <c r="D31" s="342">
        <v>3484591.68</v>
      </c>
      <c r="E31" s="277">
        <v>2067560.07</v>
      </c>
      <c r="F31" s="165"/>
      <c r="G31" s="286"/>
      <c r="H31" s="255"/>
      <c r="I31" s="255"/>
      <c r="J31" s="255"/>
    </row>
    <row r="32" spans="2:12" ht="13">
      <c r="B32" s="273" t="s">
        <v>23</v>
      </c>
      <c r="C32" s="274" t="s">
        <v>24</v>
      </c>
      <c r="D32" s="340">
        <v>20935269.570000004</v>
      </c>
      <c r="E32" s="276">
        <v>16407409.75</v>
      </c>
      <c r="F32" s="165"/>
      <c r="G32" s="285"/>
      <c r="H32" s="255"/>
      <c r="I32" s="255"/>
      <c r="J32" s="255"/>
    </row>
    <row r="33" spans="2:23">
      <c r="B33" s="341" t="s">
        <v>4</v>
      </c>
      <c r="C33" s="257" t="s">
        <v>25</v>
      </c>
      <c r="D33" s="342">
        <v>17608556.510000002</v>
      </c>
      <c r="E33" s="277">
        <v>14893799.869999999</v>
      </c>
      <c r="F33" s="165"/>
      <c r="G33" s="286"/>
      <c r="H33" s="255"/>
      <c r="I33" s="255"/>
      <c r="J33" s="255"/>
    </row>
    <row r="34" spans="2:23">
      <c r="B34" s="341" t="s">
        <v>6</v>
      </c>
      <c r="C34" s="257" t="s">
        <v>26</v>
      </c>
      <c r="D34" s="342"/>
      <c r="E34" s="277"/>
      <c r="F34" s="165"/>
      <c r="G34" s="286"/>
      <c r="H34" s="255"/>
      <c r="I34" s="255"/>
      <c r="J34" s="255"/>
    </row>
    <row r="35" spans="2:23">
      <c r="B35" s="341" t="s">
        <v>8</v>
      </c>
      <c r="C35" s="257" t="s">
        <v>27</v>
      </c>
      <c r="D35" s="342">
        <v>1249315.6700000002</v>
      </c>
      <c r="E35" s="277">
        <v>1026042.9</v>
      </c>
      <c r="F35" s="165"/>
      <c r="G35" s="286"/>
      <c r="H35" s="255"/>
      <c r="I35" s="255"/>
      <c r="J35" s="255"/>
    </row>
    <row r="36" spans="2:23">
      <c r="B36" s="341" t="s">
        <v>9</v>
      </c>
      <c r="C36" s="257" t="s">
        <v>28</v>
      </c>
      <c r="D36" s="342"/>
      <c r="E36" s="277"/>
      <c r="F36" s="165"/>
      <c r="G36" s="286"/>
      <c r="H36" s="255"/>
      <c r="I36" s="255"/>
      <c r="J36" s="255"/>
    </row>
    <row r="37" spans="2:23" ht="25">
      <c r="B37" s="341" t="s">
        <v>29</v>
      </c>
      <c r="C37" s="257" t="s">
        <v>30</v>
      </c>
      <c r="D37" s="342"/>
      <c r="E37" s="277"/>
      <c r="F37" s="165"/>
      <c r="G37" s="287"/>
      <c r="H37" s="255"/>
      <c r="I37" s="255"/>
      <c r="J37" s="255"/>
      <c r="T37" s="254">
        <f>177697141.37/22.3484</f>
        <v>7951224.3100177189</v>
      </c>
    </row>
    <row r="38" spans="2:23">
      <c r="B38" s="341" t="s">
        <v>31</v>
      </c>
      <c r="C38" s="257" t="s">
        <v>32</v>
      </c>
      <c r="D38" s="342"/>
      <c r="E38" s="277"/>
      <c r="F38" s="165"/>
      <c r="G38" s="287"/>
      <c r="H38" s="255"/>
      <c r="I38" s="255"/>
      <c r="J38" s="255"/>
      <c r="T38" s="203">
        <f>15680789.11/25.1598</f>
        <v>623247.76468811359</v>
      </c>
    </row>
    <row r="39" spans="2:23">
      <c r="B39" s="343" t="s">
        <v>33</v>
      </c>
      <c r="C39" s="344" t="s">
        <v>34</v>
      </c>
      <c r="D39" s="345">
        <v>2077397.39</v>
      </c>
      <c r="E39" s="278">
        <v>487566.98</v>
      </c>
      <c r="F39" s="165"/>
      <c r="G39" s="288"/>
      <c r="H39" s="255"/>
      <c r="I39" s="255"/>
      <c r="J39" s="255"/>
      <c r="T39" s="73">
        <f>SUM(T37:T38)</f>
        <v>8574472.0747058317</v>
      </c>
      <c r="V39" s="67">
        <f>E21/22.3484</f>
        <v>5780329.941740795</v>
      </c>
      <c r="W39" s="67">
        <f>V39-T39</f>
        <v>-2794142.1329650367</v>
      </c>
    </row>
    <row r="40" spans="2:23" ht="13.5" thickBot="1">
      <c r="B40" s="100" t="s">
        <v>35</v>
      </c>
      <c r="C40" s="101" t="s">
        <v>36</v>
      </c>
      <c r="D40" s="346">
        <v>338123.67</v>
      </c>
      <c r="E40" s="347">
        <v>-2723721.63</v>
      </c>
      <c r="F40" s="163"/>
      <c r="G40" s="164"/>
      <c r="H40" s="73"/>
    </row>
    <row r="41" spans="2:23" ht="13.5" thickBot="1">
      <c r="B41" s="102" t="s">
        <v>37</v>
      </c>
      <c r="C41" s="103" t="s">
        <v>38</v>
      </c>
      <c r="D41" s="348">
        <v>141522909.64999998</v>
      </c>
      <c r="E41" s="349">
        <f>E26+E27+E40</f>
        <v>129181125.67000002</v>
      </c>
      <c r="F41" s="167"/>
      <c r="G41" s="168"/>
    </row>
    <row r="42" spans="2:23" ht="13.5" customHeight="1">
      <c r="B42" s="96"/>
      <c r="C42" s="96"/>
      <c r="D42" s="97"/>
      <c r="E42" s="97"/>
      <c r="F42" s="79"/>
      <c r="G42" s="259"/>
    </row>
    <row r="43" spans="2:23" ht="13.5">
      <c r="B43" s="406" t="s">
        <v>60</v>
      </c>
      <c r="C43" s="407"/>
      <c r="D43" s="407"/>
      <c r="E43" s="407"/>
      <c r="G43" s="73"/>
    </row>
    <row r="44" spans="2:23" ht="19.5" customHeight="1" thickBot="1">
      <c r="B44" s="404" t="s">
        <v>121</v>
      </c>
      <c r="C44" s="408"/>
      <c r="D44" s="408"/>
      <c r="E44" s="408"/>
      <c r="G44" s="73"/>
    </row>
    <row r="45" spans="2:23" ht="13.5" thickBot="1">
      <c r="B45" s="337"/>
      <c r="C45" s="28" t="s">
        <v>39</v>
      </c>
      <c r="D45" s="269" t="s">
        <v>246</v>
      </c>
      <c r="E45" s="268" t="s">
        <v>262</v>
      </c>
      <c r="G45" s="73"/>
    </row>
    <row r="46" spans="2:23" ht="13">
      <c r="B46" s="12" t="s">
        <v>18</v>
      </c>
      <c r="C46" s="29" t="s">
        <v>112</v>
      </c>
      <c r="D46" s="169"/>
      <c r="E46" s="170"/>
      <c r="G46" s="203"/>
    </row>
    <row r="47" spans="2:23">
      <c r="B47" s="195" t="s">
        <v>4</v>
      </c>
      <c r="C47" s="196" t="s">
        <v>40</v>
      </c>
      <c r="D47" s="350">
        <v>6977385.5436999993</v>
      </c>
      <c r="E47" s="351">
        <v>6301063.338800001</v>
      </c>
      <c r="G47" s="203"/>
    </row>
    <row r="48" spans="2:23">
      <c r="B48" s="197" t="s">
        <v>6</v>
      </c>
      <c r="C48" s="198" t="s">
        <v>41</v>
      </c>
      <c r="D48" s="350">
        <v>6301063.338800001</v>
      </c>
      <c r="E48" s="352">
        <v>5751567.9347999999</v>
      </c>
      <c r="G48" s="162"/>
      <c r="I48" s="162"/>
      <c r="J48" s="162"/>
    </row>
    <row r="49" spans="2:9" ht="13">
      <c r="B49" s="123" t="s">
        <v>23</v>
      </c>
      <c r="C49" s="127" t="s">
        <v>113</v>
      </c>
      <c r="D49" s="353"/>
      <c r="E49" s="298"/>
    </row>
    <row r="50" spans="2:9">
      <c r="B50" s="195" t="s">
        <v>4</v>
      </c>
      <c r="C50" s="196" t="s">
        <v>40</v>
      </c>
      <c r="D50" s="350">
        <v>22.410900000000002</v>
      </c>
      <c r="E50" s="354">
        <v>22.4602</v>
      </c>
      <c r="G50" s="220"/>
    </row>
    <row r="51" spans="2:9">
      <c r="B51" s="195" t="s">
        <v>6</v>
      </c>
      <c r="C51" s="196" t="s">
        <v>114</v>
      </c>
      <c r="D51" s="350">
        <v>22.377099999999999</v>
      </c>
      <c r="E51" s="355">
        <v>21.97</v>
      </c>
      <c r="G51" s="183"/>
    </row>
    <row r="52" spans="2:9">
      <c r="B52" s="195" t="s">
        <v>8</v>
      </c>
      <c r="C52" s="196" t="s">
        <v>115</v>
      </c>
      <c r="D52" s="350">
        <v>22.467199999999998</v>
      </c>
      <c r="E52" s="355">
        <v>22.490500000000001</v>
      </c>
    </row>
    <row r="53" spans="2:9" ht="13" thickBot="1">
      <c r="B53" s="199" t="s">
        <v>9</v>
      </c>
      <c r="C53" s="200" t="s">
        <v>41</v>
      </c>
      <c r="D53" s="356">
        <v>22.4602</v>
      </c>
      <c r="E53" s="357">
        <v>22.4602</v>
      </c>
    </row>
    <row r="54" spans="2:9">
      <c r="B54" s="201"/>
      <c r="C54" s="202"/>
      <c r="D54" s="114"/>
      <c r="E54" s="114"/>
    </row>
    <row r="55" spans="2:9" ht="13.5">
      <c r="B55" s="406" t="s">
        <v>62</v>
      </c>
      <c r="C55" s="407"/>
      <c r="D55" s="407"/>
      <c r="E55" s="407"/>
    </row>
    <row r="56" spans="2:9" ht="15.75" customHeight="1" thickBot="1">
      <c r="B56" s="404" t="s">
        <v>116</v>
      </c>
      <c r="C56" s="408"/>
      <c r="D56" s="408"/>
      <c r="E56" s="408"/>
    </row>
    <row r="57" spans="2:9" ht="21.5" thickBot="1">
      <c r="B57" s="399" t="s">
        <v>42</v>
      </c>
      <c r="C57" s="400"/>
      <c r="D57" s="17" t="s">
        <v>122</v>
      </c>
      <c r="E57" s="18" t="s">
        <v>117</v>
      </c>
    </row>
    <row r="58" spans="2:9" ht="13">
      <c r="B58" s="19" t="s">
        <v>18</v>
      </c>
      <c r="C58" s="129" t="s">
        <v>43</v>
      </c>
      <c r="D58" s="130">
        <f>D59+D61+D69+D66</f>
        <v>126570201.94</v>
      </c>
      <c r="E58" s="30">
        <f>D58/E21</f>
        <v>0.97978865940006021</v>
      </c>
    </row>
    <row r="59" spans="2:9" ht="25">
      <c r="B59" s="197" t="s">
        <v>4</v>
      </c>
      <c r="C59" s="198" t="s">
        <v>44</v>
      </c>
      <c r="D59" s="82">
        <v>0</v>
      </c>
      <c r="E59" s="83">
        <f>D59/E21</f>
        <v>0</v>
      </c>
    </row>
    <row r="60" spans="2:9" ht="25">
      <c r="B60" s="195" t="s">
        <v>6</v>
      </c>
      <c r="C60" s="196" t="s">
        <v>45</v>
      </c>
      <c r="D60" s="80">
        <v>0</v>
      </c>
      <c r="E60" s="81">
        <v>0</v>
      </c>
    </row>
    <row r="61" spans="2:9">
      <c r="B61" s="195" t="s">
        <v>8</v>
      </c>
      <c r="C61" s="196" t="s">
        <v>46</v>
      </c>
      <c r="D61" s="80">
        <v>0</v>
      </c>
      <c r="E61" s="81">
        <v>0</v>
      </c>
      <c r="G61" s="73"/>
      <c r="H61" s="73"/>
      <c r="I61" s="73"/>
    </row>
    <row r="62" spans="2:9">
      <c r="B62" s="195" t="s">
        <v>9</v>
      </c>
      <c r="C62" s="196" t="s">
        <v>47</v>
      </c>
      <c r="D62" s="80">
        <v>0</v>
      </c>
      <c r="E62" s="81">
        <v>0</v>
      </c>
      <c r="G62" s="73"/>
      <c r="H62" s="73"/>
      <c r="I62" s="73"/>
    </row>
    <row r="63" spans="2:9">
      <c r="B63" s="195" t="s">
        <v>29</v>
      </c>
      <c r="C63" s="196" t="s">
        <v>48</v>
      </c>
      <c r="D63" s="80">
        <v>0</v>
      </c>
      <c r="E63" s="81">
        <v>0</v>
      </c>
      <c r="G63" s="73"/>
      <c r="H63" s="73"/>
      <c r="I63" s="73"/>
    </row>
    <row r="64" spans="2:9">
      <c r="B64" s="197" t="s">
        <v>31</v>
      </c>
      <c r="C64" s="198" t="s">
        <v>49</v>
      </c>
      <c r="D64" s="82">
        <v>0</v>
      </c>
      <c r="E64" s="83">
        <v>0</v>
      </c>
      <c r="G64" s="165"/>
      <c r="H64" s="165"/>
      <c r="I64" s="165"/>
    </row>
    <row r="65" spans="2:9" ht="13.5" customHeight="1">
      <c r="B65" s="197" t="s">
        <v>33</v>
      </c>
      <c r="C65" s="198" t="s">
        <v>118</v>
      </c>
      <c r="D65" s="82">
        <v>0</v>
      </c>
      <c r="E65" s="83">
        <v>0</v>
      </c>
    </row>
    <row r="66" spans="2:9">
      <c r="B66" s="197" t="s">
        <v>50</v>
      </c>
      <c r="C66" s="198" t="s">
        <v>51</v>
      </c>
      <c r="D66" s="82">
        <v>0</v>
      </c>
      <c r="E66" s="83">
        <f>D66/E21</f>
        <v>0</v>
      </c>
      <c r="I66" s="73"/>
    </row>
    <row r="67" spans="2:9">
      <c r="B67" s="195" t="s">
        <v>52</v>
      </c>
      <c r="C67" s="196" t="s">
        <v>53</v>
      </c>
      <c r="D67" s="80">
        <v>0</v>
      </c>
      <c r="E67" s="81">
        <v>0</v>
      </c>
      <c r="I67" s="73"/>
    </row>
    <row r="68" spans="2:9">
      <c r="B68" s="195" t="s">
        <v>54</v>
      </c>
      <c r="C68" s="196" t="s">
        <v>55</v>
      </c>
      <c r="D68" s="80">
        <v>0</v>
      </c>
      <c r="E68" s="81">
        <v>0</v>
      </c>
      <c r="I68" s="73"/>
    </row>
    <row r="69" spans="2:9">
      <c r="B69" s="195" t="s">
        <v>56</v>
      </c>
      <c r="C69" s="196" t="s">
        <v>57</v>
      </c>
      <c r="D69" s="358">
        <v>126570201.94</v>
      </c>
      <c r="E69" s="81">
        <f>D69/E21</f>
        <v>0.97978865940006021</v>
      </c>
      <c r="G69" s="73"/>
    </row>
    <row r="70" spans="2:9">
      <c r="B70" s="241" t="s">
        <v>58</v>
      </c>
      <c r="C70" s="240" t="s">
        <v>59</v>
      </c>
      <c r="D70" s="117">
        <v>0</v>
      </c>
      <c r="E70" s="118">
        <v>0</v>
      </c>
      <c r="G70" s="73"/>
    </row>
    <row r="71" spans="2:9" ht="13">
      <c r="B71" s="133" t="s">
        <v>23</v>
      </c>
      <c r="C71" s="124" t="s">
        <v>61</v>
      </c>
      <c r="D71" s="125">
        <f>E13</f>
        <v>697.21</v>
      </c>
      <c r="E71" s="66">
        <f>D71/E21</f>
        <v>5.3971506780414646E-6</v>
      </c>
    </row>
    <row r="72" spans="2:9" ht="13">
      <c r="B72" s="134" t="s">
        <v>60</v>
      </c>
      <c r="C72" s="120" t="s">
        <v>63</v>
      </c>
      <c r="D72" s="121">
        <f>E14</f>
        <v>2643290.4500000002</v>
      </c>
      <c r="E72" s="122">
        <f>D72/E21</f>
        <v>2.0461893610932182E-2</v>
      </c>
    </row>
    <row r="73" spans="2:9" ht="13">
      <c r="B73" s="135" t="s">
        <v>62</v>
      </c>
      <c r="C73" s="23" t="s">
        <v>65</v>
      </c>
      <c r="D73" s="24">
        <f>E17</f>
        <v>33063.93</v>
      </c>
      <c r="E73" s="25">
        <f>D73/E21</f>
        <v>2.5595016167039415E-4</v>
      </c>
    </row>
    <row r="74" spans="2:9" ht="13">
      <c r="B74" s="133" t="s">
        <v>64</v>
      </c>
      <c r="C74" s="124" t="s">
        <v>66</v>
      </c>
      <c r="D74" s="125">
        <f>D58-D73+D72+D71</f>
        <v>129181125.66999999</v>
      </c>
      <c r="E74" s="66">
        <f>E58+E72-E73</f>
        <v>0.99999460284932207</v>
      </c>
      <c r="G74" s="67"/>
      <c r="H74" s="67"/>
    </row>
    <row r="75" spans="2:9">
      <c r="B75" s="195" t="s">
        <v>4</v>
      </c>
      <c r="C75" s="196" t="s">
        <v>67</v>
      </c>
      <c r="D75" s="80">
        <f>D74</f>
        <v>129181125.66999999</v>
      </c>
      <c r="E75" s="81">
        <f>E74</f>
        <v>0.99999460284932207</v>
      </c>
      <c r="G75" s="67"/>
    </row>
    <row r="76" spans="2:9">
      <c r="B76" s="195" t="s">
        <v>6</v>
      </c>
      <c r="C76" s="196" t="s">
        <v>119</v>
      </c>
      <c r="D76" s="80">
        <v>0</v>
      </c>
      <c r="E76" s="81">
        <v>0</v>
      </c>
    </row>
    <row r="77" spans="2:9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9">
      <c r="B78" s="1"/>
      <c r="C78" s="1"/>
      <c r="D78" s="2"/>
      <c r="E78" s="2"/>
    </row>
    <row r="79" spans="2:9">
      <c r="B79" s="1"/>
      <c r="C79" s="1"/>
      <c r="D79" s="2"/>
      <c r="E79" s="2"/>
    </row>
    <row r="80" spans="2:9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7:C57"/>
    <mergeCell ref="B2:E2"/>
    <mergeCell ref="B3:E3"/>
    <mergeCell ref="B5:E5"/>
    <mergeCell ref="B6:E6"/>
    <mergeCell ref="B9:E9"/>
    <mergeCell ref="B8:E8"/>
    <mergeCell ref="B23:E23"/>
    <mergeCell ref="B24:E24"/>
    <mergeCell ref="B43:E43"/>
    <mergeCell ref="B44:E44"/>
    <mergeCell ref="B55:E55"/>
    <mergeCell ref="B56:E56"/>
    <mergeCell ref="B21:C21"/>
  </mergeCells>
  <phoneticPr fontId="10" type="noConversion"/>
  <pageMargins left="0.47244094488188981" right="0.74803149606299213" top="0.47244094488188981" bottom="0.47244094488188981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7265625" customWidth="1"/>
    <col min="9" max="9" width="13.26953125" customWidth="1"/>
    <col min="10" max="10" width="13.54296875" customWidth="1"/>
    <col min="11" max="11" width="15.26953125" customWidth="1"/>
    <col min="12" max="12" width="12.45312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90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89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20257323.629999999</v>
      </c>
      <c r="E11" s="245">
        <f>SUM(E12:E14)</f>
        <v>23797707.050000001</v>
      </c>
      <c r="H11" s="73"/>
    </row>
    <row r="12" spans="2:12">
      <c r="B12" s="109" t="s">
        <v>4</v>
      </c>
      <c r="C12" s="208" t="s">
        <v>5</v>
      </c>
      <c r="D12" s="300">
        <f>20185942.56+308131.32-251044.29</f>
        <v>20243029.59</v>
      </c>
      <c r="E12" s="250">
        <f>24049398.91+60983.85-312676.17</f>
        <v>23797706.59</v>
      </c>
      <c r="H12" s="73"/>
    </row>
    <row r="13" spans="2:12">
      <c r="B13" s="109" t="s">
        <v>6</v>
      </c>
      <c r="C13" s="208" t="s">
        <v>7</v>
      </c>
      <c r="D13" s="301"/>
      <c r="E13" s="251">
        <v>0.46</v>
      </c>
      <c r="H13" s="73"/>
    </row>
    <row r="14" spans="2:12">
      <c r="B14" s="109" t="s">
        <v>8</v>
      </c>
      <c r="C14" s="208" t="s">
        <v>10</v>
      </c>
      <c r="D14" s="301">
        <f>D15</f>
        <v>14294.04</v>
      </c>
      <c r="E14" s="251">
        <f>E15</f>
        <v>0</v>
      </c>
      <c r="H14" s="73"/>
    </row>
    <row r="15" spans="2:12">
      <c r="B15" s="109" t="s">
        <v>106</v>
      </c>
      <c r="C15" s="208" t="s">
        <v>11</v>
      </c>
      <c r="D15" s="301">
        <v>14294.04</v>
      </c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37857.94</v>
      </c>
      <c r="E17" s="253">
        <f>E18</f>
        <v>76376.820000000007</v>
      </c>
    </row>
    <row r="18" spans="2:11">
      <c r="B18" s="109" t="s">
        <v>4</v>
      </c>
      <c r="C18" s="208" t="s">
        <v>11</v>
      </c>
      <c r="D18" s="302">
        <v>37857.94</v>
      </c>
      <c r="E18" s="252">
        <v>76376.820000000007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20219465.689999998</v>
      </c>
      <c r="E21" s="151">
        <f>E11-E17</f>
        <v>23721330.23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283"/>
      <c r="G22" s="73"/>
    </row>
    <row r="23" spans="2:11" ht="15.5">
      <c r="B23" s="405"/>
      <c r="C23" s="417"/>
      <c r="D23" s="417"/>
      <c r="E23" s="417"/>
      <c r="G23" s="73"/>
    </row>
    <row r="24" spans="2:11" ht="18" customHeight="1" thickBot="1">
      <c r="B24" s="404" t="s">
        <v>105</v>
      </c>
      <c r="C24" s="418"/>
      <c r="D24" s="418"/>
      <c r="E24" s="418"/>
      <c r="K24" s="183"/>
    </row>
    <row r="25" spans="2:11" ht="13.5" thickBot="1">
      <c r="B25" s="89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16950682.610000003</v>
      </c>
      <c r="E26" s="239">
        <f>D21</f>
        <v>20219465.689999998</v>
      </c>
      <c r="G26" s="76"/>
    </row>
    <row r="27" spans="2:11" ht="13">
      <c r="B27" s="8" t="s">
        <v>17</v>
      </c>
      <c r="C27" s="9" t="s">
        <v>111</v>
      </c>
      <c r="D27" s="360">
        <v>-303807.81000000006</v>
      </c>
      <c r="E27" s="275">
        <v>-782560.69</v>
      </c>
      <c r="F27" s="73"/>
      <c r="G27" s="156"/>
      <c r="H27" s="293"/>
      <c r="I27" s="293"/>
      <c r="J27" s="219"/>
    </row>
    <row r="28" spans="2:11" ht="13">
      <c r="B28" s="8" t="s">
        <v>18</v>
      </c>
      <c r="C28" s="9" t="s">
        <v>19</v>
      </c>
      <c r="D28" s="360">
        <v>2850067.13</v>
      </c>
      <c r="E28" s="276">
        <v>2552111.56</v>
      </c>
      <c r="F28" s="73"/>
      <c r="G28" s="156"/>
      <c r="H28" s="293"/>
      <c r="I28" s="293"/>
      <c r="J28" s="219"/>
    </row>
    <row r="29" spans="2:11">
      <c r="B29" s="107" t="s">
        <v>4</v>
      </c>
      <c r="C29" s="5" t="s">
        <v>20</v>
      </c>
      <c r="D29" s="361">
        <v>2502790.46</v>
      </c>
      <c r="E29" s="277">
        <v>2397740.2800000003</v>
      </c>
      <c r="F29" s="73"/>
      <c r="G29" s="156"/>
      <c r="H29" s="293"/>
      <c r="I29" s="293"/>
      <c r="J29" s="219"/>
    </row>
    <row r="30" spans="2:11">
      <c r="B30" s="107" t="s">
        <v>6</v>
      </c>
      <c r="C30" s="5" t="s">
        <v>21</v>
      </c>
      <c r="D30" s="361"/>
      <c r="E30" s="277"/>
      <c r="F30" s="73"/>
      <c r="G30" s="156"/>
      <c r="H30" s="293"/>
      <c r="I30" s="293"/>
      <c r="J30" s="219"/>
    </row>
    <row r="31" spans="2:11">
      <c r="B31" s="107" t="s">
        <v>8</v>
      </c>
      <c r="C31" s="5" t="s">
        <v>22</v>
      </c>
      <c r="D31" s="361">
        <v>347276.67</v>
      </c>
      <c r="E31" s="277">
        <v>154371.28</v>
      </c>
      <c r="F31" s="73"/>
      <c r="G31" s="156"/>
      <c r="H31" s="293"/>
      <c r="I31" s="293"/>
      <c r="J31" s="219"/>
    </row>
    <row r="32" spans="2:11" ht="13">
      <c r="B32" s="95" t="s">
        <v>23</v>
      </c>
      <c r="C32" s="10" t="s">
        <v>24</v>
      </c>
      <c r="D32" s="360">
        <v>3153874.94</v>
      </c>
      <c r="E32" s="276">
        <v>3334672.25</v>
      </c>
      <c r="F32" s="73"/>
      <c r="G32" s="156"/>
      <c r="H32" s="293"/>
      <c r="I32" s="293"/>
      <c r="J32" s="219"/>
    </row>
    <row r="33" spans="2:10">
      <c r="B33" s="107" t="s">
        <v>4</v>
      </c>
      <c r="C33" s="5" t="s">
        <v>25</v>
      </c>
      <c r="D33" s="361">
        <v>1855480.8800000001</v>
      </c>
      <c r="E33" s="277">
        <v>2315908.38</v>
      </c>
      <c r="F33" s="73"/>
      <c r="G33" s="156"/>
      <c r="H33" s="293"/>
      <c r="I33" s="293"/>
      <c r="J33" s="219"/>
    </row>
    <row r="34" spans="2:10">
      <c r="B34" s="107" t="s">
        <v>6</v>
      </c>
      <c r="C34" s="5" t="s">
        <v>26</v>
      </c>
      <c r="D34" s="361"/>
      <c r="E34" s="277"/>
      <c r="F34" s="73"/>
      <c r="G34" s="156"/>
      <c r="H34" s="293"/>
      <c r="I34" s="293"/>
      <c r="J34" s="219"/>
    </row>
    <row r="35" spans="2:10">
      <c r="B35" s="107" t="s">
        <v>8</v>
      </c>
      <c r="C35" s="5" t="s">
        <v>27</v>
      </c>
      <c r="D35" s="361">
        <v>453692.62</v>
      </c>
      <c r="E35" s="277">
        <v>444472.02</v>
      </c>
      <c r="F35" s="73"/>
      <c r="G35" s="156"/>
      <c r="H35" s="293"/>
      <c r="I35" s="293"/>
      <c r="J35" s="219"/>
    </row>
    <row r="36" spans="2:10">
      <c r="B36" s="107" t="s">
        <v>9</v>
      </c>
      <c r="C36" s="5" t="s">
        <v>28</v>
      </c>
      <c r="D36" s="361"/>
      <c r="E36" s="277"/>
      <c r="F36" s="73"/>
      <c r="G36" s="156"/>
      <c r="H36" s="293"/>
      <c r="I36" s="293"/>
      <c r="J36" s="219"/>
    </row>
    <row r="37" spans="2:10" ht="25">
      <c r="B37" s="107" t="s">
        <v>29</v>
      </c>
      <c r="C37" s="5" t="s">
        <v>30</v>
      </c>
      <c r="D37" s="361"/>
      <c r="E37" s="277"/>
      <c r="F37" s="73"/>
      <c r="G37" s="156"/>
      <c r="H37" s="293"/>
      <c r="I37" s="293"/>
      <c r="J37" s="219"/>
    </row>
    <row r="38" spans="2:10">
      <c r="B38" s="107" t="s">
        <v>31</v>
      </c>
      <c r="C38" s="5" t="s">
        <v>32</v>
      </c>
      <c r="D38" s="361"/>
      <c r="E38" s="277"/>
      <c r="F38" s="73"/>
      <c r="G38" s="156"/>
      <c r="H38" s="293"/>
      <c r="I38" s="293"/>
      <c r="J38" s="219"/>
    </row>
    <row r="39" spans="2:10">
      <c r="B39" s="108" t="s">
        <v>33</v>
      </c>
      <c r="C39" s="11" t="s">
        <v>34</v>
      </c>
      <c r="D39" s="362">
        <v>844701.44</v>
      </c>
      <c r="E39" s="278">
        <v>574291.85</v>
      </c>
      <c r="F39" s="73"/>
      <c r="G39" s="156"/>
      <c r="H39" s="293"/>
      <c r="I39" s="293"/>
      <c r="J39" s="219"/>
    </row>
    <row r="40" spans="2:10" ht="13.5" thickBot="1">
      <c r="B40" s="100" t="s">
        <v>35</v>
      </c>
      <c r="C40" s="101" t="s">
        <v>36</v>
      </c>
      <c r="D40" s="363">
        <v>3572590.89</v>
      </c>
      <c r="E40" s="279">
        <v>4284425.2300000004</v>
      </c>
      <c r="G40" s="76"/>
    </row>
    <row r="41" spans="2:10" ht="13.5" thickBot="1">
      <c r="B41" s="102" t="s">
        <v>37</v>
      </c>
      <c r="C41" s="103" t="s">
        <v>38</v>
      </c>
      <c r="D41" s="364">
        <v>20219465.690000001</v>
      </c>
      <c r="E41" s="151">
        <f>E26+E27+E40</f>
        <v>23721330.229999997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7.2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1635876.2345</v>
      </c>
      <c r="E47" s="309">
        <v>1603556.5158000002</v>
      </c>
      <c r="G47" s="203"/>
    </row>
    <row r="48" spans="2:10">
      <c r="B48" s="126" t="s">
        <v>6</v>
      </c>
      <c r="C48" s="21" t="s">
        <v>41</v>
      </c>
      <c r="D48" s="371">
        <v>1603556.5158000002</v>
      </c>
      <c r="E48" s="380">
        <v>1552941.4571</v>
      </c>
      <c r="G48" s="206"/>
      <c r="I48" s="206"/>
      <c r="J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10.361800000000001</v>
      </c>
      <c r="E50" s="309">
        <v>12.6091</v>
      </c>
      <c r="G50" s="220"/>
    </row>
    <row r="51" spans="2:7">
      <c r="B51" s="105" t="s">
        <v>6</v>
      </c>
      <c r="C51" s="14" t="s">
        <v>114</v>
      </c>
      <c r="D51" s="371">
        <v>7.0829000000000004</v>
      </c>
      <c r="E51" s="77">
        <v>12.6091</v>
      </c>
      <c r="G51" s="183"/>
    </row>
    <row r="52" spans="2:7" ht="12.75" customHeight="1">
      <c r="B52" s="105" t="s">
        <v>8</v>
      </c>
      <c r="C52" s="14" t="s">
        <v>115</v>
      </c>
      <c r="D52" s="371">
        <v>12.686999999999999</v>
      </c>
      <c r="E52" s="77">
        <v>16.292000000000002</v>
      </c>
    </row>
    <row r="53" spans="2:7" ht="13" thickBot="1">
      <c r="B53" s="106" t="s">
        <v>9</v>
      </c>
      <c r="C53" s="16" t="s">
        <v>41</v>
      </c>
      <c r="D53" s="369">
        <v>12.6091</v>
      </c>
      <c r="E53" s="280">
        <v>15.2751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23797706.59</v>
      </c>
      <c r="E58" s="30">
        <f>D58/E21</f>
        <v>1.0032197334322932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4" customHeight="1">
      <c r="B60" s="13" t="s">
        <v>6</v>
      </c>
      <c r="C60" s="14" t="s">
        <v>45</v>
      </c>
      <c r="D60" s="80">
        <v>0</v>
      </c>
      <c r="E60" s="81">
        <v>0</v>
      </c>
    </row>
    <row r="61" spans="2:7">
      <c r="B61" s="13" t="s">
        <v>8</v>
      </c>
      <c r="C61" s="14" t="s">
        <v>46</v>
      </c>
      <c r="D61" s="80">
        <v>0</v>
      </c>
      <c r="E61" s="81">
        <v>0</v>
      </c>
    </row>
    <row r="62" spans="2:7">
      <c r="B62" s="13" t="s">
        <v>9</v>
      </c>
      <c r="C62" s="14" t="s">
        <v>47</v>
      </c>
      <c r="D62" s="80">
        <v>0</v>
      </c>
      <c r="E62" s="81">
        <v>0</v>
      </c>
    </row>
    <row r="63" spans="2:7">
      <c r="B63" s="13" t="s">
        <v>29</v>
      </c>
      <c r="C63" s="14" t="s">
        <v>48</v>
      </c>
      <c r="D63" s="80">
        <v>0</v>
      </c>
      <c r="E63" s="81">
        <v>0</v>
      </c>
    </row>
    <row r="64" spans="2:7">
      <c r="B64" s="20" t="s">
        <v>31</v>
      </c>
      <c r="C64" s="21" t="s">
        <v>49</v>
      </c>
      <c r="D64" s="377">
        <f>24049398.91-312676.17</f>
        <v>23736722.739999998</v>
      </c>
      <c r="E64" s="83">
        <f>D64/E21</f>
        <v>1.0006488889893927</v>
      </c>
      <c r="G64" s="73"/>
    </row>
    <row r="65" spans="2:7">
      <c r="B65" s="20" t="s">
        <v>33</v>
      </c>
      <c r="C65" s="21" t="s">
        <v>118</v>
      </c>
      <c r="D65" s="82">
        <v>0</v>
      </c>
      <c r="E65" s="83">
        <v>0</v>
      </c>
    </row>
    <row r="66" spans="2:7">
      <c r="B66" s="20" t="s">
        <v>50</v>
      </c>
      <c r="C66" s="21" t="s">
        <v>51</v>
      </c>
      <c r="D66" s="82">
        <v>0</v>
      </c>
      <c r="E66" s="83">
        <v>0</v>
      </c>
    </row>
    <row r="67" spans="2:7">
      <c r="B67" s="13" t="s">
        <v>52</v>
      </c>
      <c r="C67" s="14" t="s">
        <v>53</v>
      </c>
      <c r="D67" s="80">
        <v>0</v>
      </c>
      <c r="E67" s="81">
        <v>0</v>
      </c>
      <c r="G67" s="73"/>
    </row>
    <row r="68" spans="2:7">
      <c r="B68" s="13" t="s">
        <v>54</v>
      </c>
      <c r="C68" s="14" t="s">
        <v>55</v>
      </c>
      <c r="D68" s="80">
        <v>0</v>
      </c>
      <c r="E68" s="81">
        <v>0</v>
      </c>
    </row>
    <row r="69" spans="2:7">
      <c r="B69" s="13" t="s">
        <v>56</v>
      </c>
      <c r="C69" s="14" t="s">
        <v>57</v>
      </c>
      <c r="D69" s="370">
        <v>60983.85</v>
      </c>
      <c r="E69" s="81">
        <f>D69/E21</f>
        <v>2.5708444429003675E-3</v>
      </c>
    </row>
    <row r="70" spans="2:7">
      <c r="B70" s="115" t="s">
        <v>58</v>
      </c>
      <c r="C70" s="116" t="s">
        <v>59</v>
      </c>
      <c r="D70" s="117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0.46</v>
      </c>
      <c r="E71" s="66">
        <v>0</v>
      </c>
    </row>
    <row r="72" spans="2:7" ht="13">
      <c r="B72" s="119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22" t="s">
        <v>62</v>
      </c>
      <c r="C73" s="23" t="s">
        <v>65</v>
      </c>
      <c r="D73" s="24">
        <f>E17</f>
        <v>76376.820000000007</v>
      </c>
      <c r="E73" s="25">
        <f>D73/E21</f>
        <v>3.2197528241231354E-3</v>
      </c>
    </row>
    <row r="74" spans="2:7" ht="13">
      <c r="B74" s="123" t="s">
        <v>64</v>
      </c>
      <c r="C74" s="124" t="s">
        <v>66</v>
      </c>
      <c r="D74" s="125">
        <f>D58+D71+D72-D73</f>
        <v>23721330.23</v>
      </c>
      <c r="E74" s="66">
        <f>E58+E72-E73</f>
        <v>0.99999998060817008</v>
      </c>
    </row>
    <row r="75" spans="2:7">
      <c r="B75" s="13" t="s">
        <v>4</v>
      </c>
      <c r="C75" s="14" t="s">
        <v>67</v>
      </c>
      <c r="D75" s="80">
        <f>D74</f>
        <v>23721330.23</v>
      </c>
      <c r="E75" s="81">
        <f>E74</f>
        <v>0.99999998060817008</v>
      </c>
    </row>
    <row r="76" spans="2:7">
      <c r="B76" s="13" t="s">
        <v>6</v>
      </c>
      <c r="C76" s="14" t="s">
        <v>119</v>
      </c>
      <c r="D76" s="80">
        <v>0</v>
      </c>
      <c r="E76" s="81">
        <v>0</v>
      </c>
    </row>
    <row r="77" spans="2:7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5118110236220474" right="0.74803149606299213" top="0.51181102362204722" bottom="0.47244094488188981" header="0.51181102362204722" footer="0.51181102362204722"/>
  <pageSetup paperSize="9" scale="70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0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193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1071430.03</v>
      </c>
      <c r="E11" s="245">
        <f>SUM(E12:E14)</f>
        <v>1025660.89</v>
      </c>
    </row>
    <row r="12" spans="2:12">
      <c r="B12" s="184" t="s">
        <v>4</v>
      </c>
      <c r="C12" s="185" t="s">
        <v>5</v>
      </c>
      <c r="D12" s="300">
        <v>1071430.03</v>
      </c>
      <c r="E12" s="250">
        <v>1025660.89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1071430.03</v>
      </c>
      <c r="E21" s="151">
        <f>E11-E17</f>
        <v>1025660.89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1445908.38</v>
      </c>
      <c r="E26" s="239">
        <f>D21</f>
        <v>1071430.03</v>
      </c>
      <c r="G26" s="76"/>
    </row>
    <row r="27" spans="2:11" ht="13">
      <c r="B27" s="8" t="s">
        <v>17</v>
      </c>
      <c r="C27" s="9" t="s">
        <v>111</v>
      </c>
      <c r="D27" s="360">
        <v>-540457.39</v>
      </c>
      <c r="E27" s="275">
        <v>-329478.34999999998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540457.39</v>
      </c>
      <c r="E32" s="276">
        <v>329478.34999999998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>
        <v>308670.55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1310.97</v>
      </c>
      <c r="E35" s="277">
        <v>462.61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14929.69</v>
      </c>
      <c r="E37" s="277">
        <v>20345.189999999999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524216.73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165979.04</v>
      </c>
      <c r="E40" s="279">
        <v>283709.21000000002</v>
      </c>
      <c r="G40" s="76"/>
    </row>
    <row r="41" spans="2:10" ht="13.5" thickBot="1">
      <c r="B41" s="102" t="s">
        <v>37</v>
      </c>
      <c r="C41" s="103" t="s">
        <v>38</v>
      </c>
      <c r="D41" s="364">
        <v>1071430.0299999998</v>
      </c>
      <c r="E41" s="151">
        <f>E26+E27+E40</f>
        <v>1025660.8900000001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80417.596000000005</v>
      </c>
      <c r="E47" s="152">
        <v>49283.81</v>
      </c>
      <c r="G47" s="73"/>
    </row>
    <row r="48" spans="2:10">
      <c r="B48" s="197" t="s">
        <v>6</v>
      </c>
      <c r="C48" s="198" t="s">
        <v>41</v>
      </c>
      <c r="D48" s="371">
        <v>49283.81</v>
      </c>
      <c r="E48" s="152">
        <v>36814.82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17.98</v>
      </c>
      <c r="E50" s="152">
        <v>21.74</v>
      </c>
      <c r="G50" s="183"/>
    </row>
    <row r="51" spans="2:7">
      <c r="B51" s="195" t="s">
        <v>6</v>
      </c>
      <c r="C51" s="196" t="s">
        <v>114</v>
      </c>
      <c r="D51" s="371">
        <v>13.02</v>
      </c>
      <c r="E51" s="152">
        <v>21.74</v>
      </c>
      <c r="G51" s="183"/>
    </row>
    <row r="52" spans="2:7">
      <c r="B52" s="195" t="s">
        <v>8</v>
      </c>
      <c r="C52" s="196" t="s">
        <v>115</v>
      </c>
      <c r="D52" s="371">
        <v>21.76</v>
      </c>
      <c r="E52" s="77">
        <v>29.83</v>
      </c>
    </row>
    <row r="53" spans="2:7" ht="13.5" customHeight="1" thickBot="1">
      <c r="B53" s="199" t="s">
        <v>9</v>
      </c>
      <c r="C53" s="200" t="s">
        <v>41</v>
      </c>
      <c r="D53" s="369">
        <v>21.74</v>
      </c>
      <c r="E53" s="280">
        <v>27.86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1025660.89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1025660.89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1025660.89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1025660.89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1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81640625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194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23185.539999999997</v>
      </c>
      <c r="E11" s="245">
        <f>SUM(E12:E14)</f>
        <v>21237.33</v>
      </c>
    </row>
    <row r="12" spans="2:12">
      <c r="B12" s="184" t="s">
        <v>4</v>
      </c>
      <c r="C12" s="185" t="s">
        <v>5</v>
      </c>
      <c r="D12" s="300">
        <v>23185.539999999997</v>
      </c>
      <c r="E12" s="250">
        <v>21237.33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23185.539999999997</v>
      </c>
      <c r="E21" s="151">
        <f>E11-E17</f>
        <v>21237.33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16873.509999999998</v>
      </c>
      <c r="E26" s="239">
        <f>D21</f>
        <v>23185.539999999997</v>
      </c>
      <c r="G26" s="76"/>
    </row>
    <row r="27" spans="2:11" ht="13">
      <c r="B27" s="8" t="s">
        <v>17</v>
      </c>
      <c r="C27" s="9" t="s">
        <v>111</v>
      </c>
      <c r="D27" s="360">
        <v>5320.49</v>
      </c>
      <c r="E27" s="275">
        <v>-352.33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11545.64</v>
      </c>
      <c r="E28" s="276">
        <v>6335.62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6795.05</v>
      </c>
      <c r="E29" s="277">
        <v>6335.62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4750.59</v>
      </c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6225.15</v>
      </c>
      <c r="E32" s="276">
        <v>6687.95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2046.2</v>
      </c>
      <c r="E33" s="277">
        <v>4436.5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549.57000000000005</v>
      </c>
      <c r="E35" s="277">
        <v>586.22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182.47</v>
      </c>
      <c r="E37" s="277">
        <v>165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3446.91</v>
      </c>
      <c r="E39" s="278">
        <v>1500.23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991.54</v>
      </c>
      <c r="E40" s="279">
        <v>-1595.88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23185.54</v>
      </c>
      <c r="E41" s="151">
        <f>E26+E27+E40</f>
        <v>21237.329999999994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275.666</v>
      </c>
      <c r="E47" s="152">
        <v>361.42700000000002</v>
      </c>
      <c r="G47" s="73"/>
      <c r="H47" s="162"/>
    </row>
    <row r="48" spans="2:10">
      <c r="B48" s="197" t="s">
        <v>6</v>
      </c>
      <c r="C48" s="198" t="s">
        <v>41</v>
      </c>
      <c r="D48" s="371">
        <v>361.42700000000002</v>
      </c>
      <c r="E48" s="152">
        <v>356.75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61.21</v>
      </c>
      <c r="E50" s="152">
        <v>64.150000000000006</v>
      </c>
      <c r="G50" s="183"/>
    </row>
    <row r="51" spans="2:7">
      <c r="B51" s="195" t="s">
        <v>6</v>
      </c>
      <c r="C51" s="196" t="s">
        <v>114</v>
      </c>
      <c r="D51" s="371">
        <v>60.85</v>
      </c>
      <c r="E51" s="152">
        <v>59.5</v>
      </c>
      <c r="G51" s="183"/>
    </row>
    <row r="52" spans="2:7">
      <c r="B52" s="195" t="s">
        <v>8</v>
      </c>
      <c r="C52" s="196" t="s">
        <v>115</v>
      </c>
      <c r="D52" s="371">
        <v>64.22</v>
      </c>
      <c r="E52" s="77">
        <v>64.37</v>
      </c>
    </row>
    <row r="53" spans="2:7" ht="12.75" customHeight="1" thickBot="1">
      <c r="B53" s="199" t="s">
        <v>9</v>
      </c>
      <c r="C53" s="200" t="s">
        <v>41</v>
      </c>
      <c r="D53" s="369">
        <v>64.150000000000006</v>
      </c>
      <c r="E53" s="280">
        <v>59.53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21237.33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21237.33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21237.33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21237.33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2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218"/>
      <c r="I2" s="218"/>
      <c r="J2" s="219"/>
      <c r="L2" s="73"/>
    </row>
    <row r="3" spans="2:12" ht="15.5">
      <c r="B3" s="401" t="s">
        <v>257</v>
      </c>
      <c r="C3" s="401"/>
      <c r="D3" s="401"/>
      <c r="E3" s="401"/>
      <c r="H3" s="218"/>
      <c r="I3" s="218"/>
      <c r="J3" s="219"/>
    </row>
    <row r="4" spans="2:12" ht="14">
      <c r="B4" s="144"/>
      <c r="C4" s="144"/>
      <c r="D4" s="150"/>
      <c r="E4" s="150"/>
      <c r="H4" s="218"/>
      <c r="I4" s="218"/>
      <c r="J4" s="219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227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5389760.7599999998</v>
      </c>
      <c r="E11" s="245">
        <f>SUM(E12:E14)</f>
        <v>3057595.74</v>
      </c>
    </row>
    <row r="12" spans="2:12">
      <c r="B12" s="184" t="s">
        <v>4</v>
      </c>
      <c r="C12" s="185" t="s">
        <v>5</v>
      </c>
      <c r="D12" s="300">
        <v>5389760.7599999998</v>
      </c>
      <c r="E12" s="250">
        <v>3057595.74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5389760.7599999998</v>
      </c>
      <c r="E21" s="151">
        <f>E11-E17</f>
        <v>3057595.74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4476349.07</v>
      </c>
      <c r="E26" s="239">
        <f>D21</f>
        <v>5389760.7599999998</v>
      </c>
      <c r="G26" s="76"/>
    </row>
    <row r="27" spans="2:11" ht="13">
      <c r="B27" s="8" t="s">
        <v>17</v>
      </c>
      <c r="C27" s="9" t="s">
        <v>111</v>
      </c>
      <c r="D27" s="360">
        <v>813817.41</v>
      </c>
      <c r="E27" s="275">
        <v>-2280644.1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1963048.14</v>
      </c>
      <c r="E28" s="276">
        <v>99231.02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1963048.14</v>
      </c>
      <c r="E31" s="277">
        <v>99231.02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1149230.73</v>
      </c>
      <c r="E32" s="276">
        <v>2379875.12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443250.69</v>
      </c>
      <c r="E33" s="277">
        <v>2086544.95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15961.13</v>
      </c>
      <c r="E35" s="277">
        <v>13386.25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89072.65</v>
      </c>
      <c r="E37" s="277">
        <v>79992.91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600946.26</v>
      </c>
      <c r="E39" s="278">
        <v>199951.01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99594.28</v>
      </c>
      <c r="E40" s="279">
        <v>-51520.92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5389760.7600000007</v>
      </c>
      <c r="E41" s="151">
        <f>E26+E27+E40</f>
        <v>3057595.7399999998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22414.245999999999</v>
      </c>
      <c r="E47" s="152">
        <v>26534.86</v>
      </c>
      <c r="G47" s="73"/>
    </row>
    <row r="48" spans="2:10">
      <c r="B48" s="197" t="s">
        <v>6</v>
      </c>
      <c r="C48" s="198" t="s">
        <v>41</v>
      </c>
      <c r="D48" s="371">
        <v>26534.86</v>
      </c>
      <c r="E48" s="152">
        <v>15217.976000000001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199.71</v>
      </c>
      <c r="E50" s="152">
        <v>203.12</v>
      </c>
      <c r="G50" s="183"/>
    </row>
    <row r="51" spans="2:7">
      <c r="B51" s="195" t="s">
        <v>6</v>
      </c>
      <c r="C51" s="196" t="s">
        <v>114</v>
      </c>
      <c r="D51" s="371">
        <v>195.76</v>
      </c>
      <c r="E51" s="152">
        <v>199.7</v>
      </c>
      <c r="G51" s="183"/>
    </row>
    <row r="52" spans="2:7">
      <c r="B52" s="195" t="s">
        <v>8</v>
      </c>
      <c r="C52" s="196" t="s">
        <v>115</v>
      </c>
      <c r="D52" s="371">
        <v>203.37</v>
      </c>
      <c r="E52" s="77">
        <v>204.68</v>
      </c>
    </row>
    <row r="53" spans="2:7" ht="12.75" customHeight="1" thickBot="1">
      <c r="B53" s="199" t="s">
        <v>9</v>
      </c>
      <c r="C53" s="200" t="s">
        <v>41</v>
      </c>
      <c r="D53" s="369">
        <v>203.12</v>
      </c>
      <c r="E53" s="280">
        <v>200.92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3057595.74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3057595.74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3057595.74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3057595.74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3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228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9399837.5299999993</v>
      </c>
      <c r="E11" s="245">
        <f>SUM(E12:E14)</f>
        <v>4695240.93</v>
      </c>
    </row>
    <row r="12" spans="2:12">
      <c r="B12" s="184" t="s">
        <v>4</v>
      </c>
      <c r="C12" s="185" t="s">
        <v>5</v>
      </c>
      <c r="D12" s="300">
        <v>9399837.5299999993</v>
      </c>
      <c r="E12" s="250">
        <v>4695240.93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9399837.5299999993</v>
      </c>
      <c r="E21" s="151">
        <f>E11-E17</f>
        <v>4695240.93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5467492.3099999996</v>
      </c>
      <c r="E26" s="239">
        <f>D21</f>
        <v>9399837.5299999993</v>
      </c>
      <c r="G26" s="76"/>
    </row>
    <row r="27" spans="2:11" ht="13">
      <c r="B27" s="8" t="s">
        <v>17</v>
      </c>
      <c r="C27" s="9" t="s">
        <v>111</v>
      </c>
      <c r="D27" s="360">
        <v>3815126.97</v>
      </c>
      <c r="E27" s="275">
        <v>-4738739.1100000003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4341456.29</v>
      </c>
      <c r="E28" s="276">
        <v>0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4341456.29</v>
      </c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526329.31999999995</v>
      </c>
      <c r="E32" s="276">
        <v>4738739.1100000003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382904.29</v>
      </c>
      <c r="E33" s="277">
        <v>4622441.79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10577.58</v>
      </c>
      <c r="E35" s="277">
        <v>9965.74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132847.45000000001</v>
      </c>
      <c r="E37" s="277">
        <v>106331.58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117218.25</v>
      </c>
      <c r="E40" s="279">
        <v>34142.51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9399837.5299999993</v>
      </c>
      <c r="E41" s="151">
        <f>E26+E27+E40</f>
        <v>4695240.9299999988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473786.16200000001</v>
      </c>
      <c r="E47" s="152">
        <v>806853.00699999998</v>
      </c>
      <c r="G47" s="73"/>
    </row>
    <row r="48" spans="2:10">
      <c r="B48" s="197" t="s">
        <v>6</v>
      </c>
      <c r="C48" s="198" t="s">
        <v>41</v>
      </c>
      <c r="D48" s="371">
        <v>806853.00699999998</v>
      </c>
      <c r="E48" s="152">
        <v>403371.21399999998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11.54</v>
      </c>
      <c r="E50" s="152">
        <v>11.65</v>
      </c>
      <c r="G50" s="183"/>
    </row>
    <row r="51" spans="2:7">
      <c r="B51" s="195" t="s">
        <v>6</v>
      </c>
      <c r="C51" s="196" t="s">
        <v>114</v>
      </c>
      <c r="D51" s="371">
        <v>11.02</v>
      </c>
      <c r="E51" s="152">
        <v>11.55</v>
      </c>
      <c r="G51" s="183"/>
    </row>
    <row r="52" spans="2:7">
      <c r="B52" s="195" t="s">
        <v>8</v>
      </c>
      <c r="C52" s="196" t="s">
        <v>115</v>
      </c>
      <c r="D52" s="371">
        <v>11.67</v>
      </c>
      <c r="E52" s="77">
        <v>11.83</v>
      </c>
    </row>
    <row r="53" spans="2:7" ht="12.75" customHeight="1" thickBot="1">
      <c r="B53" s="199" t="s">
        <v>9</v>
      </c>
      <c r="C53" s="200" t="s">
        <v>41</v>
      </c>
      <c r="D53" s="369">
        <v>11.65</v>
      </c>
      <c r="E53" s="280">
        <v>11.64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4695240.93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4695240.93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4695240.93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4695240.93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249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202901.63</v>
      </c>
      <c r="E11" s="245">
        <f>SUM(E12:E14)</f>
        <v>192822.31</v>
      </c>
    </row>
    <row r="12" spans="2:12">
      <c r="B12" s="184" t="s">
        <v>4</v>
      </c>
      <c r="C12" s="185" t="s">
        <v>5</v>
      </c>
      <c r="D12" s="300">
        <v>202901.63</v>
      </c>
      <c r="E12" s="250">
        <v>192822.31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202901.63</v>
      </c>
      <c r="E21" s="151">
        <f>E11-E17</f>
        <v>192822.31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207089.8</v>
      </c>
      <c r="E26" s="239">
        <f>D21</f>
        <v>202901.63</v>
      </c>
      <c r="G26" s="76"/>
    </row>
    <row r="27" spans="2:11" ht="13">
      <c r="B27" s="8" t="s">
        <v>17</v>
      </c>
      <c r="C27" s="9" t="s">
        <v>111</v>
      </c>
      <c r="D27" s="360">
        <v>-3407.99</v>
      </c>
      <c r="E27" s="275">
        <v>-3222.87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3407.99</v>
      </c>
      <c r="E32" s="276">
        <v>3222.87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/>
      <c r="E35" s="277"/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3407.99</v>
      </c>
      <c r="E37" s="277">
        <v>3222.87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-780.18</v>
      </c>
      <c r="E40" s="279">
        <v>-6856.45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202901.63</v>
      </c>
      <c r="E41" s="151">
        <f>E26+E27+E40</f>
        <v>192822.31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17286.294000000002</v>
      </c>
      <c r="E47" s="334">
        <v>16993.436000000002</v>
      </c>
      <c r="G47" s="73"/>
    </row>
    <row r="48" spans="2:10">
      <c r="B48" s="197" t="s">
        <v>6</v>
      </c>
      <c r="C48" s="198" t="s">
        <v>41</v>
      </c>
      <c r="D48" s="371">
        <v>16993.436000000002</v>
      </c>
      <c r="E48" s="152">
        <v>16723.530999999999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11.98</v>
      </c>
      <c r="E50" s="77">
        <v>11.94</v>
      </c>
      <c r="G50" s="183"/>
    </row>
    <row r="51" spans="2:7">
      <c r="B51" s="195" t="s">
        <v>6</v>
      </c>
      <c r="C51" s="196" t="s">
        <v>114</v>
      </c>
      <c r="D51" s="371">
        <v>10.5</v>
      </c>
      <c r="E51" s="77">
        <v>11.51</v>
      </c>
      <c r="G51" s="183"/>
    </row>
    <row r="52" spans="2:7">
      <c r="B52" s="195" t="s">
        <v>8</v>
      </c>
      <c r="C52" s="196" t="s">
        <v>115</v>
      </c>
      <c r="D52" s="371">
        <v>12.04</v>
      </c>
      <c r="E52" s="77">
        <v>12.15</v>
      </c>
    </row>
    <row r="53" spans="2:7" ht="14.25" customHeight="1" thickBot="1">
      <c r="B53" s="199" t="s">
        <v>9</v>
      </c>
      <c r="C53" s="200" t="s">
        <v>41</v>
      </c>
      <c r="D53" s="369">
        <v>11.94</v>
      </c>
      <c r="E53" s="280">
        <v>11.53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192822.31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192822.31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192822.31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192822.31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1.269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195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166157.74</v>
      </c>
      <c r="E11" s="245">
        <f>SUM(E12:E14)</f>
        <v>142750.63</v>
      </c>
    </row>
    <row r="12" spans="2:12">
      <c r="B12" s="184" t="s">
        <v>4</v>
      </c>
      <c r="C12" s="185" t="s">
        <v>5</v>
      </c>
      <c r="D12" s="300">
        <v>166157.74</v>
      </c>
      <c r="E12" s="250">
        <v>142750.63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166157.74</v>
      </c>
      <c r="E21" s="151">
        <f>E11-E17</f>
        <v>142750.63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253284.17</v>
      </c>
      <c r="E26" s="239">
        <f>D21</f>
        <v>166157.74</v>
      </c>
      <c r="G26" s="76"/>
    </row>
    <row r="27" spans="2:11" ht="13">
      <c r="B27" s="8" t="s">
        <v>17</v>
      </c>
      <c r="C27" s="9" t="s">
        <v>111</v>
      </c>
      <c r="D27" s="360">
        <v>-98278.650000000009</v>
      </c>
      <c r="E27" s="275">
        <v>-11997.22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98278.650000000009</v>
      </c>
      <c r="E32" s="276">
        <v>11997.22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93678.26</v>
      </c>
      <c r="E33" s="277">
        <v>9119.4600000000009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1098.57</v>
      </c>
      <c r="E35" s="277">
        <v>889.68000000000006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3501.82</v>
      </c>
      <c r="E37" s="277">
        <v>1987.8300000000002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>
        <v>0.25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11152.22</v>
      </c>
      <c r="E40" s="279">
        <v>-11409.89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166157.74000000002</v>
      </c>
      <c r="E41" s="151">
        <f>E26+E27+E40</f>
        <v>142750.63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19588.876</v>
      </c>
      <c r="E47" s="152">
        <v>12253.521000000001</v>
      </c>
      <c r="G47" s="73"/>
    </row>
    <row r="48" spans="2:10">
      <c r="B48" s="197" t="s">
        <v>6</v>
      </c>
      <c r="C48" s="198" t="s">
        <v>41</v>
      </c>
      <c r="D48" s="371">
        <v>12253.521000000001</v>
      </c>
      <c r="E48" s="152">
        <v>11356.454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12.93</v>
      </c>
      <c r="E50" s="152">
        <v>13.56</v>
      </c>
      <c r="G50" s="183"/>
    </row>
    <row r="51" spans="2:7">
      <c r="B51" s="195" t="s">
        <v>6</v>
      </c>
      <c r="C51" s="196" t="s">
        <v>114</v>
      </c>
      <c r="D51" s="371">
        <v>12.82</v>
      </c>
      <c r="E51" s="152">
        <v>12.56</v>
      </c>
      <c r="G51" s="183"/>
    </row>
    <row r="52" spans="2:7">
      <c r="B52" s="195" t="s">
        <v>8</v>
      </c>
      <c r="C52" s="196" t="s">
        <v>115</v>
      </c>
      <c r="D52" s="371">
        <v>13.57</v>
      </c>
      <c r="E52" s="77">
        <v>13.61</v>
      </c>
    </row>
    <row r="53" spans="2:7" ht="13.5" customHeight="1" thickBot="1">
      <c r="B53" s="199" t="s">
        <v>9</v>
      </c>
      <c r="C53" s="200" t="s">
        <v>41</v>
      </c>
      <c r="D53" s="369">
        <v>13.56</v>
      </c>
      <c r="E53" s="280">
        <v>12.57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142750.63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142750.63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142750.63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142750.63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6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196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8591.7800000000007</v>
      </c>
      <c r="E11" s="245">
        <f>SUM(E12:E14)</f>
        <v>10734.88</v>
      </c>
    </row>
    <row r="12" spans="2:12">
      <c r="B12" s="184" t="s">
        <v>4</v>
      </c>
      <c r="C12" s="185" t="s">
        <v>5</v>
      </c>
      <c r="D12" s="300">
        <v>8591.7800000000007</v>
      </c>
      <c r="E12" s="250">
        <v>10734.88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8591.7800000000007</v>
      </c>
      <c r="E21" s="151">
        <f>E11-E17</f>
        <v>10734.88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1059.5899999999999</v>
      </c>
      <c r="E26" s="239">
        <f>D21</f>
        <v>8591.7800000000007</v>
      </c>
      <c r="G26" s="76"/>
    </row>
    <row r="27" spans="2:11" ht="13">
      <c r="B27" s="8" t="s">
        <v>17</v>
      </c>
      <c r="C27" s="9" t="s">
        <v>111</v>
      </c>
      <c r="D27" s="360">
        <v>6416.41</v>
      </c>
      <c r="E27" s="275">
        <v>-213.77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6477.3</v>
      </c>
      <c r="E28" s="276">
        <v>0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6477.3</v>
      </c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60.89</v>
      </c>
      <c r="E32" s="276">
        <v>213.77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17.53</v>
      </c>
      <c r="E35" s="277">
        <v>72.09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43.36</v>
      </c>
      <c r="E37" s="277">
        <v>141.68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1115.78</v>
      </c>
      <c r="E40" s="279">
        <v>2356.87</v>
      </c>
      <c r="G40" s="76"/>
    </row>
    <row r="41" spans="2:10" ht="13.5" thickBot="1">
      <c r="B41" s="102" t="s">
        <v>37</v>
      </c>
      <c r="C41" s="103" t="s">
        <v>38</v>
      </c>
      <c r="D41" s="364">
        <v>8591.7800000000007</v>
      </c>
      <c r="E41" s="151">
        <f>E26+E27+E40</f>
        <v>10734.880000000001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99.212999999999994</v>
      </c>
      <c r="E47" s="152">
        <v>675.98599999999999</v>
      </c>
      <c r="G47" s="73"/>
    </row>
    <row r="48" spans="2:10">
      <c r="B48" s="197" t="s">
        <v>6</v>
      </c>
      <c r="C48" s="198" t="s">
        <v>41</v>
      </c>
      <c r="D48" s="371">
        <v>675.98599999999999</v>
      </c>
      <c r="E48" s="152">
        <v>661.83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10.68</v>
      </c>
      <c r="E50" s="152">
        <v>12.71</v>
      </c>
      <c r="G50" s="183"/>
    </row>
    <row r="51" spans="2:7">
      <c r="B51" s="195" t="s">
        <v>6</v>
      </c>
      <c r="C51" s="196" t="s">
        <v>114</v>
      </c>
      <c r="D51" s="371">
        <v>7.79</v>
      </c>
      <c r="E51" s="152">
        <v>12.71</v>
      </c>
      <c r="G51" s="183"/>
    </row>
    <row r="52" spans="2:7">
      <c r="B52" s="195" t="s">
        <v>8</v>
      </c>
      <c r="C52" s="196" t="s">
        <v>115</v>
      </c>
      <c r="D52" s="371">
        <v>12.75</v>
      </c>
      <c r="E52" s="77">
        <v>17.16</v>
      </c>
    </row>
    <row r="53" spans="2:7" ht="12.75" customHeight="1" thickBot="1">
      <c r="B53" s="199" t="s">
        <v>9</v>
      </c>
      <c r="C53" s="200" t="s">
        <v>41</v>
      </c>
      <c r="D53" s="369">
        <v>12.71</v>
      </c>
      <c r="E53" s="280">
        <v>16.22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10734.88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10734.88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10734.88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10734.88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9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197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678751.03</v>
      </c>
      <c r="E11" s="245">
        <f>SUM(E12:E14)</f>
        <v>724815.85</v>
      </c>
    </row>
    <row r="12" spans="2:12">
      <c r="B12" s="184" t="s">
        <v>4</v>
      </c>
      <c r="C12" s="185" t="s">
        <v>5</v>
      </c>
      <c r="D12" s="300">
        <v>678751.03</v>
      </c>
      <c r="E12" s="250">
        <v>724815.85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678751.03</v>
      </c>
      <c r="E21" s="151">
        <f>E11-E17</f>
        <v>724815.85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858890.75</v>
      </c>
      <c r="E26" s="239">
        <f>D21</f>
        <v>678751.03</v>
      </c>
      <c r="G26" s="76"/>
    </row>
    <row r="27" spans="2:11" ht="13">
      <c r="B27" s="8" t="s">
        <v>17</v>
      </c>
      <c r="C27" s="9" t="s">
        <v>111</v>
      </c>
      <c r="D27" s="360">
        <v>-220006.44</v>
      </c>
      <c r="E27" s="275">
        <v>-14782.93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220006.44</v>
      </c>
      <c r="E32" s="276">
        <v>14782.93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>
        <v>2427.02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2206.5500000000002</v>
      </c>
      <c r="E35" s="277">
        <v>1852.52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10145.959999999999</v>
      </c>
      <c r="E37" s="277">
        <v>10503.39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207653.93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39866.720000000001</v>
      </c>
      <c r="E40" s="279">
        <v>60847.75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678751.03</v>
      </c>
      <c r="E41" s="151">
        <f>E26+E27+E40</f>
        <v>724815.85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40210.241000000002</v>
      </c>
      <c r="E47" s="152">
        <v>29927.294000000002</v>
      </c>
      <c r="G47" s="73"/>
    </row>
    <row r="48" spans="2:10">
      <c r="B48" s="197" t="s">
        <v>6</v>
      </c>
      <c r="C48" s="198" t="s">
        <v>41</v>
      </c>
      <c r="D48" s="371">
        <v>29927.294000000002</v>
      </c>
      <c r="E48" s="152">
        <v>29309.172999999999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21.36</v>
      </c>
      <c r="E50" s="152">
        <v>22.68</v>
      </c>
      <c r="G50" s="183"/>
    </row>
    <row r="51" spans="2:7">
      <c r="B51" s="195" t="s">
        <v>6</v>
      </c>
      <c r="C51" s="196" t="s">
        <v>114</v>
      </c>
      <c r="D51" s="371">
        <v>17.02</v>
      </c>
      <c r="E51" s="77">
        <v>22.57</v>
      </c>
      <c r="G51" s="183"/>
    </row>
    <row r="52" spans="2:7">
      <c r="B52" s="195" t="s">
        <v>8</v>
      </c>
      <c r="C52" s="196" t="s">
        <v>115</v>
      </c>
      <c r="D52" s="371">
        <v>22.68</v>
      </c>
      <c r="E52" s="77">
        <v>24.78</v>
      </c>
    </row>
    <row r="53" spans="2:7" ht="12.75" customHeight="1" thickBot="1">
      <c r="B53" s="199" t="s">
        <v>9</v>
      </c>
      <c r="C53" s="200" t="s">
        <v>41</v>
      </c>
      <c r="D53" s="369">
        <v>22.68</v>
      </c>
      <c r="E53" s="280">
        <v>24.73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724815.85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724815.85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724815.85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724815.85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0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198</v>
      </c>
      <c r="C6" s="403"/>
      <c r="D6" s="403"/>
      <c r="E6" s="403"/>
    </row>
    <row r="7" spans="2:12" ht="14">
      <c r="B7" s="174"/>
      <c r="C7" s="174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75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115854.54</v>
      </c>
      <c r="E11" s="245">
        <f>SUM(E12:E14)</f>
        <v>131422.44</v>
      </c>
    </row>
    <row r="12" spans="2:12">
      <c r="B12" s="184" t="s">
        <v>4</v>
      </c>
      <c r="C12" s="185" t="s">
        <v>5</v>
      </c>
      <c r="D12" s="300">
        <v>115854.54</v>
      </c>
      <c r="E12" s="250">
        <v>131422.44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115854.54</v>
      </c>
      <c r="E21" s="151">
        <f>E11-E17</f>
        <v>131422.44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1707497.05</v>
      </c>
      <c r="E26" s="239">
        <f>D21</f>
        <v>115854.54</v>
      </c>
      <c r="G26" s="76"/>
    </row>
    <row r="27" spans="2:11" ht="13">
      <c r="B27" s="8" t="s">
        <v>17</v>
      </c>
      <c r="C27" s="9" t="s">
        <v>111</v>
      </c>
      <c r="D27" s="360">
        <v>-1529350.31</v>
      </c>
      <c r="E27" s="275">
        <v>-2958.54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1529350.31</v>
      </c>
      <c r="E32" s="276">
        <v>2958.54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1129.26</v>
      </c>
      <c r="E35" s="277">
        <v>943.09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6985.45</v>
      </c>
      <c r="E37" s="277">
        <v>2015.45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1521235.6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-62292.2</v>
      </c>
      <c r="E40" s="279">
        <v>18526.439999999999</v>
      </c>
      <c r="G40" s="76"/>
      <c r="H40" s="270"/>
    </row>
    <row r="41" spans="2:10" ht="13.5" thickBot="1">
      <c r="B41" s="102" t="s">
        <v>37</v>
      </c>
      <c r="C41" s="103" t="s">
        <v>38</v>
      </c>
      <c r="D41" s="364">
        <v>115854.54</v>
      </c>
      <c r="E41" s="151">
        <f>E26+E27+E40</f>
        <v>131422.44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132879.14799999999</v>
      </c>
      <c r="E47" s="152">
        <v>8383.107</v>
      </c>
      <c r="G47" s="73"/>
    </row>
    <row r="48" spans="2:10">
      <c r="B48" s="197" t="s">
        <v>6</v>
      </c>
      <c r="C48" s="198" t="s">
        <v>41</v>
      </c>
      <c r="D48" s="371">
        <v>8383.107</v>
      </c>
      <c r="E48" s="152">
        <v>8188.3140000000003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12.85</v>
      </c>
      <c r="E50" s="152">
        <v>13.82</v>
      </c>
      <c r="G50" s="183"/>
    </row>
    <row r="51" spans="2:7">
      <c r="B51" s="195" t="s">
        <v>6</v>
      </c>
      <c r="C51" s="196" t="s">
        <v>114</v>
      </c>
      <c r="D51" s="371">
        <v>8.6999999999999993</v>
      </c>
      <c r="E51" s="77">
        <v>13.77</v>
      </c>
      <c r="G51" s="183"/>
    </row>
    <row r="52" spans="2:7">
      <c r="B52" s="195" t="s">
        <v>8</v>
      </c>
      <c r="C52" s="196" t="s">
        <v>115</v>
      </c>
      <c r="D52" s="371">
        <v>13.84</v>
      </c>
      <c r="E52" s="77">
        <v>16.38</v>
      </c>
    </row>
    <row r="53" spans="2:7" ht="13" thickBot="1">
      <c r="B53" s="199" t="s">
        <v>9</v>
      </c>
      <c r="C53" s="200" t="s">
        <v>41</v>
      </c>
      <c r="D53" s="369">
        <v>13.82</v>
      </c>
      <c r="E53" s="280">
        <v>16.05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131422.44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131422.44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131422.44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131422.44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1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8.81640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199</v>
      </c>
      <c r="C6" s="403"/>
      <c r="D6" s="403"/>
      <c r="E6" s="403"/>
    </row>
    <row r="7" spans="2:12" ht="14">
      <c r="B7" s="213"/>
      <c r="C7" s="213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214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548513.01</v>
      </c>
      <c r="E11" s="245">
        <f>SUM(E12:E14)</f>
        <v>554119.96</v>
      </c>
    </row>
    <row r="12" spans="2:12">
      <c r="B12" s="184" t="s">
        <v>4</v>
      </c>
      <c r="C12" s="185" t="s">
        <v>5</v>
      </c>
      <c r="D12" s="300">
        <v>548513.01</v>
      </c>
      <c r="E12" s="250">
        <v>554119.96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548513.01</v>
      </c>
      <c r="E21" s="151">
        <f>E11-E17</f>
        <v>554119.96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1389309.54</v>
      </c>
      <c r="E26" s="239">
        <f>D21</f>
        <v>548513.01</v>
      </c>
      <c r="G26" s="76"/>
    </row>
    <row r="27" spans="2:11" ht="13">
      <c r="B27" s="8" t="s">
        <v>17</v>
      </c>
      <c r="C27" s="9" t="s">
        <v>111</v>
      </c>
      <c r="D27" s="360">
        <v>-839323.23</v>
      </c>
      <c r="E27" s="275">
        <v>-9257.6200000000008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839323.23</v>
      </c>
      <c r="E32" s="276">
        <v>9257.6200000000008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1899.99</v>
      </c>
      <c r="E35" s="277">
        <v>412.27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12002.84</v>
      </c>
      <c r="E37" s="277">
        <v>8845.35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825420.4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-1473.3</v>
      </c>
      <c r="E40" s="279">
        <v>14864.57</v>
      </c>
      <c r="G40" s="76"/>
    </row>
    <row r="41" spans="2:10" ht="13.5" thickBot="1">
      <c r="B41" s="102" t="s">
        <v>37</v>
      </c>
      <c r="C41" s="103" t="s">
        <v>38</v>
      </c>
      <c r="D41" s="364">
        <v>548513.01</v>
      </c>
      <c r="E41" s="151">
        <f>E26+E27+E40</f>
        <v>554119.96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114818.97</v>
      </c>
      <c r="E47" s="152">
        <v>45369.148999999998</v>
      </c>
      <c r="G47" s="73"/>
    </row>
    <row r="48" spans="2:10">
      <c r="B48" s="197" t="s">
        <v>6</v>
      </c>
      <c r="C48" s="198" t="s">
        <v>41</v>
      </c>
      <c r="D48" s="371">
        <v>45369.148999999998</v>
      </c>
      <c r="E48" s="152">
        <v>44615.133999999998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12.1</v>
      </c>
      <c r="E50" s="152">
        <v>12.09</v>
      </c>
      <c r="G50" s="183"/>
    </row>
    <row r="51" spans="2:7">
      <c r="B51" s="195" t="s">
        <v>6</v>
      </c>
      <c r="C51" s="196" t="s">
        <v>114</v>
      </c>
      <c r="D51" s="371">
        <v>9.7100000000000009</v>
      </c>
      <c r="E51" s="77">
        <v>12.06</v>
      </c>
      <c r="G51" s="183"/>
    </row>
    <row r="52" spans="2:7">
      <c r="B52" s="195" t="s">
        <v>8</v>
      </c>
      <c r="C52" s="196" t="s">
        <v>115</v>
      </c>
      <c r="D52" s="371">
        <v>12.3</v>
      </c>
      <c r="E52" s="77">
        <v>12.47</v>
      </c>
    </row>
    <row r="53" spans="2:7" ht="13" thickBot="1">
      <c r="B53" s="199" t="s">
        <v>9</v>
      </c>
      <c r="C53" s="200" t="s">
        <v>41</v>
      </c>
      <c r="D53" s="369">
        <v>12.09</v>
      </c>
      <c r="E53" s="280">
        <v>12.42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554119.96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554119.96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554119.96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554119.96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L81"/>
  <sheetViews>
    <sheetView zoomScale="78" zoomScaleNormal="78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7265625" customWidth="1"/>
    <col min="9" max="9" width="13.26953125" customWidth="1"/>
    <col min="10" max="10" width="13.54296875" customWidth="1"/>
    <col min="11" max="11" width="7.90625" customWidth="1"/>
    <col min="12" max="12" width="12.45312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.25" customHeight="1">
      <c r="B6" s="403" t="s">
        <v>101</v>
      </c>
      <c r="C6" s="403"/>
      <c r="D6" s="403"/>
      <c r="E6" s="403"/>
    </row>
    <row r="7" spans="2:12" ht="14">
      <c r="B7" s="263"/>
      <c r="C7" s="263"/>
      <c r="D7" s="336"/>
      <c r="E7" s="336"/>
    </row>
    <row r="8" spans="2:12" ht="13.5" customHeight="1">
      <c r="B8" s="405" t="s">
        <v>18</v>
      </c>
      <c r="C8" s="416"/>
      <c r="D8" s="416"/>
      <c r="E8" s="416"/>
    </row>
    <row r="9" spans="2:12" ht="16.5" customHeight="1" thickBot="1">
      <c r="B9" s="404" t="s">
        <v>103</v>
      </c>
      <c r="C9" s="404"/>
      <c r="D9" s="404"/>
      <c r="E9" s="404"/>
    </row>
    <row r="10" spans="2:12" ht="13.5" thickBot="1">
      <c r="B10" s="264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721348.93</v>
      </c>
      <c r="E11" s="245">
        <f>SUM(E12:E14)</f>
        <v>797060.92999999993</v>
      </c>
    </row>
    <row r="12" spans="2:12">
      <c r="B12" s="109" t="s">
        <v>4</v>
      </c>
      <c r="C12" s="208" t="s">
        <v>5</v>
      </c>
      <c r="D12" s="300">
        <f>705809.33+15993.15-560.98</f>
        <v>721241.5</v>
      </c>
      <c r="E12" s="250">
        <f>783276.24+13567.59</f>
        <v>796843.83</v>
      </c>
      <c r="G12" s="73"/>
    </row>
    <row r="13" spans="2:12">
      <c r="B13" s="109" t="s">
        <v>6</v>
      </c>
      <c r="C13" s="208" t="s">
        <v>7</v>
      </c>
      <c r="D13" s="301"/>
      <c r="E13" s="251"/>
      <c r="G13" s="73"/>
    </row>
    <row r="14" spans="2:12">
      <c r="B14" s="109" t="s">
        <v>8</v>
      </c>
      <c r="C14" s="208" t="s">
        <v>10</v>
      </c>
      <c r="D14" s="301">
        <f>D15</f>
        <v>107.43</v>
      </c>
      <c r="E14" s="251">
        <f>E15</f>
        <v>217.1</v>
      </c>
      <c r="G14" s="73"/>
    </row>
    <row r="15" spans="2:12">
      <c r="B15" s="109" t="s">
        <v>106</v>
      </c>
      <c r="C15" s="208" t="s">
        <v>11</v>
      </c>
      <c r="D15" s="301">
        <v>107.43</v>
      </c>
      <c r="E15" s="251">
        <v>217.1</v>
      </c>
      <c r="G15" s="73"/>
    </row>
    <row r="16" spans="2:12">
      <c r="B16" s="110" t="s">
        <v>107</v>
      </c>
      <c r="C16" s="209" t="s">
        <v>12</v>
      </c>
      <c r="D16" s="302"/>
      <c r="E16" s="252"/>
      <c r="G16" s="73"/>
    </row>
    <row r="17" spans="2:11" ht="13">
      <c r="B17" s="8" t="s">
        <v>13</v>
      </c>
      <c r="C17" s="210" t="s">
        <v>65</v>
      </c>
      <c r="D17" s="303">
        <f>D18</f>
        <v>4094.2</v>
      </c>
      <c r="E17" s="253">
        <f>E18</f>
        <v>1524.7</v>
      </c>
      <c r="G17" s="73"/>
    </row>
    <row r="18" spans="2:11">
      <c r="B18" s="109" t="s">
        <v>4</v>
      </c>
      <c r="C18" s="208" t="s">
        <v>11</v>
      </c>
      <c r="D18" s="302">
        <v>4094.2</v>
      </c>
      <c r="E18" s="252">
        <v>1524.7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customHeight="1" thickBot="1">
      <c r="B21" s="412" t="s">
        <v>110</v>
      </c>
      <c r="C21" s="413"/>
      <c r="D21" s="305">
        <f>D11-D17</f>
        <v>717254.7300000001</v>
      </c>
      <c r="E21" s="151">
        <f>E11-E17</f>
        <v>795536.23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282"/>
      <c r="G22" s="73"/>
    </row>
    <row r="23" spans="2:11" ht="13.5" customHeight="1">
      <c r="B23" s="405" t="s">
        <v>104</v>
      </c>
      <c r="C23" s="417"/>
      <c r="D23" s="417"/>
      <c r="E23" s="417"/>
      <c r="G23" s="73"/>
    </row>
    <row r="24" spans="2:11" ht="18" customHeight="1" thickBot="1">
      <c r="B24" s="404" t="s">
        <v>105</v>
      </c>
      <c r="C24" s="418"/>
      <c r="D24" s="418"/>
      <c r="E24" s="418"/>
      <c r="K24" s="183"/>
    </row>
    <row r="25" spans="2:11" ht="13.5" thickBot="1">
      <c r="B25" s="264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621815.70000000007</v>
      </c>
      <c r="E26" s="239">
        <f>D21</f>
        <v>717254.7300000001</v>
      </c>
      <c r="G26" s="76"/>
    </row>
    <row r="27" spans="2:11" ht="13">
      <c r="B27" s="8" t="s">
        <v>17</v>
      </c>
      <c r="C27" s="9" t="s">
        <v>111</v>
      </c>
      <c r="D27" s="360">
        <v>-7693.75</v>
      </c>
      <c r="E27" s="275">
        <v>-25823.73</v>
      </c>
      <c r="F27" s="73"/>
      <c r="G27" s="156"/>
      <c r="H27" s="255"/>
      <c r="I27" s="255"/>
      <c r="J27" s="219"/>
    </row>
    <row r="28" spans="2:11" ht="13">
      <c r="B28" s="8" t="s">
        <v>18</v>
      </c>
      <c r="C28" s="9" t="s">
        <v>19</v>
      </c>
      <c r="D28" s="360">
        <v>271707.34999999998</v>
      </c>
      <c r="E28" s="276">
        <v>162988.51999999999</v>
      </c>
      <c r="F28" s="73"/>
      <c r="G28" s="156"/>
      <c r="H28" s="255"/>
      <c r="I28" s="255"/>
      <c r="J28" s="219"/>
    </row>
    <row r="29" spans="2:11">
      <c r="B29" s="107" t="s">
        <v>4</v>
      </c>
      <c r="C29" s="5" t="s">
        <v>20</v>
      </c>
      <c r="D29" s="361">
        <v>140788.35</v>
      </c>
      <c r="E29" s="277">
        <v>140391.66</v>
      </c>
      <c r="F29" s="73"/>
      <c r="G29" s="156"/>
      <c r="H29" s="255"/>
      <c r="I29" s="255"/>
      <c r="J29" s="219"/>
    </row>
    <row r="30" spans="2:11">
      <c r="B30" s="107" t="s">
        <v>6</v>
      </c>
      <c r="C30" s="5" t="s">
        <v>21</v>
      </c>
      <c r="D30" s="361"/>
      <c r="E30" s="277"/>
      <c r="F30" s="73"/>
      <c r="G30" s="156"/>
      <c r="H30" s="255"/>
      <c r="I30" s="255"/>
      <c r="J30" s="219"/>
    </row>
    <row r="31" spans="2:11">
      <c r="B31" s="107" t="s">
        <v>8</v>
      </c>
      <c r="C31" s="5" t="s">
        <v>22</v>
      </c>
      <c r="D31" s="361">
        <v>130919</v>
      </c>
      <c r="E31" s="277">
        <v>22596.86</v>
      </c>
      <c r="F31" s="73"/>
      <c r="G31" s="156"/>
      <c r="H31" s="255"/>
      <c r="I31" s="255"/>
      <c r="J31" s="219"/>
    </row>
    <row r="32" spans="2:11" ht="13">
      <c r="B32" s="95" t="s">
        <v>23</v>
      </c>
      <c r="C32" s="10" t="s">
        <v>24</v>
      </c>
      <c r="D32" s="360">
        <v>279401.09999999998</v>
      </c>
      <c r="E32" s="276">
        <v>188812.25</v>
      </c>
      <c r="F32" s="73"/>
      <c r="G32" s="156"/>
      <c r="H32" s="255"/>
      <c r="I32" s="255"/>
      <c r="J32" s="219"/>
    </row>
    <row r="33" spans="2:10">
      <c r="B33" s="107" t="s">
        <v>4</v>
      </c>
      <c r="C33" s="5" t="s">
        <v>25</v>
      </c>
      <c r="D33" s="361">
        <v>93971.5</v>
      </c>
      <c r="E33" s="277">
        <v>148970.56</v>
      </c>
      <c r="F33" s="73"/>
      <c r="G33" s="156"/>
      <c r="H33" s="255"/>
      <c r="I33" s="255"/>
      <c r="J33" s="219"/>
    </row>
    <row r="34" spans="2:10">
      <c r="B34" s="107" t="s">
        <v>6</v>
      </c>
      <c r="C34" s="5" t="s">
        <v>26</v>
      </c>
      <c r="D34" s="361"/>
      <c r="E34" s="277"/>
      <c r="F34" s="73"/>
      <c r="G34" s="156"/>
      <c r="H34" s="255"/>
      <c r="I34" s="255"/>
      <c r="J34" s="219"/>
    </row>
    <row r="35" spans="2:10">
      <c r="B35" s="107" t="s">
        <v>8</v>
      </c>
      <c r="C35" s="5" t="s">
        <v>27</v>
      </c>
      <c r="D35" s="361">
        <v>13246.68</v>
      </c>
      <c r="E35" s="277">
        <v>11768.51</v>
      </c>
      <c r="F35" s="73"/>
      <c r="G35" s="156"/>
      <c r="H35" s="255"/>
      <c r="I35" s="255"/>
      <c r="J35" s="219"/>
    </row>
    <row r="36" spans="2:10">
      <c r="B36" s="107" t="s">
        <v>9</v>
      </c>
      <c r="C36" s="5" t="s">
        <v>28</v>
      </c>
      <c r="D36" s="361"/>
      <c r="E36" s="277"/>
      <c r="F36" s="73"/>
      <c r="G36" s="156"/>
      <c r="H36" s="255"/>
      <c r="I36" s="255"/>
      <c r="J36" s="219"/>
    </row>
    <row r="37" spans="2:10" ht="25">
      <c r="B37" s="107" t="s">
        <v>29</v>
      </c>
      <c r="C37" s="5" t="s">
        <v>30</v>
      </c>
      <c r="D37" s="361"/>
      <c r="E37" s="277"/>
      <c r="F37" s="73"/>
      <c r="G37" s="156"/>
      <c r="H37" s="255"/>
      <c r="I37" s="255"/>
      <c r="J37" s="219"/>
    </row>
    <row r="38" spans="2:10">
      <c r="B38" s="107" t="s">
        <v>31</v>
      </c>
      <c r="C38" s="5" t="s">
        <v>32</v>
      </c>
      <c r="D38" s="361"/>
      <c r="E38" s="277"/>
      <c r="F38" s="73"/>
      <c r="G38" s="156"/>
      <c r="H38" s="255"/>
      <c r="I38" s="255"/>
      <c r="J38" s="219"/>
    </row>
    <row r="39" spans="2:10">
      <c r="B39" s="108" t="s">
        <v>33</v>
      </c>
      <c r="C39" s="11" t="s">
        <v>34</v>
      </c>
      <c r="D39" s="362">
        <v>172182.92</v>
      </c>
      <c r="E39" s="278">
        <v>28073.18</v>
      </c>
      <c r="F39" s="73"/>
      <c r="G39" s="156"/>
      <c r="H39" s="255"/>
      <c r="I39" s="255"/>
      <c r="J39" s="219"/>
    </row>
    <row r="40" spans="2:10" ht="13.5" thickBot="1">
      <c r="B40" s="100" t="s">
        <v>35</v>
      </c>
      <c r="C40" s="101" t="s">
        <v>36</v>
      </c>
      <c r="D40" s="363">
        <v>103132.78</v>
      </c>
      <c r="E40" s="279">
        <v>104105.23</v>
      </c>
      <c r="G40" s="76"/>
    </row>
    <row r="41" spans="2:10" ht="13.5" thickBot="1">
      <c r="B41" s="102" t="s">
        <v>37</v>
      </c>
      <c r="C41" s="103" t="s">
        <v>38</v>
      </c>
      <c r="D41" s="364">
        <v>717254.7300000001</v>
      </c>
      <c r="E41" s="151">
        <f>E26+E27+E40</f>
        <v>795536.2300000001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 customHeight="1">
      <c r="B43" s="406" t="s">
        <v>60</v>
      </c>
      <c r="C43" s="416"/>
      <c r="D43" s="416"/>
      <c r="E43" s="416"/>
      <c r="G43" s="73"/>
    </row>
    <row r="44" spans="2:10" ht="17.2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264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51026.936900000001</v>
      </c>
      <c r="E47" s="309">
        <v>50570.208599999998</v>
      </c>
      <c r="G47" s="203"/>
    </row>
    <row r="48" spans="2:10">
      <c r="B48" s="197" t="s">
        <v>6</v>
      </c>
      <c r="C48" s="198" t="s">
        <v>41</v>
      </c>
      <c r="D48" s="371">
        <v>50570.208599999998</v>
      </c>
      <c r="E48" s="380">
        <v>48978.652199999997</v>
      </c>
      <c r="G48" s="206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12.186</v>
      </c>
      <c r="E50" s="309">
        <v>14.183300000000001</v>
      </c>
      <c r="G50" s="220"/>
    </row>
    <row r="51" spans="2:7">
      <c r="B51" s="195" t="s">
        <v>6</v>
      </c>
      <c r="C51" s="196" t="s">
        <v>114</v>
      </c>
      <c r="D51" s="371">
        <v>8.6113999999999997</v>
      </c>
      <c r="E51" s="77">
        <v>14.183299999999999</v>
      </c>
      <c r="G51" s="183"/>
    </row>
    <row r="52" spans="2:7" ht="12.75" customHeight="1">
      <c r="B52" s="195" t="s">
        <v>8</v>
      </c>
      <c r="C52" s="196" t="s">
        <v>115</v>
      </c>
      <c r="D52" s="371">
        <v>14.1869</v>
      </c>
      <c r="E52" s="77">
        <v>16.608699999999999</v>
      </c>
    </row>
    <row r="53" spans="2:7" ht="13" thickBot="1">
      <c r="B53" s="199" t="s">
        <v>9</v>
      </c>
      <c r="C53" s="200" t="s">
        <v>41</v>
      </c>
      <c r="D53" s="369">
        <v>14.183300000000001</v>
      </c>
      <c r="E53" s="280">
        <v>16.2425</v>
      </c>
    </row>
    <row r="54" spans="2:7">
      <c r="B54" s="201"/>
      <c r="C54" s="202"/>
      <c r="D54" s="114"/>
      <c r="E54" s="114"/>
    </row>
    <row r="55" spans="2:7" ht="13.5" customHeight="1">
      <c r="B55" s="406" t="s">
        <v>62</v>
      </c>
      <c r="C55" s="407"/>
      <c r="D55" s="407"/>
      <c r="E55" s="407"/>
    </row>
    <row r="56" spans="2:7" ht="15.75" customHeight="1" thickBot="1">
      <c r="B56" s="404" t="s">
        <v>116</v>
      </c>
      <c r="C56" s="408"/>
      <c r="D56" s="408"/>
      <c r="E56" s="408"/>
    </row>
    <row r="57" spans="2:7" ht="23.25" customHeight="1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796843.83</v>
      </c>
      <c r="E58" s="30">
        <f>D58/E21</f>
        <v>1.0016436712128121</v>
      </c>
    </row>
    <row r="59" spans="2:7" ht="25">
      <c r="B59" s="313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314" t="s">
        <v>6</v>
      </c>
      <c r="C60" s="196" t="s">
        <v>45</v>
      </c>
      <c r="D60" s="80">
        <v>0</v>
      </c>
      <c r="E60" s="81">
        <v>0</v>
      </c>
    </row>
    <row r="61" spans="2:7">
      <c r="B61" s="314" t="s">
        <v>8</v>
      </c>
      <c r="C61" s="196" t="s">
        <v>46</v>
      </c>
      <c r="D61" s="80">
        <v>0</v>
      </c>
      <c r="E61" s="81">
        <v>0</v>
      </c>
    </row>
    <row r="62" spans="2:7">
      <c r="B62" s="314" t="s">
        <v>9</v>
      </c>
      <c r="C62" s="196" t="s">
        <v>47</v>
      </c>
      <c r="D62" s="80">
        <v>0</v>
      </c>
      <c r="E62" s="81">
        <v>0</v>
      </c>
    </row>
    <row r="63" spans="2:7">
      <c r="B63" s="314" t="s">
        <v>29</v>
      </c>
      <c r="C63" s="196" t="s">
        <v>48</v>
      </c>
      <c r="D63" s="80">
        <v>0</v>
      </c>
      <c r="E63" s="81">
        <v>0</v>
      </c>
    </row>
    <row r="64" spans="2:7">
      <c r="B64" s="313" t="s">
        <v>31</v>
      </c>
      <c r="C64" s="198" t="s">
        <v>49</v>
      </c>
      <c r="D64" s="377">
        <v>783276.24</v>
      </c>
      <c r="E64" s="83">
        <f>D64/E21</f>
        <v>0.98458902368280576</v>
      </c>
      <c r="G64" s="73"/>
    </row>
    <row r="65" spans="2:7">
      <c r="B65" s="313" t="s">
        <v>33</v>
      </c>
      <c r="C65" s="198" t="s">
        <v>118</v>
      </c>
      <c r="D65" s="82">
        <v>0</v>
      </c>
      <c r="E65" s="83">
        <v>0</v>
      </c>
    </row>
    <row r="66" spans="2:7">
      <c r="B66" s="313" t="s">
        <v>50</v>
      </c>
      <c r="C66" s="198" t="s">
        <v>51</v>
      </c>
      <c r="D66" s="82">
        <v>0</v>
      </c>
      <c r="E66" s="83">
        <v>0</v>
      </c>
      <c r="G66" s="73"/>
    </row>
    <row r="67" spans="2:7">
      <c r="B67" s="314" t="s">
        <v>52</v>
      </c>
      <c r="C67" s="196" t="s">
        <v>53</v>
      </c>
      <c r="D67" s="80">
        <v>0</v>
      </c>
      <c r="E67" s="81">
        <v>0</v>
      </c>
      <c r="G67" s="73"/>
    </row>
    <row r="68" spans="2:7">
      <c r="B68" s="314" t="s">
        <v>54</v>
      </c>
      <c r="C68" s="196" t="s">
        <v>55</v>
      </c>
      <c r="D68" s="80">
        <v>0</v>
      </c>
      <c r="E68" s="81">
        <v>0</v>
      </c>
    </row>
    <row r="69" spans="2:7">
      <c r="B69" s="314" t="s">
        <v>56</v>
      </c>
      <c r="C69" s="196" t="s">
        <v>57</v>
      </c>
      <c r="D69" s="370">
        <v>13567.59</v>
      </c>
      <c r="E69" s="81">
        <f>D69/E21</f>
        <v>1.7054647530006271E-2</v>
      </c>
    </row>
    <row r="70" spans="2:7">
      <c r="B70" s="315" t="s">
        <v>58</v>
      </c>
      <c r="C70" s="240" t="s">
        <v>59</v>
      </c>
      <c r="D70" s="117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0</v>
      </c>
      <c r="E71" s="66">
        <v>0</v>
      </c>
    </row>
    <row r="72" spans="2:7" ht="13">
      <c r="B72" s="119" t="s">
        <v>60</v>
      </c>
      <c r="C72" s="120" t="s">
        <v>63</v>
      </c>
      <c r="D72" s="121">
        <f>E14</f>
        <v>217.1</v>
      </c>
      <c r="E72" s="122">
        <f>D72/E21</f>
        <v>2.7289769065577316E-4</v>
      </c>
    </row>
    <row r="73" spans="2:7" ht="13">
      <c r="B73" s="22" t="s">
        <v>62</v>
      </c>
      <c r="C73" s="23" t="s">
        <v>65</v>
      </c>
      <c r="D73" s="24">
        <f>E17</f>
        <v>1524.7</v>
      </c>
      <c r="E73" s="25">
        <f>D73/E21</f>
        <v>1.9165689034677906E-3</v>
      </c>
    </row>
    <row r="74" spans="2:7" ht="13">
      <c r="B74" s="123" t="s">
        <v>64</v>
      </c>
      <c r="C74" s="124" t="s">
        <v>66</v>
      </c>
      <c r="D74" s="125">
        <f>D58+D71+D72-D73</f>
        <v>795536.23</v>
      </c>
      <c r="E74" s="66">
        <f>E58+E72-E73</f>
        <v>1.0000000000000002</v>
      </c>
    </row>
    <row r="75" spans="2:7">
      <c r="B75" s="314" t="s">
        <v>4</v>
      </c>
      <c r="C75" s="196" t="s">
        <v>67</v>
      </c>
      <c r="D75" s="80">
        <f>D74</f>
        <v>795536.23</v>
      </c>
      <c r="E75" s="81">
        <f>E74</f>
        <v>1.0000000000000002</v>
      </c>
    </row>
    <row r="76" spans="2:7">
      <c r="B76" s="314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316" t="s">
        <v>8</v>
      </c>
      <c r="C77" s="200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2" right="0.75" top="0.6" bottom="0.4" header="0.5" footer="0.5"/>
  <pageSetup paperSize="9" scale="70" orientation="portrait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2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81640625" customWidth="1"/>
    <col min="9" max="9" width="13.26953125" customWidth="1"/>
    <col min="10" max="10" width="13.54296875" customWidth="1"/>
    <col min="11" max="11" width="12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200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20567.25</v>
      </c>
      <c r="E11" s="245">
        <f>SUM(E12:E14)</f>
        <v>7721.54</v>
      </c>
    </row>
    <row r="12" spans="2:12">
      <c r="B12" s="184" t="s">
        <v>4</v>
      </c>
      <c r="C12" s="185" t="s">
        <v>5</v>
      </c>
      <c r="D12" s="300">
        <v>20567.25</v>
      </c>
      <c r="E12" s="250">
        <v>7721.54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20567.25</v>
      </c>
      <c r="E21" s="151">
        <f>E11-E17</f>
        <v>7721.54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117066.88</v>
      </c>
      <c r="E26" s="239">
        <f>D21</f>
        <v>20567.25</v>
      </c>
      <c r="G26" s="76"/>
    </row>
    <row r="27" spans="2:11" ht="13">
      <c r="B27" s="8" t="s">
        <v>17</v>
      </c>
      <c r="C27" s="9" t="s">
        <v>111</v>
      </c>
      <c r="D27" s="360">
        <v>-96511.51999999999</v>
      </c>
      <c r="E27" s="275">
        <v>-13791.14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85948.22</v>
      </c>
      <c r="E28" s="276">
        <v>10637.54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316.99</v>
      </c>
      <c r="E29" s="277">
        <v>194.31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85631.23</v>
      </c>
      <c r="E31" s="277">
        <v>10443.230000000001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182459.74</v>
      </c>
      <c r="E32" s="276">
        <v>24428.68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16898.41</v>
      </c>
      <c r="E33" s="277">
        <v>1943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151.06</v>
      </c>
      <c r="E35" s="277">
        <v>103.25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135.52000000000001</v>
      </c>
      <c r="E37" s="277">
        <v>56.61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165274.75</v>
      </c>
      <c r="E39" s="278">
        <v>22325.82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11.89</v>
      </c>
      <c r="E40" s="279">
        <v>945.43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20567.250000000015</v>
      </c>
      <c r="E41" s="151">
        <f>E26+E27+E40</f>
        <v>7721.5400000000009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1015.9410000000001</v>
      </c>
      <c r="E47" s="152">
        <v>185.37400000000002</v>
      </c>
      <c r="G47" s="73"/>
      <c r="H47" s="162"/>
    </row>
    <row r="48" spans="2:10">
      <c r="B48" s="197" t="s">
        <v>6</v>
      </c>
      <c r="C48" s="198" t="s">
        <v>41</v>
      </c>
      <c r="D48" s="371">
        <v>185.37400000000002</v>
      </c>
      <c r="E48" s="152">
        <v>61.649000000000001</v>
      </c>
      <c r="G48" s="162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115.23</v>
      </c>
      <c r="E50" s="152">
        <v>110.95</v>
      </c>
      <c r="G50" s="183"/>
    </row>
    <row r="51" spans="2:7">
      <c r="B51" s="195" t="s">
        <v>6</v>
      </c>
      <c r="C51" s="196" t="s">
        <v>114</v>
      </c>
      <c r="D51" s="371">
        <v>77.8</v>
      </c>
      <c r="E51" s="152">
        <v>109.45</v>
      </c>
      <c r="G51" s="183"/>
    </row>
    <row r="52" spans="2:7">
      <c r="B52" s="195" t="s">
        <v>8</v>
      </c>
      <c r="C52" s="196" t="s">
        <v>115</v>
      </c>
      <c r="D52" s="371">
        <v>119.11</v>
      </c>
      <c r="E52" s="77">
        <v>138.38</v>
      </c>
    </row>
    <row r="53" spans="2:7" ht="13.5" customHeight="1" thickBot="1">
      <c r="B53" s="199" t="s">
        <v>9</v>
      </c>
      <c r="C53" s="200" t="s">
        <v>41</v>
      </c>
      <c r="D53" s="369">
        <v>110.95</v>
      </c>
      <c r="E53" s="280">
        <v>125.25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7721.54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7721.54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7721.54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7721.54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3"/>
  <dimension ref="A1:L81"/>
  <sheetViews>
    <sheetView zoomScale="80" zoomScaleNormal="80" workbookViewId="0">
      <selection activeCell="K1" sqref="K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0.5429687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  <c r="H5" s="163"/>
      <c r="I5" s="163"/>
      <c r="J5" s="163"/>
    </row>
    <row r="6" spans="2:12" ht="14">
      <c r="B6" s="403" t="s">
        <v>201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520801.38999999996</v>
      </c>
      <c r="E11" s="245">
        <f>SUM(E12:E14)</f>
        <v>381423.37</v>
      </c>
    </row>
    <row r="12" spans="2:12">
      <c r="B12" s="184" t="s">
        <v>4</v>
      </c>
      <c r="C12" s="185" t="s">
        <v>5</v>
      </c>
      <c r="D12" s="300">
        <v>520801.38999999996</v>
      </c>
      <c r="E12" s="250">
        <v>381423.37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520801.38999999996</v>
      </c>
      <c r="E21" s="151">
        <f>E11-E17</f>
        <v>381423.37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530572.31000000006</v>
      </c>
      <c r="E26" s="239">
        <f>D21</f>
        <v>520801.38999999996</v>
      </c>
      <c r="G26" s="76"/>
    </row>
    <row r="27" spans="2:11" ht="13">
      <c r="B27" s="8" t="s">
        <v>17</v>
      </c>
      <c r="C27" s="9" t="s">
        <v>111</v>
      </c>
      <c r="D27" s="360">
        <v>-30075.42</v>
      </c>
      <c r="E27" s="275">
        <v>-96908.94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36244.86</v>
      </c>
      <c r="E28" s="276">
        <v>21808.260000000002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26672.21</v>
      </c>
      <c r="E29" s="277">
        <v>21439.16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9572.65</v>
      </c>
      <c r="E31" s="277">
        <v>369.1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66320.28</v>
      </c>
      <c r="E32" s="276">
        <v>118717.2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10963.28</v>
      </c>
      <c r="E33" s="277">
        <v>99004.99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2617.38</v>
      </c>
      <c r="E35" s="277">
        <v>2147.85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7733.28</v>
      </c>
      <c r="E37" s="277">
        <v>6856.4800000000005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45006.34</v>
      </c>
      <c r="E39" s="278">
        <v>10707.88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20304.5</v>
      </c>
      <c r="E40" s="279">
        <v>-42469.08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520801.39000000007</v>
      </c>
      <c r="E41" s="151">
        <f>E26+E27+E40</f>
        <v>381423.36999999994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2428.5819999999999</v>
      </c>
      <c r="E47" s="152">
        <v>2293.6730000000002</v>
      </c>
      <c r="G47" s="73"/>
      <c r="H47" s="162"/>
    </row>
    <row r="48" spans="2:10">
      <c r="B48" s="197" t="s">
        <v>6</v>
      </c>
      <c r="C48" s="198" t="s">
        <v>41</v>
      </c>
      <c r="D48" s="371">
        <v>2293.6730000000002</v>
      </c>
      <c r="E48" s="152">
        <v>1855.5329999999999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218.47</v>
      </c>
      <c r="E50" s="152">
        <v>227.06</v>
      </c>
      <c r="G50" s="183"/>
    </row>
    <row r="51" spans="2:7">
      <c r="B51" s="195" t="s">
        <v>6</v>
      </c>
      <c r="C51" s="196" t="s">
        <v>114</v>
      </c>
      <c r="D51" s="371">
        <v>215.49</v>
      </c>
      <c r="E51" s="152">
        <v>205.41</v>
      </c>
      <c r="G51" s="183"/>
    </row>
    <row r="52" spans="2:7">
      <c r="B52" s="195" t="s">
        <v>8</v>
      </c>
      <c r="C52" s="196" t="s">
        <v>115</v>
      </c>
      <c r="D52" s="371">
        <v>227.16</v>
      </c>
      <c r="E52" s="77">
        <v>227.72</v>
      </c>
    </row>
    <row r="53" spans="2:7" ht="13" thickBot="1">
      <c r="B53" s="199" t="s">
        <v>9</v>
      </c>
      <c r="C53" s="200" t="s">
        <v>41</v>
      </c>
      <c r="D53" s="369">
        <v>227.06</v>
      </c>
      <c r="E53" s="280">
        <v>205.56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381423.37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24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381423.37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381423.37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381423.37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" right="0.75" top="0.56000000000000005" bottom="0.59" header="0.5" footer="0.5"/>
  <pageSetup paperSize="9" scale="70" orientation="portrait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54296875" customWidth="1"/>
    <col min="9" max="9" width="13.26953125" customWidth="1"/>
    <col min="10" max="10" width="13.54296875" customWidth="1"/>
    <col min="11" max="11" width="14.45312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202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136870.95000000001</v>
      </c>
      <c r="E11" s="245">
        <f>SUM(E12:E14)</f>
        <v>152870.53</v>
      </c>
    </row>
    <row r="12" spans="2:12">
      <c r="B12" s="184" t="s">
        <v>4</v>
      </c>
      <c r="C12" s="185" t="s">
        <v>5</v>
      </c>
      <c r="D12" s="300">
        <v>136870.95000000001</v>
      </c>
      <c r="E12" s="250">
        <v>152870.53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136870.95000000001</v>
      </c>
      <c r="E21" s="151">
        <f>E11-E17</f>
        <v>152870.53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  <c r="I23" s="157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147532.22</v>
      </c>
      <c r="E26" s="239">
        <f>D21</f>
        <v>136870.95000000001</v>
      </c>
      <c r="G26" s="76"/>
    </row>
    <row r="27" spans="2:11" ht="13">
      <c r="B27" s="8" t="s">
        <v>17</v>
      </c>
      <c r="C27" s="9" t="s">
        <v>111</v>
      </c>
      <c r="D27" s="360">
        <v>-9709.7100000000028</v>
      </c>
      <c r="E27" s="275">
        <v>12000.95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20497.23</v>
      </c>
      <c r="E28" s="276">
        <v>19941.16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20497.23</v>
      </c>
      <c r="E29" s="277">
        <v>19941.16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30206.940000000002</v>
      </c>
      <c r="E32" s="276">
        <v>7940.21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21604.530000000002</v>
      </c>
      <c r="E33" s="277">
        <v>5303.3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2097.75</v>
      </c>
      <c r="E35" s="277">
        <v>1646.24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967.67</v>
      </c>
      <c r="E37" s="277">
        <v>990.67000000000007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5536.99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-951.56</v>
      </c>
      <c r="E40" s="279">
        <v>3998.63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136870.95000000001</v>
      </c>
      <c r="E41" s="151">
        <f>E26+E27+E40</f>
        <v>152870.53000000003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07"/>
      <c r="D43" s="407"/>
      <c r="E43" s="407"/>
      <c r="G43" s="73"/>
      <c r="H43" s="242"/>
    </row>
    <row r="44" spans="2:10" ht="18" customHeight="1" thickBot="1">
      <c r="B44" s="404" t="s">
        <v>121</v>
      </c>
      <c r="C44" s="408"/>
      <c r="D44" s="408"/>
      <c r="E44" s="408"/>
      <c r="G44" s="73"/>
      <c r="H44" s="242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914.81499999999994</v>
      </c>
      <c r="E47" s="323">
        <v>844.25699999999995</v>
      </c>
      <c r="G47" s="73"/>
      <c r="H47" s="162"/>
    </row>
    <row r="48" spans="2:10">
      <c r="B48" s="197" t="s">
        <v>6</v>
      </c>
      <c r="C48" s="198" t="s">
        <v>41</v>
      </c>
      <c r="D48" s="371">
        <v>844.25699999999995</v>
      </c>
      <c r="E48" s="323">
        <v>916.43499999999995</v>
      </c>
      <c r="G48" s="203"/>
    </row>
    <row r="49" spans="2:7" ht="13">
      <c r="B49" s="123" t="s">
        <v>23</v>
      </c>
      <c r="C49" s="127" t="s">
        <v>113</v>
      </c>
      <c r="D49" s="373"/>
      <c r="E49" s="306"/>
    </row>
    <row r="50" spans="2:7">
      <c r="B50" s="195" t="s">
        <v>4</v>
      </c>
      <c r="C50" s="196" t="s">
        <v>40</v>
      </c>
      <c r="D50" s="371">
        <v>161.27000000000001</v>
      </c>
      <c r="E50" s="324">
        <v>162.12</v>
      </c>
      <c r="G50" s="183"/>
    </row>
    <row r="51" spans="2:7">
      <c r="B51" s="195" t="s">
        <v>6</v>
      </c>
      <c r="C51" s="196" t="s">
        <v>114</v>
      </c>
      <c r="D51" s="371">
        <v>138.05000000000001</v>
      </c>
      <c r="E51" s="311">
        <v>161.16999999999999</v>
      </c>
      <c r="G51" s="183"/>
    </row>
    <row r="52" spans="2:7">
      <c r="B52" s="195" t="s">
        <v>8</v>
      </c>
      <c r="C52" s="196" t="s">
        <v>115</v>
      </c>
      <c r="D52" s="371">
        <v>162.4</v>
      </c>
      <c r="E52" s="311">
        <v>174.26</v>
      </c>
    </row>
    <row r="53" spans="2:7" ht="13.5" customHeight="1" thickBot="1">
      <c r="B53" s="199" t="s">
        <v>9</v>
      </c>
      <c r="C53" s="200" t="s">
        <v>41</v>
      </c>
      <c r="D53" s="369">
        <v>162.12</v>
      </c>
      <c r="E53" s="280">
        <v>166.81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152870.53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4.2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152870.53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5" ht="13">
      <c r="B74" s="133" t="s">
        <v>64</v>
      </c>
      <c r="C74" s="124" t="s">
        <v>66</v>
      </c>
      <c r="D74" s="125">
        <f>D58-D73</f>
        <v>152870.53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152870.53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1" right="0.75" top="0.55000000000000004" bottom="0.46" header="0.5" footer="0.5"/>
  <pageSetup paperSize="9" scale="70" orientation="portrait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45312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203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17248.93</v>
      </c>
      <c r="E11" s="245">
        <f>SUM(E12:E14)</f>
        <v>16674.27</v>
      </c>
    </row>
    <row r="12" spans="2:12">
      <c r="B12" s="184" t="s">
        <v>4</v>
      </c>
      <c r="C12" s="185" t="s">
        <v>5</v>
      </c>
      <c r="D12" s="300">
        <v>17248.93</v>
      </c>
      <c r="E12" s="250">
        <v>16674.27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17248.93</v>
      </c>
      <c r="E21" s="151">
        <f>E11-E17</f>
        <v>16674.27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  <c r="H25" s="157"/>
    </row>
    <row r="26" spans="2:11" ht="13">
      <c r="B26" s="98" t="s">
        <v>15</v>
      </c>
      <c r="C26" s="99" t="s">
        <v>16</v>
      </c>
      <c r="D26" s="359">
        <v>16934.560000000001</v>
      </c>
      <c r="E26" s="239">
        <f>D21</f>
        <v>17248.93</v>
      </c>
      <c r="G26" s="76"/>
    </row>
    <row r="27" spans="2:11" ht="13">
      <c r="B27" s="8" t="s">
        <v>17</v>
      </c>
      <c r="C27" s="9" t="s">
        <v>111</v>
      </c>
      <c r="D27" s="360">
        <v>263.55999999999949</v>
      </c>
      <c r="E27" s="275">
        <v>-1810.72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4872.93</v>
      </c>
      <c r="E28" s="276">
        <v>4102.66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4872.93</v>
      </c>
      <c r="E29" s="277">
        <v>4031.86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>
        <v>70.8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4609.3700000000008</v>
      </c>
      <c r="E32" s="276">
        <v>5913.38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1236.3800000000001</v>
      </c>
      <c r="E33" s="277">
        <v>5296.66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229.2</v>
      </c>
      <c r="E35" s="277">
        <v>262.75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115.72</v>
      </c>
      <c r="E37" s="277">
        <v>218.41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3028.07</v>
      </c>
      <c r="E39" s="278">
        <v>135.56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50.81</v>
      </c>
      <c r="E40" s="279">
        <v>1236.06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17248.930000000004</v>
      </c>
      <c r="E41" s="151">
        <f>E26+E27+E40</f>
        <v>16674.27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123.854</v>
      </c>
      <c r="E47" s="152">
        <v>127.383</v>
      </c>
      <c r="G47" s="73"/>
      <c r="H47" s="162"/>
    </row>
    <row r="48" spans="2:10">
      <c r="B48" s="197" t="s">
        <v>6</v>
      </c>
      <c r="C48" s="198" t="s">
        <v>41</v>
      </c>
      <c r="D48" s="371">
        <v>127.383</v>
      </c>
      <c r="E48" s="152">
        <v>114.31699999999999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136.72999999999999</v>
      </c>
      <c r="E50" s="152">
        <v>135.41</v>
      </c>
      <c r="G50" s="183"/>
    </row>
    <row r="51" spans="2:7">
      <c r="B51" s="195" t="s">
        <v>6</v>
      </c>
      <c r="C51" s="196" t="s">
        <v>114</v>
      </c>
      <c r="D51" s="371">
        <v>106.65</v>
      </c>
      <c r="E51" s="152">
        <v>134.34</v>
      </c>
      <c r="G51" s="183"/>
    </row>
    <row r="52" spans="2:7">
      <c r="B52" s="195" t="s">
        <v>8</v>
      </c>
      <c r="C52" s="196" t="s">
        <v>115</v>
      </c>
      <c r="D52" s="371">
        <v>138.30000000000001</v>
      </c>
      <c r="E52" s="77">
        <v>152.5</v>
      </c>
    </row>
    <row r="53" spans="2:7" ht="12.75" customHeight="1" thickBot="1">
      <c r="B53" s="199" t="s">
        <v>9</v>
      </c>
      <c r="C53" s="200" t="s">
        <v>41</v>
      </c>
      <c r="D53" s="369">
        <v>135.41</v>
      </c>
      <c r="E53" s="280">
        <v>145.86000000000001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16674.27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16674.27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16674.27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16674.27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" right="0.75" top="0.59" bottom="0.49" header="0.5" footer="0.5"/>
  <pageSetup paperSize="9" scale="70" orientation="portrait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2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264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53874.05</v>
      </c>
      <c r="E11" s="245">
        <f>SUM(E12:E14)</f>
        <v>63739.65</v>
      </c>
    </row>
    <row r="12" spans="2:12">
      <c r="B12" s="184" t="s">
        <v>4</v>
      </c>
      <c r="C12" s="185" t="s">
        <v>5</v>
      </c>
      <c r="D12" s="300">
        <v>53874.05</v>
      </c>
      <c r="E12" s="250">
        <v>63739.65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53874.05</v>
      </c>
      <c r="E21" s="151">
        <f>E11-E17</f>
        <v>63739.65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73412.56</v>
      </c>
      <c r="E26" s="239">
        <f>D21</f>
        <v>53874.05</v>
      </c>
      <c r="G26" s="76"/>
    </row>
    <row r="27" spans="2:11" ht="13">
      <c r="B27" s="8" t="s">
        <v>17</v>
      </c>
      <c r="C27" s="9" t="s">
        <v>111</v>
      </c>
      <c r="D27" s="360">
        <v>-13614.81</v>
      </c>
      <c r="E27" s="275">
        <v>-428.22</v>
      </c>
      <c r="F27" s="73"/>
      <c r="G27" s="256"/>
      <c r="H27" s="255"/>
      <c r="I27" s="76"/>
      <c r="J27" s="76"/>
    </row>
    <row r="28" spans="2:11" ht="13">
      <c r="B28" s="8" t="s">
        <v>18</v>
      </c>
      <c r="C28" s="9" t="s">
        <v>19</v>
      </c>
      <c r="D28" s="360">
        <v>47916.959999999999</v>
      </c>
      <c r="E28" s="277">
        <v>0</v>
      </c>
      <c r="F28" s="73"/>
      <c r="G28" s="255"/>
      <c r="H28" s="255"/>
      <c r="I28" s="76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255"/>
      <c r="H29" s="255"/>
      <c r="I29" s="76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255"/>
      <c r="H30" s="255"/>
      <c r="I30" s="76"/>
      <c r="J30" s="76"/>
    </row>
    <row r="31" spans="2:11" ht="13">
      <c r="B31" s="192" t="s">
        <v>8</v>
      </c>
      <c r="C31" s="185" t="s">
        <v>22</v>
      </c>
      <c r="D31" s="361">
        <v>47916.959999999999</v>
      </c>
      <c r="E31" s="277"/>
      <c r="F31" s="73"/>
      <c r="G31" s="255"/>
      <c r="H31" s="255"/>
      <c r="I31" s="76"/>
      <c r="J31" s="76"/>
    </row>
    <row r="32" spans="2:11" ht="13">
      <c r="B32" s="95" t="s">
        <v>23</v>
      </c>
      <c r="C32" s="10" t="s">
        <v>24</v>
      </c>
      <c r="D32" s="360">
        <v>61531.77</v>
      </c>
      <c r="E32" s="276">
        <v>428.22</v>
      </c>
      <c r="F32" s="73"/>
      <c r="G32" s="256"/>
      <c r="H32" s="255"/>
      <c r="I32" s="76"/>
      <c r="J32" s="76"/>
    </row>
    <row r="33" spans="2:10" ht="13">
      <c r="B33" s="192" t="s">
        <v>4</v>
      </c>
      <c r="C33" s="185" t="s">
        <v>25</v>
      </c>
      <c r="D33" s="361">
        <v>12483.06</v>
      </c>
      <c r="E33" s="277"/>
      <c r="F33" s="73"/>
      <c r="G33" s="255"/>
      <c r="H33" s="255"/>
      <c r="I33" s="76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255"/>
      <c r="H34" s="255"/>
      <c r="I34" s="76"/>
      <c r="J34" s="76"/>
    </row>
    <row r="35" spans="2:10" ht="13">
      <c r="B35" s="192" t="s">
        <v>8</v>
      </c>
      <c r="C35" s="185" t="s">
        <v>27</v>
      </c>
      <c r="D35" s="361">
        <v>567.41999999999996</v>
      </c>
      <c r="E35" s="277">
        <v>428.22</v>
      </c>
      <c r="F35" s="73"/>
      <c r="G35" s="255"/>
      <c r="H35" s="255"/>
      <c r="I35" s="76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255"/>
      <c r="H36" s="255"/>
      <c r="I36" s="76"/>
      <c r="J36" s="76"/>
    </row>
    <row r="37" spans="2:10" ht="25.5">
      <c r="B37" s="192" t="s">
        <v>29</v>
      </c>
      <c r="C37" s="185" t="s">
        <v>30</v>
      </c>
      <c r="D37" s="361">
        <v>485.29</v>
      </c>
      <c r="E37" s="277"/>
      <c r="F37" s="73"/>
      <c r="G37" s="255"/>
      <c r="H37" s="255"/>
      <c r="I37" s="76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255"/>
      <c r="H38" s="255"/>
      <c r="I38" s="76"/>
      <c r="J38" s="76"/>
    </row>
    <row r="39" spans="2:10" ht="13">
      <c r="B39" s="193" t="s">
        <v>33</v>
      </c>
      <c r="C39" s="194" t="s">
        <v>34</v>
      </c>
      <c r="D39" s="362">
        <v>47996</v>
      </c>
      <c r="E39" s="278"/>
      <c r="F39" s="73"/>
      <c r="G39" s="255"/>
      <c r="H39" s="255"/>
      <c r="I39" s="76"/>
      <c r="J39" s="76"/>
    </row>
    <row r="40" spans="2:10" ht="13.5" thickBot="1">
      <c r="B40" s="100" t="s">
        <v>35</v>
      </c>
      <c r="C40" s="101" t="s">
        <v>36</v>
      </c>
      <c r="D40" s="363">
        <v>-5923.7</v>
      </c>
      <c r="E40" s="279">
        <v>10293.82</v>
      </c>
      <c r="G40" s="76"/>
    </row>
    <row r="41" spans="2:10" ht="13.5" thickBot="1">
      <c r="B41" s="102" t="s">
        <v>37</v>
      </c>
      <c r="C41" s="103" t="s">
        <v>38</v>
      </c>
      <c r="D41" s="364">
        <v>53874.05</v>
      </c>
      <c r="E41" s="151">
        <f>E26+E27+E40</f>
        <v>63739.65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766.07069999999999</v>
      </c>
      <c r="E47" s="152">
        <v>954.70579999999995</v>
      </c>
      <c r="G47" s="73"/>
    </row>
    <row r="48" spans="2:10">
      <c r="B48" s="197" t="s">
        <v>6</v>
      </c>
      <c r="C48" s="198" t="s">
        <v>41</v>
      </c>
      <c r="D48" s="371">
        <v>954.70579999999995</v>
      </c>
      <c r="E48" s="152">
        <v>947.9425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95.83</v>
      </c>
      <c r="E50" s="152">
        <v>56.43</v>
      </c>
      <c r="G50" s="183"/>
    </row>
    <row r="51" spans="2:7">
      <c r="B51" s="195" t="s">
        <v>6</v>
      </c>
      <c r="C51" s="196" t="s">
        <v>114</v>
      </c>
      <c r="D51" s="371">
        <v>49.4</v>
      </c>
      <c r="E51" s="152">
        <v>56.33</v>
      </c>
      <c r="G51" s="183"/>
    </row>
    <row r="52" spans="2:7">
      <c r="B52" s="195" t="s">
        <v>8</v>
      </c>
      <c r="C52" s="196" t="s">
        <v>115</v>
      </c>
      <c r="D52" s="371">
        <v>56.83</v>
      </c>
      <c r="E52" s="77">
        <v>72.38</v>
      </c>
    </row>
    <row r="53" spans="2:7" ht="14.25" customHeight="1" thickBot="1">
      <c r="B53" s="199" t="s">
        <v>9</v>
      </c>
      <c r="C53" s="200" t="s">
        <v>41</v>
      </c>
      <c r="D53" s="369">
        <v>56.43</v>
      </c>
      <c r="E53" s="280">
        <v>67.239999999999995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63739.65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63739.65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63739.65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63739.65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204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573324.35</v>
      </c>
      <c r="E11" s="245">
        <f>SUM(E12:E14)</f>
        <v>608842.19999999995</v>
      </c>
    </row>
    <row r="12" spans="2:12">
      <c r="B12" s="184" t="s">
        <v>4</v>
      </c>
      <c r="C12" s="185" t="s">
        <v>5</v>
      </c>
      <c r="D12" s="300">
        <v>573324.35</v>
      </c>
      <c r="E12" s="250">
        <v>608842.19999999995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573324.35</v>
      </c>
      <c r="E21" s="151">
        <f>E11-E17</f>
        <v>608842.19999999995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650949.53</v>
      </c>
      <c r="E26" s="239">
        <f>D21</f>
        <v>573324.35</v>
      </c>
      <c r="G26" s="76"/>
    </row>
    <row r="27" spans="2:11" ht="13">
      <c r="B27" s="8" t="s">
        <v>17</v>
      </c>
      <c r="C27" s="9" t="s">
        <v>111</v>
      </c>
      <c r="D27" s="360">
        <v>-41506.61</v>
      </c>
      <c r="E27" s="275">
        <v>-10091.1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41506.61</v>
      </c>
      <c r="E32" s="276">
        <v>10091.1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891.33</v>
      </c>
      <c r="E35" s="277">
        <v>179.84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8922.2000000000007</v>
      </c>
      <c r="E37" s="277">
        <v>9911.26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31693.08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-36118.57</v>
      </c>
      <c r="E40" s="279">
        <v>45608.95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573324.35000000009</v>
      </c>
      <c r="E41" s="151">
        <f>E26+E27+E40</f>
        <v>608842.19999999995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8331.6208000000006</v>
      </c>
      <c r="E47" s="152">
        <v>7716.3438999999998</v>
      </c>
      <c r="G47" s="73"/>
    </row>
    <row r="48" spans="2:10">
      <c r="B48" s="197" t="s">
        <v>6</v>
      </c>
      <c r="C48" s="198" t="s">
        <v>41</v>
      </c>
      <c r="D48" s="371">
        <v>7716.3438999999998</v>
      </c>
      <c r="E48" s="152">
        <v>7591.5486000000001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78.13</v>
      </c>
      <c r="E50" s="152">
        <v>74.3</v>
      </c>
      <c r="G50" s="183"/>
    </row>
    <row r="51" spans="2:7">
      <c r="B51" s="195" t="s">
        <v>6</v>
      </c>
      <c r="C51" s="196" t="s">
        <v>114</v>
      </c>
      <c r="D51" s="371">
        <v>52.88</v>
      </c>
      <c r="E51" s="152">
        <v>71.98</v>
      </c>
      <c r="G51" s="183"/>
    </row>
    <row r="52" spans="2:7">
      <c r="B52" s="195" t="s">
        <v>8</v>
      </c>
      <c r="C52" s="196" t="s">
        <v>115</v>
      </c>
      <c r="D52" s="371">
        <v>79.569999999999993</v>
      </c>
      <c r="E52" s="77">
        <v>87.22</v>
      </c>
    </row>
    <row r="53" spans="2:7" ht="12.75" customHeight="1" thickBot="1">
      <c r="B53" s="199" t="s">
        <v>9</v>
      </c>
      <c r="C53" s="200" t="s">
        <v>41</v>
      </c>
      <c r="D53" s="369">
        <v>74.3</v>
      </c>
      <c r="E53" s="280">
        <v>80.2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608842.19999999995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608842.19999999995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608842.19999999995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608842.19999999995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8">
    <pageSetUpPr fitToPage="1"/>
  </sheetPr>
  <dimension ref="A1:L81"/>
  <sheetViews>
    <sheetView topLeftCell="A7" zoomScale="80" zoomScaleNormal="80" workbookViewId="0">
      <selection activeCell="G7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  <c r="H5" s="163"/>
      <c r="I5" s="163"/>
      <c r="J5" s="163"/>
    </row>
    <row r="6" spans="2:12" ht="14">
      <c r="B6" s="403" t="s">
        <v>205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341438.94</v>
      </c>
      <c r="E11" s="245">
        <f>SUM(E12:E14)</f>
        <v>406352.24</v>
      </c>
    </row>
    <row r="12" spans="2:12">
      <c r="B12" s="184" t="s">
        <v>4</v>
      </c>
      <c r="C12" s="185" t="s">
        <v>5</v>
      </c>
      <c r="D12" s="300">
        <v>341438.94</v>
      </c>
      <c r="E12" s="250">
        <v>406352.24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341438.94</v>
      </c>
      <c r="E21" s="151">
        <f>E11-E17</f>
        <v>406352.24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301945.83</v>
      </c>
      <c r="E26" s="239">
        <f>D21</f>
        <v>341438.94</v>
      </c>
      <c r="G26" s="76"/>
    </row>
    <row r="27" spans="2:11" ht="13">
      <c r="B27" s="8" t="s">
        <v>17</v>
      </c>
      <c r="C27" s="9" t="s">
        <v>111</v>
      </c>
      <c r="D27" s="360">
        <v>-60.049999999999272</v>
      </c>
      <c r="E27" s="275">
        <v>-12047.57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22274.41</v>
      </c>
      <c r="E28" s="276">
        <v>0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22274.41</v>
      </c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22334.46</v>
      </c>
      <c r="E32" s="276">
        <v>12047.57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498.97</v>
      </c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3.71</v>
      </c>
      <c r="E35" s="277">
        <v>1.1000000000000001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4772.71</v>
      </c>
      <c r="E37" s="277">
        <v>6388.87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17059.07</v>
      </c>
      <c r="E39" s="278">
        <v>5657.6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39553.160000000003</v>
      </c>
      <c r="E40" s="279">
        <v>76960.87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341438.94000000006</v>
      </c>
      <c r="E41" s="151">
        <f>E26+E27+E40</f>
        <v>406352.24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7962.7064</v>
      </c>
      <c r="E47" s="152">
        <v>7949.6842999999999</v>
      </c>
      <c r="G47" s="73"/>
    </row>
    <row r="48" spans="2:10">
      <c r="B48" s="197" t="s">
        <v>6</v>
      </c>
      <c r="C48" s="198" t="s">
        <v>41</v>
      </c>
      <c r="D48" s="371">
        <v>7949.6842999999999</v>
      </c>
      <c r="E48" s="152">
        <v>7698.9814999999999</v>
      </c>
      <c r="G48" s="162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37.92</v>
      </c>
      <c r="E50" s="152">
        <v>42.95</v>
      </c>
      <c r="G50" s="183"/>
    </row>
    <row r="51" spans="2:7">
      <c r="B51" s="195" t="s">
        <v>6</v>
      </c>
      <c r="C51" s="196" t="s">
        <v>114</v>
      </c>
      <c r="D51" s="371">
        <v>28.28</v>
      </c>
      <c r="E51" s="152">
        <v>42.95</v>
      </c>
      <c r="G51" s="183"/>
    </row>
    <row r="52" spans="2:7">
      <c r="B52" s="195" t="s">
        <v>8</v>
      </c>
      <c r="C52" s="196" t="s">
        <v>115</v>
      </c>
      <c r="D52" s="371">
        <v>43.12</v>
      </c>
      <c r="E52" s="77">
        <v>57.88</v>
      </c>
    </row>
    <row r="53" spans="2:7" ht="14.25" customHeight="1" thickBot="1">
      <c r="B53" s="199" t="s">
        <v>9</v>
      </c>
      <c r="C53" s="200" t="s">
        <v>41</v>
      </c>
      <c r="D53" s="369">
        <v>42.95</v>
      </c>
      <c r="E53" s="280">
        <v>52.78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406352.24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406352.24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406352.24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406352.24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9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206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3180363.24</v>
      </c>
      <c r="E11" s="245">
        <f>SUM(E12:E14)</f>
        <v>3553979.24</v>
      </c>
    </row>
    <row r="12" spans="2:12">
      <c r="B12" s="184" t="s">
        <v>4</v>
      </c>
      <c r="C12" s="185" t="s">
        <v>5</v>
      </c>
      <c r="D12" s="300">
        <v>3180363.24</v>
      </c>
      <c r="E12" s="250">
        <v>3553979.24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3180363.24</v>
      </c>
      <c r="E21" s="151">
        <f>E11-E17</f>
        <v>3553979.24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4965104.53</v>
      </c>
      <c r="E26" s="239">
        <f>D21</f>
        <v>3180363.24</v>
      </c>
      <c r="G26" s="76"/>
    </row>
    <row r="27" spans="2:11" ht="13">
      <c r="B27" s="8" t="s">
        <v>17</v>
      </c>
      <c r="C27" s="9" t="s">
        <v>111</v>
      </c>
      <c r="D27" s="360">
        <v>-1687103.35</v>
      </c>
      <c r="E27" s="275">
        <v>-173773.69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1687103.35</v>
      </c>
      <c r="E32" s="276">
        <v>173773.69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1011403.16</v>
      </c>
      <c r="E33" s="277">
        <v>82350.759999999995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48310.99</v>
      </c>
      <c r="E35" s="277">
        <v>37245.46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59339.74</v>
      </c>
      <c r="E37" s="277">
        <v>54177.47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568049.46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-97637.94</v>
      </c>
      <c r="E40" s="279">
        <v>547389.68999999994</v>
      </c>
      <c r="G40" s="76"/>
    </row>
    <row r="41" spans="2:10" ht="13.5" thickBot="1">
      <c r="B41" s="102" t="s">
        <v>37</v>
      </c>
      <c r="C41" s="103" t="s">
        <v>38</v>
      </c>
      <c r="D41" s="364">
        <v>3180363.24</v>
      </c>
      <c r="E41" s="151">
        <f>E26+E27+E40</f>
        <v>3553979.24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67442.332699999999</v>
      </c>
      <c r="E47" s="152">
        <v>43170.398300000001</v>
      </c>
      <c r="G47" s="73"/>
    </row>
    <row r="48" spans="2:10">
      <c r="B48" s="197" t="s">
        <v>6</v>
      </c>
      <c r="C48" s="198" t="s">
        <v>41</v>
      </c>
      <c r="D48" s="371">
        <v>43170.398300000001</v>
      </c>
      <c r="E48" s="152">
        <v>41015.340300000003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73.62</v>
      </c>
      <c r="E50" s="152">
        <v>73.67</v>
      </c>
      <c r="G50" s="183"/>
    </row>
    <row r="51" spans="2:7">
      <c r="B51" s="195" t="s">
        <v>6</v>
      </c>
      <c r="C51" s="196" t="s">
        <v>114</v>
      </c>
      <c r="D51" s="371">
        <v>56.45</v>
      </c>
      <c r="E51" s="152">
        <v>72.989999999999995</v>
      </c>
      <c r="G51" s="183"/>
    </row>
    <row r="52" spans="2:7">
      <c r="B52" s="195" t="s">
        <v>8</v>
      </c>
      <c r="C52" s="196" t="s">
        <v>115</v>
      </c>
      <c r="D52" s="371">
        <v>75.53</v>
      </c>
      <c r="E52" s="77">
        <v>86.65</v>
      </c>
    </row>
    <row r="53" spans="2:7" ht="14.25" customHeight="1" thickBot="1">
      <c r="B53" s="199" t="s">
        <v>9</v>
      </c>
      <c r="C53" s="200" t="s">
        <v>41</v>
      </c>
      <c r="D53" s="369">
        <v>73.67</v>
      </c>
      <c r="E53" s="280">
        <v>86.65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3553979.24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3553979.24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3553979.24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3553979.24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9055118110236227" right="0.74803149606299213" top="0.59055118110236227" bottom="0.47244094488188981" header="0.51181102362204722" footer="0.51181102362204722"/>
  <pageSetup paperSize="9" scale="70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/>
  <dimension ref="A1:L81"/>
  <sheetViews>
    <sheetView zoomScale="80" zoomScaleNormal="80" workbookViewId="0">
      <selection activeCell="A16" sqref="A1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1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207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394194.47</v>
      </c>
      <c r="E11" s="245">
        <f>SUM(E12:E14)</f>
        <v>189715.56</v>
      </c>
    </row>
    <row r="12" spans="2:12">
      <c r="B12" s="184" t="s">
        <v>4</v>
      </c>
      <c r="C12" s="185" t="s">
        <v>5</v>
      </c>
      <c r="D12" s="300">
        <v>394194.47</v>
      </c>
      <c r="E12" s="250">
        <v>189715.56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394194.47</v>
      </c>
      <c r="E21" s="151">
        <f>E11-E17</f>
        <v>189715.56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377328.9</v>
      </c>
      <c r="E26" s="239">
        <f>D21</f>
        <v>394194.47</v>
      </c>
      <c r="G26" s="76"/>
    </row>
    <row r="27" spans="2:11" ht="13">
      <c r="B27" s="8" t="s">
        <v>17</v>
      </c>
      <c r="C27" s="9" t="s">
        <v>111</v>
      </c>
      <c r="D27" s="360">
        <v>-3466.91</v>
      </c>
      <c r="E27" s="275">
        <v>-250207.08000000002</v>
      </c>
      <c r="F27" s="73"/>
      <c r="G27" s="256"/>
      <c r="H27" s="255"/>
      <c r="I27" s="76"/>
      <c r="J27" s="76"/>
    </row>
    <row r="28" spans="2:11" ht="13">
      <c r="B28" s="8" t="s">
        <v>18</v>
      </c>
      <c r="C28" s="9" t="s">
        <v>19</v>
      </c>
      <c r="D28" s="360">
        <v>333554.31</v>
      </c>
      <c r="E28" s="276">
        <v>0</v>
      </c>
      <c r="F28" s="73"/>
      <c r="G28" s="255"/>
      <c r="H28" s="255"/>
      <c r="I28" s="76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255"/>
      <c r="H29" s="255"/>
      <c r="I29" s="76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255"/>
      <c r="H30" s="255"/>
      <c r="I30" s="76"/>
      <c r="J30" s="76"/>
    </row>
    <row r="31" spans="2:11" ht="13">
      <c r="B31" s="192" t="s">
        <v>8</v>
      </c>
      <c r="C31" s="185" t="s">
        <v>22</v>
      </c>
      <c r="D31" s="361">
        <v>333554.31</v>
      </c>
      <c r="E31" s="277"/>
      <c r="F31" s="73"/>
      <c r="G31" s="255"/>
      <c r="H31" s="255"/>
      <c r="I31" s="76"/>
      <c r="J31" s="76"/>
    </row>
    <row r="32" spans="2:11" ht="13">
      <c r="B32" s="95" t="s">
        <v>23</v>
      </c>
      <c r="C32" s="10" t="s">
        <v>24</v>
      </c>
      <c r="D32" s="360">
        <v>337021.22</v>
      </c>
      <c r="E32" s="276">
        <v>250207.08000000002</v>
      </c>
      <c r="F32" s="73"/>
      <c r="G32" s="256"/>
      <c r="H32" s="255"/>
      <c r="I32" s="76"/>
      <c r="J32" s="76"/>
    </row>
    <row r="33" spans="2:10" ht="13">
      <c r="B33" s="192" t="s">
        <v>4</v>
      </c>
      <c r="C33" s="185" t="s">
        <v>25</v>
      </c>
      <c r="D33" s="361"/>
      <c r="E33" s="277">
        <v>250207.08000000002</v>
      </c>
      <c r="F33" s="73"/>
      <c r="G33" s="255"/>
      <c r="H33" s="255"/>
      <c r="I33" s="76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255"/>
      <c r="H34" s="255"/>
      <c r="I34" s="76"/>
      <c r="J34" s="76"/>
    </row>
    <row r="35" spans="2:10" ht="13">
      <c r="B35" s="192" t="s">
        <v>8</v>
      </c>
      <c r="C35" s="185" t="s">
        <v>27</v>
      </c>
      <c r="D35" s="361">
        <v>25.89</v>
      </c>
      <c r="E35" s="277"/>
      <c r="F35" s="73"/>
      <c r="G35" s="255"/>
      <c r="H35" s="255"/>
      <c r="I35" s="76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255"/>
      <c r="H36" s="255"/>
      <c r="I36" s="76"/>
      <c r="J36" s="76"/>
    </row>
    <row r="37" spans="2:10" ht="25.5">
      <c r="B37" s="192" t="s">
        <v>29</v>
      </c>
      <c r="C37" s="185" t="s">
        <v>30</v>
      </c>
      <c r="D37" s="361">
        <v>3441.03</v>
      </c>
      <c r="E37" s="277"/>
      <c r="F37" s="73"/>
      <c r="G37" s="255"/>
      <c r="H37" s="255"/>
      <c r="I37" s="76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255"/>
      <c r="H38" s="255"/>
      <c r="I38" s="76"/>
      <c r="J38" s="76"/>
    </row>
    <row r="39" spans="2:10" ht="13">
      <c r="B39" s="193" t="s">
        <v>33</v>
      </c>
      <c r="C39" s="194" t="s">
        <v>34</v>
      </c>
      <c r="D39" s="362">
        <v>333554.3</v>
      </c>
      <c r="E39" s="278"/>
      <c r="F39" s="73"/>
      <c r="G39" s="255"/>
      <c r="H39" s="255"/>
      <c r="I39" s="76"/>
      <c r="J39" s="76"/>
    </row>
    <row r="40" spans="2:10" ht="13.5" thickBot="1">
      <c r="B40" s="100" t="s">
        <v>35</v>
      </c>
      <c r="C40" s="101" t="s">
        <v>36</v>
      </c>
      <c r="D40" s="363">
        <v>20332.48</v>
      </c>
      <c r="E40" s="279">
        <v>45728.17</v>
      </c>
      <c r="G40" s="256"/>
      <c r="H40" s="242"/>
    </row>
    <row r="41" spans="2:10" ht="13.5" thickBot="1">
      <c r="B41" s="102" t="s">
        <v>37</v>
      </c>
      <c r="C41" s="103" t="s">
        <v>38</v>
      </c>
      <c r="D41" s="364">
        <v>394194.47000000003</v>
      </c>
      <c r="E41" s="151">
        <f>E26+E27+E40</f>
        <v>189715.55999999994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1646.0712000000001</v>
      </c>
      <c r="E47" s="309">
        <v>6671.0860000000002</v>
      </c>
      <c r="G47" s="73"/>
    </row>
    <row r="48" spans="2:10">
      <c r="B48" s="197" t="s">
        <v>6</v>
      </c>
      <c r="C48" s="198" t="s">
        <v>41</v>
      </c>
      <c r="D48" s="371">
        <v>6671.0860000000002</v>
      </c>
      <c r="E48" s="152">
        <v>2788.2946000000002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229.23</v>
      </c>
      <c r="E50" s="77">
        <v>59.09</v>
      </c>
      <c r="G50" s="183"/>
    </row>
    <row r="51" spans="2:7">
      <c r="B51" s="195" t="s">
        <v>6</v>
      </c>
      <c r="C51" s="196" t="s">
        <v>114</v>
      </c>
      <c r="D51" s="371">
        <v>48.87</v>
      </c>
      <c r="E51" s="77">
        <v>57.9</v>
      </c>
      <c r="G51" s="183"/>
    </row>
    <row r="52" spans="2:7">
      <c r="B52" s="195" t="s">
        <v>8</v>
      </c>
      <c r="C52" s="196" t="s">
        <v>115</v>
      </c>
      <c r="D52" s="371">
        <v>59.09</v>
      </c>
      <c r="E52" s="77">
        <v>69.06</v>
      </c>
    </row>
    <row r="53" spans="2:7" ht="14.25" customHeight="1" thickBot="1">
      <c r="B53" s="199" t="s">
        <v>9</v>
      </c>
      <c r="C53" s="200" t="s">
        <v>41</v>
      </c>
      <c r="D53" s="369">
        <v>59.09</v>
      </c>
      <c r="E53" s="280">
        <v>68.040000000000006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189715.56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189715.56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189715.56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189715.56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2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208</v>
      </c>
      <c r="C6" s="403"/>
      <c r="D6" s="403"/>
      <c r="E6" s="403"/>
    </row>
    <row r="7" spans="2:12" ht="14">
      <c r="B7" s="158"/>
      <c r="C7" s="15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5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17598.98</v>
      </c>
      <c r="E11" s="245">
        <f>SUM(E12:E14)</f>
        <v>15163.23</v>
      </c>
    </row>
    <row r="12" spans="2:12">
      <c r="B12" s="184" t="s">
        <v>4</v>
      </c>
      <c r="C12" s="185" t="s">
        <v>5</v>
      </c>
      <c r="D12" s="300">
        <v>17598.98</v>
      </c>
      <c r="E12" s="250">
        <v>15163.23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17598.98</v>
      </c>
      <c r="E21" s="151">
        <f>E11-E17</f>
        <v>15163.23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17122.150000000001</v>
      </c>
      <c r="E26" s="239">
        <f>D21</f>
        <v>17598.98</v>
      </c>
      <c r="G26" s="76"/>
    </row>
    <row r="27" spans="2:11" ht="13">
      <c r="B27" s="8" t="s">
        <v>17</v>
      </c>
      <c r="C27" s="9" t="s">
        <v>111</v>
      </c>
      <c r="D27" s="360">
        <v>-514.37</v>
      </c>
      <c r="E27" s="275">
        <v>-520.16999999999996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514.37</v>
      </c>
      <c r="E32" s="276">
        <v>520.16999999999996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223.49</v>
      </c>
      <c r="E35" s="277">
        <v>233.59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290.88</v>
      </c>
      <c r="E37" s="277">
        <v>286.58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991.2</v>
      </c>
      <c r="E40" s="279">
        <v>-1915.58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17598.980000000003</v>
      </c>
      <c r="E41" s="151">
        <f>E26+E27+E40</f>
        <v>15163.230000000001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95.149500000000003</v>
      </c>
      <c r="E47" s="309">
        <v>92.320099999999996</v>
      </c>
      <c r="G47" s="73"/>
    </row>
    <row r="48" spans="2:10">
      <c r="B48" s="197" t="s">
        <v>6</v>
      </c>
      <c r="C48" s="198" t="s">
        <v>41</v>
      </c>
      <c r="D48" s="371">
        <v>92.320099999999996</v>
      </c>
      <c r="E48" s="152">
        <v>89.506100000000004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179.95</v>
      </c>
      <c r="E50" s="77">
        <v>190.63</v>
      </c>
      <c r="G50" s="183"/>
    </row>
    <row r="51" spans="2:7">
      <c r="B51" s="195" t="s">
        <v>6</v>
      </c>
      <c r="C51" s="196" t="s">
        <v>114</v>
      </c>
      <c r="D51" s="371">
        <v>164.79</v>
      </c>
      <c r="E51" s="77">
        <v>169.18</v>
      </c>
      <c r="G51" s="183"/>
    </row>
    <row r="52" spans="2:7">
      <c r="B52" s="195" t="s">
        <v>8</v>
      </c>
      <c r="C52" s="196" t="s">
        <v>115</v>
      </c>
      <c r="D52" s="371">
        <v>190.63</v>
      </c>
      <c r="E52" s="77">
        <v>190.91</v>
      </c>
    </row>
    <row r="53" spans="2:7" ht="13" thickBot="1">
      <c r="B53" s="199" t="s">
        <v>9</v>
      </c>
      <c r="C53" s="200" t="s">
        <v>41</v>
      </c>
      <c r="D53" s="369">
        <v>190.63</v>
      </c>
      <c r="E53" s="280">
        <v>169.41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15163.23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15163.23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15163.23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15163.23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4" width="17.81640625" style="86" customWidth="1"/>
    <col min="5" max="5" width="17.1796875" style="86" customWidth="1"/>
    <col min="6" max="6" width="7.453125" customWidth="1"/>
    <col min="7" max="7" width="17.26953125" customWidth="1"/>
    <col min="8" max="8" width="20.1796875" customWidth="1"/>
    <col min="9" max="9" width="12.81640625" customWidth="1"/>
    <col min="10" max="10" width="13.54296875" customWidth="1"/>
    <col min="11" max="11" width="15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102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89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1221632.1500000001</v>
      </c>
      <c r="E11" s="245">
        <f>SUM(E12:E14)</f>
        <v>1295085.77</v>
      </c>
      <c r="H11" s="73"/>
    </row>
    <row r="12" spans="2:12">
      <c r="B12" s="109" t="s">
        <v>4</v>
      </c>
      <c r="C12" s="208" t="s">
        <v>5</v>
      </c>
      <c r="D12" s="300">
        <f>1108105.8+112493.09-598.76</f>
        <v>1220000.1300000001</v>
      </c>
      <c r="E12" s="250">
        <f>1123726.51+171873.78-1187.79</f>
        <v>1294412.5</v>
      </c>
      <c r="H12" s="73"/>
    </row>
    <row r="13" spans="2:12">
      <c r="B13" s="109" t="s">
        <v>6</v>
      </c>
      <c r="C13" s="208" t="s">
        <v>7</v>
      </c>
      <c r="D13" s="301"/>
      <c r="E13" s="251"/>
      <c r="H13" s="73"/>
    </row>
    <row r="14" spans="2:12">
      <c r="B14" s="109" t="s">
        <v>8</v>
      </c>
      <c r="C14" s="208" t="s">
        <v>10</v>
      </c>
      <c r="D14" s="301">
        <f>D15</f>
        <v>1632.02</v>
      </c>
      <c r="E14" s="251">
        <f>E15</f>
        <v>673.27</v>
      </c>
      <c r="H14" s="73"/>
    </row>
    <row r="15" spans="2:12">
      <c r="B15" s="109" t="s">
        <v>106</v>
      </c>
      <c r="C15" s="208" t="s">
        <v>11</v>
      </c>
      <c r="D15" s="301">
        <v>1632.02</v>
      </c>
      <c r="E15" s="251">
        <v>673.27</v>
      </c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2939.03</v>
      </c>
      <c r="E17" s="253">
        <f>E18</f>
        <v>1140.3800000000001</v>
      </c>
    </row>
    <row r="18" spans="2:11">
      <c r="B18" s="109" t="s">
        <v>4</v>
      </c>
      <c r="C18" s="208" t="s">
        <v>11</v>
      </c>
      <c r="D18" s="302">
        <v>2939.03</v>
      </c>
      <c r="E18" s="252">
        <v>1140.3800000000001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1218693.1200000001</v>
      </c>
      <c r="E21" s="151">
        <f>E11-E17</f>
        <v>1293945.3900000001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282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8" customHeight="1" thickBot="1">
      <c r="B24" s="404" t="s">
        <v>105</v>
      </c>
      <c r="C24" s="418"/>
      <c r="D24" s="418"/>
      <c r="E24" s="418"/>
    </row>
    <row r="25" spans="2:11" ht="13.5" thickBot="1">
      <c r="B25" s="89"/>
      <c r="C25" s="4" t="s">
        <v>2</v>
      </c>
      <c r="D25" s="291" t="s">
        <v>246</v>
      </c>
      <c r="E25" s="258" t="s">
        <v>262</v>
      </c>
      <c r="K25" s="183"/>
    </row>
    <row r="26" spans="2:11" ht="13">
      <c r="B26" s="98" t="s">
        <v>15</v>
      </c>
      <c r="C26" s="99" t="s">
        <v>16</v>
      </c>
      <c r="D26" s="359">
        <v>1098325.0599999998</v>
      </c>
      <c r="E26" s="239">
        <f>D21</f>
        <v>1218693.1200000001</v>
      </c>
      <c r="G26" s="76"/>
    </row>
    <row r="27" spans="2:11" ht="13">
      <c r="B27" s="8" t="s">
        <v>17</v>
      </c>
      <c r="C27" s="9" t="s">
        <v>111</v>
      </c>
      <c r="D27" s="360">
        <v>85218.089999999909</v>
      </c>
      <c r="E27" s="275">
        <v>72726.850000000006</v>
      </c>
      <c r="F27" s="73"/>
      <c r="G27" s="156"/>
      <c r="H27" s="255"/>
      <c r="I27" s="255"/>
      <c r="J27" s="219"/>
    </row>
    <row r="28" spans="2:11" ht="13">
      <c r="B28" s="8" t="s">
        <v>18</v>
      </c>
      <c r="C28" s="9" t="s">
        <v>19</v>
      </c>
      <c r="D28" s="360">
        <v>277306.05999999994</v>
      </c>
      <c r="E28" s="276">
        <v>223519.38</v>
      </c>
      <c r="F28" s="73"/>
      <c r="G28" s="156"/>
      <c r="H28" s="255"/>
      <c r="I28" s="255"/>
      <c r="J28" s="219"/>
    </row>
    <row r="29" spans="2:11">
      <c r="B29" s="107" t="s">
        <v>4</v>
      </c>
      <c r="C29" s="5" t="s">
        <v>20</v>
      </c>
      <c r="D29" s="361">
        <v>272241.07999999996</v>
      </c>
      <c r="E29" s="277">
        <v>222061.65</v>
      </c>
      <c r="F29" s="73"/>
      <c r="G29" s="156"/>
      <c r="H29" s="255"/>
      <c r="I29" s="255"/>
      <c r="J29" s="219"/>
    </row>
    <row r="30" spans="2:11">
      <c r="B30" s="107" t="s">
        <v>6</v>
      </c>
      <c r="C30" s="5" t="s">
        <v>21</v>
      </c>
      <c r="D30" s="361"/>
      <c r="E30" s="277">
        <v>0</v>
      </c>
      <c r="F30" s="73"/>
      <c r="G30" s="156"/>
      <c r="H30" s="255"/>
      <c r="I30" s="255"/>
      <c r="J30" s="219"/>
    </row>
    <row r="31" spans="2:11">
      <c r="B31" s="107" t="s">
        <v>8</v>
      </c>
      <c r="C31" s="5" t="s">
        <v>22</v>
      </c>
      <c r="D31" s="361">
        <v>5064.9800000000005</v>
      </c>
      <c r="E31" s="277">
        <v>1457.73</v>
      </c>
      <c r="F31" s="73"/>
      <c r="G31" s="156"/>
      <c r="H31" s="255"/>
      <c r="I31" s="255"/>
      <c r="J31" s="219"/>
    </row>
    <row r="32" spans="2:11" ht="13">
      <c r="B32" s="95" t="s">
        <v>23</v>
      </c>
      <c r="C32" s="10" t="s">
        <v>24</v>
      </c>
      <c r="D32" s="360">
        <v>192087.97000000003</v>
      </c>
      <c r="E32" s="276">
        <v>150792.53</v>
      </c>
      <c r="F32" s="73"/>
      <c r="G32" s="156"/>
      <c r="H32" s="255"/>
      <c r="I32" s="255"/>
      <c r="J32" s="219"/>
    </row>
    <row r="33" spans="2:10">
      <c r="B33" s="107" t="s">
        <v>4</v>
      </c>
      <c r="C33" s="5" t="s">
        <v>25</v>
      </c>
      <c r="D33" s="361">
        <v>138993.08000000002</v>
      </c>
      <c r="E33" s="277">
        <v>123760.91</v>
      </c>
      <c r="F33" s="73"/>
      <c r="G33" s="156"/>
      <c r="H33" s="255"/>
      <c r="I33" s="255"/>
      <c r="J33" s="219"/>
    </row>
    <row r="34" spans="2:10">
      <c r="B34" s="107" t="s">
        <v>6</v>
      </c>
      <c r="C34" s="5" t="s">
        <v>26</v>
      </c>
      <c r="D34" s="361"/>
      <c r="E34" s="277">
        <v>0</v>
      </c>
      <c r="F34" s="73"/>
      <c r="G34" s="156"/>
      <c r="H34" s="255"/>
      <c r="I34" s="255"/>
      <c r="J34" s="219"/>
    </row>
    <row r="35" spans="2:10">
      <c r="B35" s="107" t="s">
        <v>8</v>
      </c>
      <c r="C35" s="5" t="s">
        <v>27</v>
      </c>
      <c r="D35" s="361">
        <v>21384.53</v>
      </c>
      <c r="E35" s="277">
        <v>18601.64</v>
      </c>
      <c r="F35" s="73"/>
      <c r="G35" s="156"/>
      <c r="H35" s="255"/>
      <c r="I35" s="255"/>
      <c r="J35" s="219"/>
    </row>
    <row r="36" spans="2:10">
      <c r="B36" s="107" t="s">
        <v>9</v>
      </c>
      <c r="C36" s="5" t="s">
        <v>28</v>
      </c>
      <c r="D36" s="361"/>
      <c r="E36" s="277">
        <v>0</v>
      </c>
      <c r="F36" s="73"/>
      <c r="G36" s="156"/>
      <c r="H36" s="255"/>
      <c r="I36" s="255"/>
      <c r="J36" s="219"/>
    </row>
    <row r="37" spans="2:10" ht="25">
      <c r="B37" s="107" t="s">
        <v>29</v>
      </c>
      <c r="C37" s="5" t="s">
        <v>30</v>
      </c>
      <c r="D37" s="361"/>
      <c r="E37" s="277">
        <v>0</v>
      </c>
      <c r="F37" s="73"/>
      <c r="G37" s="156"/>
      <c r="H37" s="255"/>
      <c r="I37" s="255"/>
      <c r="J37" s="219"/>
    </row>
    <row r="38" spans="2:10">
      <c r="B38" s="107" t="s">
        <v>31</v>
      </c>
      <c r="C38" s="5" t="s">
        <v>32</v>
      </c>
      <c r="D38" s="361"/>
      <c r="E38" s="277">
        <v>0</v>
      </c>
      <c r="F38" s="73"/>
      <c r="G38" s="156"/>
      <c r="H38" s="255"/>
      <c r="I38" s="255"/>
      <c r="J38" s="219"/>
    </row>
    <row r="39" spans="2:10">
      <c r="B39" s="108" t="s">
        <v>33</v>
      </c>
      <c r="C39" s="11" t="s">
        <v>34</v>
      </c>
      <c r="D39" s="362">
        <v>31710.36</v>
      </c>
      <c r="E39" s="278">
        <v>8429.98</v>
      </c>
      <c r="F39" s="73"/>
      <c r="G39" s="156"/>
      <c r="H39" s="255"/>
      <c r="I39" s="255"/>
      <c r="J39" s="219"/>
    </row>
    <row r="40" spans="2:10" ht="13.5" thickBot="1">
      <c r="B40" s="100" t="s">
        <v>35</v>
      </c>
      <c r="C40" s="101" t="s">
        <v>36</v>
      </c>
      <c r="D40" s="363">
        <v>35149.97</v>
      </c>
      <c r="E40" s="279">
        <v>2525.42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1218693.1199999996</v>
      </c>
      <c r="E41" s="151">
        <f>E26+E27+E40</f>
        <v>1293945.3900000001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5.7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104430.24140000001</v>
      </c>
      <c r="E47" s="309">
        <v>112422.3832</v>
      </c>
      <c r="G47" s="73"/>
    </row>
    <row r="48" spans="2:10">
      <c r="B48" s="126" t="s">
        <v>6</v>
      </c>
      <c r="C48" s="21" t="s">
        <v>41</v>
      </c>
      <c r="D48" s="371">
        <v>112422.3832</v>
      </c>
      <c r="E48" s="380">
        <v>119125.20510000001</v>
      </c>
      <c r="G48" s="206"/>
      <c r="I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10.517300000000001</v>
      </c>
      <c r="E50" s="309">
        <v>10.840300000000001</v>
      </c>
      <c r="G50" s="183"/>
    </row>
    <row r="51" spans="2:7">
      <c r="B51" s="105" t="s">
        <v>6</v>
      </c>
      <c r="C51" s="14" t="s">
        <v>114</v>
      </c>
      <c r="D51" s="371">
        <v>9.5909999999999993</v>
      </c>
      <c r="E51" s="77">
        <v>10.733599999999999</v>
      </c>
      <c r="G51" s="183"/>
    </row>
    <row r="52" spans="2:7" ht="12" customHeight="1">
      <c r="B52" s="105" t="s">
        <v>8</v>
      </c>
      <c r="C52" s="14" t="s">
        <v>115</v>
      </c>
      <c r="D52" s="371">
        <v>10.8406</v>
      </c>
      <c r="E52" s="77">
        <v>10.9459</v>
      </c>
    </row>
    <row r="53" spans="2:7" ht="13" thickBot="1">
      <c r="B53" s="106" t="s">
        <v>9</v>
      </c>
      <c r="C53" s="16" t="s">
        <v>41</v>
      </c>
      <c r="D53" s="369">
        <v>10.840300000000001</v>
      </c>
      <c r="E53" s="280">
        <v>10.8621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1294412.5</v>
      </c>
      <c r="E58" s="30">
        <f>D58/E21</f>
        <v>1.0003609966878122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4" customHeight="1">
      <c r="B60" s="13" t="s">
        <v>6</v>
      </c>
      <c r="C60" s="14" t="s">
        <v>45</v>
      </c>
      <c r="D60" s="80">
        <v>0</v>
      </c>
      <c r="E60" s="81">
        <v>0</v>
      </c>
    </row>
    <row r="61" spans="2:7">
      <c r="B61" s="13" t="s">
        <v>8</v>
      </c>
      <c r="C61" s="14" t="s">
        <v>46</v>
      </c>
      <c r="D61" s="80">
        <v>0</v>
      </c>
      <c r="E61" s="81">
        <v>0</v>
      </c>
    </row>
    <row r="62" spans="2:7">
      <c r="B62" s="13" t="s">
        <v>9</v>
      </c>
      <c r="C62" s="14" t="s">
        <v>47</v>
      </c>
      <c r="D62" s="80">
        <v>0</v>
      </c>
      <c r="E62" s="81">
        <v>0</v>
      </c>
    </row>
    <row r="63" spans="2:7">
      <c r="B63" s="13" t="s">
        <v>29</v>
      </c>
      <c r="C63" s="14" t="s">
        <v>48</v>
      </c>
      <c r="D63" s="80">
        <v>0</v>
      </c>
      <c r="E63" s="81">
        <v>0</v>
      </c>
    </row>
    <row r="64" spans="2:7">
      <c r="B64" s="20" t="s">
        <v>31</v>
      </c>
      <c r="C64" s="21" t="s">
        <v>49</v>
      </c>
      <c r="D64" s="377">
        <f>1123726.51-1187.79</f>
        <v>1122538.72</v>
      </c>
      <c r="E64" s="83">
        <f>D64/E21</f>
        <v>0.86753175881711664</v>
      </c>
      <c r="G64" s="73"/>
    </row>
    <row r="65" spans="2:5">
      <c r="B65" s="20" t="s">
        <v>33</v>
      </c>
      <c r="C65" s="21" t="s">
        <v>118</v>
      </c>
      <c r="D65" s="82">
        <v>0</v>
      </c>
      <c r="E65" s="83">
        <v>0</v>
      </c>
    </row>
    <row r="66" spans="2:5">
      <c r="B66" s="20" t="s">
        <v>50</v>
      </c>
      <c r="C66" s="21" t="s">
        <v>51</v>
      </c>
      <c r="D66" s="82">
        <v>0</v>
      </c>
      <c r="E66" s="83">
        <v>0</v>
      </c>
    </row>
    <row r="67" spans="2:5">
      <c r="B67" s="13" t="s">
        <v>52</v>
      </c>
      <c r="C67" s="14" t="s">
        <v>53</v>
      </c>
      <c r="D67" s="80">
        <v>0</v>
      </c>
      <c r="E67" s="81">
        <v>0</v>
      </c>
    </row>
    <row r="68" spans="2:5">
      <c r="B68" s="13" t="s">
        <v>54</v>
      </c>
      <c r="C68" s="14" t="s">
        <v>55</v>
      </c>
      <c r="D68" s="80">
        <v>0</v>
      </c>
      <c r="E68" s="81">
        <v>0</v>
      </c>
    </row>
    <row r="69" spans="2:5">
      <c r="B69" s="13" t="s">
        <v>56</v>
      </c>
      <c r="C69" s="14" t="s">
        <v>57</v>
      </c>
      <c r="D69" s="370">
        <v>171873.78</v>
      </c>
      <c r="E69" s="81">
        <f>D69/E21</f>
        <v>0.13282923787069559</v>
      </c>
    </row>
    <row r="70" spans="2:5">
      <c r="B70" s="115" t="s">
        <v>58</v>
      </c>
      <c r="C70" s="116" t="s">
        <v>59</v>
      </c>
      <c r="D70" s="247">
        <v>0</v>
      </c>
      <c r="E70" s="118">
        <v>0</v>
      </c>
    </row>
    <row r="71" spans="2:5" ht="13">
      <c r="B71" s="123" t="s">
        <v>23</v>
      </c>
      <c r="C71" s="124" t="s">
        <v>61</v>
      </c>
      <c r="D71" s="125">
        <f>E13</f>
        <v>0</v>
      </c>
      <c r="E71" s="66">
        <v>0</v>
      </c>
    </row>
    <row r="72" spans="2:5" ht="13">
      <c r="B72" s="119" t="s">
        <v>60</v>
      </c>
      <c r="C72" s="120" t="s">
        <v>63</v>
      </c>
      <c r="D72" s="121">
        <f>E14</f>
        <v>673.27</v>
      </c>
      <c r="E72" s="122">
        <f>D72/E21</f>
        <v>5.2032334996765192E-4</v>
      </c>
    </row>
    <row r="73" spans="2:5" ht="13">
      <c r="B73" s="22" t="s">
        <v>62</v>
      </c>
      <c r="C73" s="23" t="s">
        <v>65</v>
      </c>
      <c r="D73" s="24">
        <f>E17</f>
        <v>1140.3800000000001</v>
      </c>
      <c r="E73" s="25">
        <f>D73/E21</f>
        <v>8.8132003777995603E-4</v>
      </c>
    </row>
    <row r="74" spans="2:5" ht="13">
      <c r="B74" s="123" t="s">
        <v>64</v>
      </c>
      <c r="C74" s="124" t="s">
        <v>66</v>
      </c>
      <c r="D74" s="125">
        <f>D58+D71+D72-D73</f>
        <v>1293945.3900000001</v>
      </c>
      <c r="E74" s="66">
        <f>E58+E72-E73</f>
        <v>0.99999999999999978</v>
      </c>
    </row>
    <row r="75" spans="2:5">
      <c r="B75" s="13" t="s">
        <v>4</v>
      </c>
      <c r="C75" s="14" t="s">
        <v>67</v>
      </c>
      <c r="D75" s="80">
        <f>D74</f>
        <v>1293945.3900000001</v>
      </c>
      <c r="E75" s="81">
        <f>E74</f>
        <v>0.99999999999999978</v>
      </c>
    </row>
    <row r="76" spans="2:5">
      <c r="B76" s="13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209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27347.780000000002</v>
      </c>
      <c r="E11" s="245">
        <f>SUM(E12:E14)</f>
        <v>35239.339999999997</v>
      </c>
    </row>
    <row r="12" spans="2:12">
      <c r="B12" s="184" t="s">
        <v>4</v>
      </c>
      <c r="C12" s="185" t="s">
        <v>5</v>
      </c>
      <c r="D12" s="300">
        <v>27347.780000000002</v>
      </c>
      <c r="E12" s="250">
        <v>35239.339999999997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27347.780000000002</v>
      </c>
      <c r="E21" s="151">
        <f>E11-E17</f>
        <v>35239.339999999997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17474.71</v>
      </c>
      <c r="E26" s="239">
        <f>D21</f>
        <v>27347.780000000002</v>
      </c>
      <c r="G26" s="76"/>
    </row>
    <row r="27" spans="2:11" ht="13">
      <c r="B27" s="8" t="s">
        <v>17</v>
      </c>
      <c r="C27" s="9" t="s">
        <v>111</v>
      </c>
      <c r="D27" s="360">
        <v>2695.11</v>
      </c>
      <c r="E27" s="275">
        <v>-8786.1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3753.8</v>
      </c>
      <c r="E28" s="276">
        <v>75587.53</v>
      </c>
      <c r="F28" s="73"/>
      <c r="G28" s="255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255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3753.8</v>
      </c>
      <c r="E31" s="277">
        <v>75587.53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1058.69</v>
      </c>
      <c r="E32" s="276">
        <v>84373.63</v>
      </c>
      <c r="F32" s="73"/>
      <c r="G32" s="25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642.43000000000006</v>
      </c>
      <c r="E33" s="277">
        <v>7601.5099999999993</v>
      </c>
      <c r="F33" s="73"/>
      <c r="G33" s="255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32.450000000000003</v>
      </c>
      <c r="E35" s="277">
        <v>74.47</v>
      </c>
      <c r="F35" s="73"/>
      <c r="G35" s="255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383.81</v>
      </c>
      <c r="E37" s="277">
        <v>1073.73</v>
      </c>
      <c r="F37" s="73"/>
      <c r="G37" s="255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>
        <v>75623.92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7177.96</v>
      </c>
      <c r="E40" s="279">
        <v>16677.66</v>
      </c>
      <c r="G40" s="256"/>
      <c r="H40" s="242"/>
    </row>
    <row r="41" spans="2:10" ht="13.5" thickBot="1">
      <c r="B41" s="102" t="s">
        <v>37</v>
      </c>
      <c r="C41" s="103" t="s">
        <v>38</v>
      </c>
      <c r="D41" s="364">
        <v>27347.78</v>
      </c>
      <c r="E41" s="151">
        <f>E26+E27+E40</f>
        <v>35239.339999999997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116.196</v>
      </c>
      <c r="E47" s="309">
        <v>139.03290000000001</v>
      </c>
      <c r="G47" s="73"/>
      <c r="H47" s="162"/>
    </row>
    <row r="48" spans="2:10">
      <c r="B48" s="197" t="s">
        <v>6</v>
      </c>
      <c r="C48" s="198" t="s">
        <v>41</v>
      </c>
      <c r="D48" s="371">
        <v>139.03290000000001</v>
      </c>
      <c r="E48" s="152">
        <v>126.98860000000001</v>
      </c>
      <c r="G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150.38999999999999</v>
      </c>
      <c r="E50" s="77">
        <v>196.7</v>
      </c>
      <c r="G50" s="183"/>
    </row>
    <row r="51" spans="2:7">
      <c r="B51" s="195" t="s">
        <v>6</v>
      </c>
      <c r="C51" s="196" t="s">
        <v>114</v>
      </c>
      <c r="D51" s="371">
        <v>109.11</v>
      </c>
      <c r="E51" s="77">
        <v>196.7</v>
      </c>
      <c r="G51" s="183"/>
    </row>
    <row r="52" spans="2:7">
      <c r="B52" s="195" t="s">
        <v>8</v>
      </c>
      <c r="C52" s="196" t="s">
        <v>115</v>
      </c>
      <c r="D52" s="371">
        <v>197.9</v>
      </c>
      <c r="E52" s="77">
        <v>298.23</v>
      </c>
    </row>
    <row r="53" spans="2:7" ht="14.25" customHeight="1" thickBot="1">
      <c r="B53" s="199" t="s">
        <v>9</v>
      </c>
      <c r="C53" s="200" t="s">
        <v>41</v>
      </c>
      <c r="D53" s="369">
        <v>196.7</v>
      </c>
      <c r="E53" s="280">
        <v>277.5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35239.339999999997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35239.339999999997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35239.339999999997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35239.339999999997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210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 t="s">
        <v>123</v>
      </c>
      <c r="E11" s="245">
        <f>E12</f>
        <v>123119.77</v>
      </c>
    </row>
    <row r="12" spans="2:12">
      <c r="B12" s="184" t="s">
        <v>4</v>
      </c>
      <c r="C12" s="185" t="s">
        <v>5</v>
      </c>
      <c r="D12" s="300"/>
      <c r="E12" s="250">
        <v>123119.77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0</v>
      </c>
      <c r="E21" s="151">
        <f>E11</f>
        <v>123119.77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51580.850000000006</v>
      </c>
      <c r="E26" s="239">
        <f>D21</f>
        <v>0</v>
      </c>
      <c r="G26" s="76"/>
    </row>
    <row r="27" spans="2:11" ht="13">
      <c r="B27" s="8" t="s">
        <v>17</v>
      </c>
      <c r="C27" s="9" t="s">
        <v>111</v>
      </c>
      <c r="D27" s="360">
        <v>-51798.09</v>
      </c>
      <c r="E27" s="275">
        <v>123610.65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>
        <v>124025.99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>
        <v>124025.98999999999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51798.09</v>
      </c>
      <c r="E32" s="276">
        <v>415.34000000000003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51300.22</v>
      </c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3.2</v>
      </c>
      <c r="E35" s="277">
        <v>49.95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249.11</v>
      </c>
      <c r="E37" s="277">
        <v>365.39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245.56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217.24</v>
      </c>
      <c r="E40" s="279">
        <v>-490.88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 t="s">
        <v>123</v>
      </c>
      <c r="E41" s="151">
        <f>E26+E27+E40</f>
        <v>123119.76999999999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07"/>
      <c r="D43" s="407"/>
      <c r="E43" s="407"/>
      <c r="G43" s="73"/>
      <c r="H43" s="242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337.43850000000003</v>
      </c>
      <c r="E47" s="309"/>
      <c r="G47" s="73"/>
      <c r="H47" s="162"/>
    </row>
    <row r="48" spans="2:10">
      <c r="B48" s="197" t="s">
        <v>6</v>
      </c>
      <c r="C48" s="198" t="s">
        <v>41</v>
      </c>
      <c r="D48" s="371"/>
      <c r="E48" s="152">
        <v>789.38109999999995</v>
      </c>
      <c r="G48" s="204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152.86000000000001</v>
      </c>
      <c r="E50" s="77"/>
      <c r="G50" s="183"/>
    </row>
    <row r="51" spans="2:7">
      <c r="B51" s="195" t="s">
        <v>6</v>
      </c>
      <c r="C51" s="196" t="s">
        <v>114</v>
      </c>
      <c r="D51" s="371">
        <v>152.66</v>
      </c>
      <c r="E51" s="77">
        <v>155.47</v>
      </c>
      <c r="G51" s="183"/>
    </row>
    <row r="52" spans="2:7">
      <c r="B52" s="195" t="s">
        <v>8</v>
      </c>
      <c r="C52" s="196" t="s">
        <v>115</v>
      </c>
      <c r="D52" s="371">
        <v>154.13999999999999</v>
      </c>
      <c r="E52" s="77">
        <v>156.96</v>
      </c>
    </row>
    <row r="53" spans="2:7" ht="13.5" customHeight="1" thickBot="1">
      <c r="B53" s="199" t="s">
        <v>9</v>
      </c>
      <c r="C53" s="200" t="s">
        <v>41</v>
      </c>
      <c r="D53" s="369"/>
      <c r="E53" s="280">
        <v>155.97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123119.77</v>
      </c>
      <c r="E58" s="30">
        <v>0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123119.77</v>
      </c>
      <c r="E64" s="83">
        <f>E58</f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D58-D73</f>
        <v>123119.77</v>
      </c>
      <c r="E74" s="66">
        <f>E58+E72-E73</f>
        <v>0</v>
      </c>
    </row>
    <row r="75" spans="2:5">
      <c r="B75" s="105" t="s">
        <v>4</v>
      </c>
      <c r="C75" s="14" t="s">
        <v>67</v>
      </c>
      <c r="D75" s="80">
        <f>D74</f>
        <v>123119.77</v>
      </c>
      <c r="E75" s="81">
        <f>E74</f>
        <v>0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8"/>
  <dimension ref="A1:L81"/>
  <sheetViews>
    <sheetView zoomScale="80" zoomScaleNormal="80" workbookViewId="0">
      <selection activeCell="K1" sqref="K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218"/>
      <c r="I2" s="218"/>
      <c r="J2" s="219"/>
      <c r="L2" s="73"/>
    </row>
    <row r="3" spans="2:12" ht="15.5">
      <c r="B3" s="401" t="s">
        <v>257</v>
      </c>
      <c r="C3" s="401"/>
      <c r="D3" s="401"/>
      <c r="E3" s="401"/>
      <c r="H3" s="218"/>
      <c r="I3" s="218"/>
      <c r="J3" s="219"/>
    </row>
    <row r="4" spans="2:12" ht="14">
      <c r="B4" s="144"/>
      <c r="C4" s="144"/>
      <c r="D4" s="150"/>
      <c r="E4" s="150"/>
      <c r="H4" s="218"/>
      <c r="I4" s="218"/>
      <c r="J4" s="219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211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30794.31</v>
      </c>
      <c r="E11" s="245">
        <f>SUM(E12:E14)</f>
        <v>32639.119999999999</v>
      </c>
    </row>
    <row r="12" spans="2:12">
      <c r="B12" s="184" t="s">
        <v>4</v>
      </c>
      <c r="C12" s="185" t="s">
        <v>5</v>
      </c>
      <c r="D12" s="300">
        <v>30794.31</v>
      </c>
      <c r="E12" s="250">
        <v>32639.119999999999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30794.31</v>
      </c>
      <c r="E21" s="151">
        <f>E11-E17</f>
        <v>32639.119999999999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15921.06</v>
      </c>
      <c r="E26" s="239">
        <f>D21</f>
        <v>30794.31</v>
      </c>
      <c r="G26" s="76"/>
    </row>
    <row r="27" spans="2:11" ht="13">
      <c r="B27" s="8" t="s">
        <v>17</v>
      </c>
      <c r="C27" s="9" t="s">
        <v>111</v>
      </c>
      <c r="D27" s="360">
        <v>12781.94</v>
      </c>
      <c r="E27" s="275">
        <v>-657.13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13307.2</v>
      </c>
      <c r="E28" s="276">
        <v>0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13307.2</v>
      </c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525.26</v>
      </c>
      <c r="E32" s="276">
        <v>657.13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34.5</v>
      </c>
      <c r="E35" s="277">
        <v>46.17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490.76</v>
      </c>
      <c r="E37" s="277">
        <v>610.96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2091.31</v>
      </c>
      <c r="E40" s="279">
        <v>2501.94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30794.31</v>
      </c>
      <c r="E41" s="151">
        <f>E26+E27+E40</f>
        <v>32639.119999999999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07"/>
      <c r="D43" s="407"/>
      <c r="E43" s="407"/>
      <c r="G43" s="73"/>
      <c r="H43" s="242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119.1785</v>
      </c>
      <c r="E47" s="309">
        <v>214.22130000000001</v>
      </c>
      <c r="G47" s="73"/>
    </row>
    <row r="48" spans="2:10">
      <c r="B48" s="197" t="s">
        <v>6</v>
      </c>
      <c r="C48" s="198" t="s">
        <v>41</v>
      </c>
      <c r="D48" s="371">
        <v>214.22130000000001</v>
      </c>
      <c r="E48" s="152">
        <v>209.8844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133.59</v>
      </c>
      <c r="E50" s="77">
        <v>143.75</v>
      </c>
      <c r="G50" s="183"/>
    </row>
    <row r="51" spans="2:7">
      <c r="B51" s="195" t="s">
        <v>6</v>
      </c>
      <c r="C51" s="196" t="s">
        <v>114</v>
      </c>
      <c r="D51" s="371">
        <v>132.19</v>
      </c>
      <c r="E51" s="77">
        <v>142.91999999999999</v>
      </c>
      <c r="G51" s="183"/>
    </row>
    <row r="52" spans="2:7">
      <c r="B52" s="195" t="s">
        <v>8</v>
      </c>
      <c r="C52" s="196" t="s">
        <v>115</v>
      </c>
      <c r="D52" s="371">
        <v>143.75</v>
      </c>
      <c r="E52" s="77">
        <v>156.37</v>
      </c>
    </row>
    <row r="53" spans="2:7" ht="13.5" customHeight="1" thickBot="1">
      <c r="B53" s="199" t="s">
        <v>9</v>
      </c>
      <c r="C53" s="200" t="s">
        <v>41</v>
      </c>
      <c r="D53" s="369">
        <v>143.75</v>
      </c>
      <c r="E53" s="280">
        <v>155.51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32639.119999999999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32639.119999999999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32639.119999999999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32639.119999999999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3"/>
  <dimension ref="A1:L81"/>
  <sheetViews>
    <sheetView zoomScale="80" zoomScaleNormal="80" workbookViewId="0">
      <selection activeCell="A25" sqref="A25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212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225"/>
      <c r="C10" s="227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61547.65</v>
      </c>
      <c r="E11" s="245">
        <f>SUM(E12:E14)</f>
        <v>41548.17</v>
      </c>
    </row>
    <row r="12" spans="2:12">
      <c r="B12" s="184" t="s">
        <v>4</v>
      </c>
      <c r="C12" s="185" t="s">
        <v>5</v>
      </c>
      <c r="D12" s="300">
        <v>61547.65</v>
      </c>
      <c r="E12" s="250">
        <v>41548.17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61547.65</v>
      </c>
      <c r="E21" s="151">
        <f>E11-E17</f>
        <v>41548.17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52054.239999999998</v>
      </c>
      <c r="E26" s="239">
        <f>D21</f>
        <v>61547.65</v>
      </c>
      <c r="G26" s="76"/>
    </row>
    <row r="27" spans="2:11" ht="13">
      <c r="B27" s="8" t="s">
        <v>17</v>
      </c>
      <c r="C27" s="9" t="s">
        <v>111</v>
      </c>
      <c r="D27" s="360">
        <v>-1947.75</v>
      </c>
      <c r="E27" s="275">
        <v>-19056.16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1947.75</v>
      </c>
      <c r="E32" s="276">
        <v>19056.16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1223.5999999999999</v>
      </c>
      <c r="E33" s="277">
        <v>18020.87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155.11000000000001</v>
      </c>
      <c r="E35" s="277">
        <v>215.84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569.04</v>
      </c>
      <c r="E37" s="277">
        <v>819.45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11441.16</v>
      </c>
      <c r="E40" s="279">
        <v>-943.32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61547.649999999994</v>
      </c>
      <c r="E41" s="151">
        <f>E26+E27+E40</f>
        <v>41548.170000000006</v>
      </c>
      <c r="F41" s="79"/>
      <c r="G41" s="76"/>
      <c r="H41" s="270"/>
    </row>
    <row r="42" spans="2:10" ht="13">
      <c r="B42" s="96"/>
      <c r="C42" s="96"/>
      <c r="D42" s="97"/>
      <c r="E42" s="97"/>
      <c r="F42" s="79"/>
      <c r="G42" s="67"/>
      <c r="H42" s="270"/>
    </row>
    <row r="43" spans="2:10" ht="13.5">
      <c r="B43" s="406" t="s">
        <v>60</v>
      </c>
      <c r="C43" s="407"/>
      <c r="D43" s="407"/>
      <c r="E43" s="407"/>
      <c r="G43" s="73"/>
      <c r="H43" s="270"/>
    </row>
    <row r="44" spans="2:10" ht="18" customHeight="1" thickBot="1">
      <c r="B44" s="404" t="s">
        <v>121</v>
      </c>
      <c r="C44" s="408"/>
      <c r="D44" s="408"/>
      <c r="E44" s="408"/>
      <c r="G44" s="73"/>
      <c r="H44" s="270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  <c r="H45" s="270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800.08</v>
      </c>
      <c r="E47" s="309">
        <v>767.45</v>
      </c>
      <c r="G47" s="73"/>
    </row>
    <row r="48" spans="2:10">
      <c r="B48" s="197" t="s">
        <v>6</v>
      </c>
      <c r="C48" s="198" t="s">
        <v>41</v>
      </c>
      <c r="D48" s="371">
        <v>767.45</v>
      </c>
      <c r="E48" s="152">
        <v>548.89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65.061300000000003</v>
      </c>
      <c r="E50" s="77">
        <v>80.197599999999994</v>
      </c>
      <c r="G50" s="183"/>
    </row>
    <row r="51" spans="2:7">
      <c r="B51" s="195" t="s">
        <v>6</v>
      </c>
      <c r="C51" s="196" t="s">
        <v>114</v>
      </c>
      <c r="D51" s="371">
        <v>47.515000000000001</v>
      </c>
      <c r="E51" s="77">
        <v>72.860399999999998</v>
      </c>
      <c r="G51" s="183"/>
    </row>
    <row r="52" spans="2:7">
      <c r="B52" s="195" t="s">
        <v>8</v>
      </c>
      <c r="C52" s="196" t="s">
        <v>115</v>
      </c>
      <c r="D52" s="371">
        <v>80.197599999999994</v>
      </c>
      <c r="E52" s="77">
        <v>92.486099999999993</v>
      </c>
    </row>
    <row r="53" spans="2:7" ht="12.75" customHeight="1" thickBot="1">
      <c r="B53" s="199" t="s">
        <v>9</v>
      </c>
      <c r="C53" s="200" t="s">
        <v>41</v>
      </c>
      <c r="D53" s="369">
        <v>80.197599999999994</v>
      </c>
      <c r="E53" s="280">
        <v>75.694900000000004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41548.17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41548.17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41548.17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41548.17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213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68902.070000000007</v>
      </c>
      <c r="E11" s="245">
        <f>SUM(E12:E14)</f>
        <v>43840.05</v>
      </c>
    </row>
    <row r="12" spans="2:12">
      <c r="B12" s="184" t="s">
        <v>4</v>
      </c>
      <c r="C12" s="185" t="s">
        <v>5</v>
      </c>
      <c r="D12" s="300">
        <v>68902.070000000007</v>
      </c>
      <c r="E12" s="250">
        <v>43840.05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68902.070000000007</v>
      </c>
      <c r="E21" s="151">
        <f>E11-E17</f>
        <v>43840.05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67198.570000000007</v>
      </c>
      <c r="E26" s="239">
        <f>D21</f>
        <v>68902.070000000007</v>
      </c>
      <c r="G26" s="76"/>
    </row>
    <row r="27" spans="2:11" ht="13">
      <c r="B27" s="8" t="s">
        <v>17</v>
      </c>
      <c r="C27" s="9" t="s">
        <v>111</v>
      </c>
      <c r="D27" s="360">
        <v>-1069.54</v>
      </c>
      <c r="E27" s="275">
        <v>-19900.400000000001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1069.54</v>
      </c>
      <c r="E32" s="276">
        <v>19900.400000000001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>
        <v>19356.240000000002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46.28</v>
      </c>
      <c r="E35" s="277">
        <v>11.49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1023.26</v>
      </c>
      <c r="E37" s="277">
        <v>532.66999999999996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2773.04</v>
      </c>
      <c r="E40" s="279">
        <v>-5161.62</v>
      </c>
      <c r="G40" s="76"/>
    </row>
    <row r="41" spans="2:10" ht="13.5" thickBot="1">
      <c r="B41" s="102" t="s">
        <v>37</v>
      </c>
      <c r="C41" s="103" t="s">
        <v>38</v>
      </c>
      <c r="D41" s="364">
        <v>68902.070000000007</v>
      </c>
      <c r="E41" s="151">
        <f>E26+E27+E40</f>
        <v>43840.05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574.02</v>
      </c>
      <c r="E47" s="309">
        <v>564.48</v>
      </c>
      <c r="G47" s="73"/>
    </row>
    <row r="48" spans="2:10">
      <c r="B48" s="197" t="s">
        <v>6</v>
      </c>
      <c r="C48" s="198" t="s">
        <v>41</v>
      </c>
      <c r="D48" s="371">
        <v>564.48</v>
      </c>
      <c r="E48" s="152">
        <v>393.61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117.06659999999999</v>
      </c>
      <c r="E50" s="77">
        <v>122.0629</v>
      </c>
      <c r="G50" s="183"/>
    </row>
    <row r="51" spans="2:7">
      <c r="B51" s="195" t="s">
        <v>6</v>
      </c>
      <c r="C51" s="196" t="s">
        <v>114</v>
      </c>
      <c r="D51" s="371">
        <v>105.6564</v>
      </c>
      <c r="E51" s="77">
        <v>109.7966</v>
      </c>
      <c r="G51" s="183"/>
    </row>
    <row r="52" spans="2:7">
      <c r="B52" s="195" t="s">
        <v>8</v>
      </c>
      <c r="C52" s="196" t="s">
        <v>115</v>
      </c>
      <c r="D52" s="371">
        <v>122.2229</v>
      </c>
      <c r="E52" s="77">
        <v>122.7697</v>
      </c>
    </row>
    <row r="53" spans="2:7" ht="13.5" customHeight="1" thickBot="1">
      <c r="B53" s="199" t="s">
        <v>9</v>
      </c>
      <c r="C53" s="200" t="s">
        <v>41</v>
      </c>
      <c r="D53" s="369">
        <v>122.0629</v>
      </c>
      <c r="E53" s="280">
        <v>111.3794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43840.05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43840.05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43840.05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43840.05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0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214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728873.92</v>
      </c>
      <c r="E11" s="245">
        <f>SUM(E12:E14)</f>
        <v>848929.38</v>
      </c>
    </row>
    <row r="12" spans="2:12">
      <c r="B12" s="184" t="s">
        <v>4</v>
      </c>
      <c r="C12" s="185" t="s">
        <v>5</v>
      </c>
      <c r="D12" s="300">
        <v>728873.92</v>
      </c>
      <c r="E12" s="250">
        <v>848929.38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728873.92</v>
      </c>
      <c r="E21" s="151">
        <f>E11-E17</f>
        <v>848929.38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980258.88</v>
      </c>
      <c r="E26" s="239">
        <f>D21</f>
        <v>728873.92</v>
      </c>
      <c r="G26" s="76"/>
      <c r="H26" s="242"/>
    </row>
    <row r="27" spans="2:11" ht="13">
      <c r="B27" s="8" t="s">
        <v>17</v>
      </c>
      <c r="C27" s="9" t="s">
        <v>111</v>
      </c>
      <c r="D27" s="360">
        <v>-235142.82</v>
      </c>
      <c r="E27" s="275">
        <v>-33742.99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384.06</v>
      </c>
      <c r="E28" s="276">
        <v>0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384.06</v>
      </c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235526.87999999998</v>
      </c>
      <c r="E32" s="276">
        <v>33742.99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217963.96</v>
      </c>
      <c r="E33" s="277">
        <v>19248.73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6674.93</v>
      </c>
      <c r="E35" s="277">
        <v>1382.93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10887.99</v>
      </c>
      <c r="E37" s="277">
        <v>13111.33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-16242.14</v>
      </c>
      <c r="E40" s="279">
        <v>153798.45000000001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728873.92</v>
      </c>
      <c r="E41" s="151">
        <f>E26+E27+E40</f>
        <v>848929.38000000012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7697.27</v>
      </c>
      <c r="E47" s="309">
        <v>5854.71</v>
      </c>
      <c r="G47" s="73"/>
    </row>
    <row r="48" spans="2:10">
      <c r="B48" s="197" t="s">
        <v>6</v>
      </c>
      <c r="C48" s="198" t="s">
        <v>41</v>
      </c>
      <c r="D48" s="371">
        <v>5854.71</v>
      </c>
      <c r="E48" s="152">
        <v>5625.07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127.3515</v>
      </c>
      <c r="E50" s="77">
        <v>124.4936</v>
      </c>
      <c r="G50" s="183"/>
    </row>
    <row r="51" spans="2:7">
      <c r="B51" s="195" t="s">
        <v>6</v>
      </c>
      <c r="C51" s="196" t="s">
        <v>114</v>
      </c>
      <c r="D51" s="371">
        <v>82.441999999999993</v>
      </c>
      <c r="E51" s="77">
        <v>124.4936</v>
      </c>
      <c r="G51" s="183"/>
    </row>
    <row r="52" spans="2:7">
      <c r="B52" s="195" t="s">
        <v>8</v>
      </c>
      <c r="C52" s="196" t="s">
        <v>115</v>
      </c>
      <c r="D52" s="371">
        <v>132.7835</v>
      </c>
      <c r="E52" s="77">
        <v>155.78899999999999</v>
      </c>
    </row>
    <row r="53" spans="2:7" ht="12.75" customHeight="1" thickBot="1">
      <c r="B53" s="199" t="s">
        <v>9</v>
      </c>
      <c r="C53" s="200" t="s">
        <v>41</v>
      </c>
      <c r="D53" s="369">
        <v>124.4936</v>
      </c>
      <c r="E53" s="280">
        <v>150.91890000000001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848929.38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848929.38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848929.38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848929.38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6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1796875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215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259507.26</v>
      </c>
      <c r="E11" s="245">
        <f>SUM(E12:E14)</f>
        <v>324764.82</v>
      </c>
    </row>
    <row r="12" spans="2:12">
      <c r="B12" s="184" t="s">
        <v>4</v>
      </c>
      <c r="C12" s="185" t="s">
        <v>5</v>
      </c>
      <c r="D12" s="300">
        <v>259507.26</v>
      </c>
      <c r="E12" s="250">
        <v>324764.82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259507.26</v>
      </c>
      <c r="E21" s="151">
        <f>E11-E17</f>
        <v>324764.82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274947.51</v>
      </c>
      <c r="E26" s="239">
        <f>D21</f>
        <v>259507.26</v>
      </c>
      <c r="G26" s="76"/>
    </row>
    <row r="27" spans="2:11" ht="13">
      <c r="B27" s="8" t="s">
        <v>17</v>
      </c>
      <c r="C27" s="9" t="s">
        <v>111</v>
      </c>
      <c r="D27" s="360">
        <v>-11560.150000000001</v>
      </c>
      <c r="E27" s="275">
        <v>-5282.02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11560.150000000001</v>
      </c>
      <c r="E32" s="276">
        <v>5282.02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7828.1</v>
      </c>
      <c r="E33" s="277">
        <v>957.39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193.75</v>
      </c>
      <c r="E35" s="277">
        <v>52.82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3538.3</v>
      </c>
      <c r="E37" s="277">
        <v>4271.8100000000004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-3880.1</v>
      </c>
      <c r="E40" s="279">
        <v>70539.58</v>
      </c>
      <c r="G40" s="76"/>
    </row>
    <row r="41" spans="2:10" ht="13.5" thickBot="1">
      <c r="B41" s="102" t="s">
        <v>37</v>
      </c>
      <c r="C41" s="103" t="s">
        <v>38</v>
      </c>
      <c r="D41" s="364">
        <v>259507.25999999998</v>
      </c>
      <c r="E41" s="151">
        <f>E26+E27+E40</f>
        <v>324764.82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648.3900000000001</v>
      </c>
      <c r="E47" s="309">
        <v>617.71</v>
      </c>
      <c r="G47" s="73"/>
      <c r="H47" s="162"/>
    </row>
    <row r="48" spans="2:10">
      <c r="B48" s="197" t="s">
        <v>6</v>
      </c>
      <c r="C48" s="198" t="s">
        <v>41</v>
      </c>
      <c r="D48" s="371">
        <v>617.71</v>
      </c>
      <c r="E48" s="152">
        <v>606.96</v>
      </c>
      <c r="G48" s="204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424.04649999999998</v>
      </c>
      <c r="E50" s="77">
        <v>420.11180000000002</v>
      </c>
      <c r="G50" s="183"/>
    </row>
    <row r="51" spans="2:7">
      <c r="B51" s="195" t="s">
        <v>6</v>
      </c>
      <c r="C51" s="196" t="s">
        <v>114</v>
      </c>
      <c r="D51" s="371">
        <v>292.90679999999998</v>
      </c>
      <c r="E51" s="77">
        <v>419.17739999999998</v>
      </c>
      <c r="G51" s="183"/>
    </row>
    <row r="52" spans="2:7">
      <c r="B52" s="195" t="s">
        <v>8</v>
      </c>
      <c r="C52" s="196" t="s">
        <v>115</v>
      </c>
      <c r="D52" s="371">
        <v>430.68419999999998</v>
      </c>
      <c r="E52" s="281">
        <v>550.5</v>
      </c>
    </row>
    <row r="53" spans="2:7" ht="12.75" customHeight="1" thickBot="1">
      <c r="B53" s="199" t="s">
        <v>9</v>
      </c>
      <c r="C53" s="200" t="s">
        <v>41</v>
      </c>
      <c r="D53" s="369">
        <v>420.11180000000002</v>
      </c>
      <c r="E53" s="280">
        <v>535.06790000000001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324764.82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324764.82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324764.82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324764.82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7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0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216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466656.9</v>
      </c>
      <c r="E11" s="245">
        <f>SUM(E12:E14)</f>
        <v>473932.89</v>
      </c>
    </row>
    <row r="12" spans="2:12">
      <c r="B12" s="184" t="s">
        <v>4</v>
      </c>
      <c r="C12" s="185" t="s">
        <v>5</v>
      </c>
      <c r="D12" s="300">
        <v>466656.9</v>
      </c>
      <c r="E12" s="250">
        <v>473932.89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466656.9</v>
      </c>
      <c r="E21" s="151">
        <f>E11-E17</f>
        <v>473932.89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638911.03</v>
      </c>
      <c r="E26" s="239">
        <f>D21</f>
        <v>466656.9</v>
      </c>
      <c r="G26" s="76"/>
    </row>
    <row r="27" spans="2:11" ht="13">
      <c r="B27" s="8" t="s">
        <v>17</v>
      </c>
      <c r="C27" s="9" t="s">
        <v>111</v>
      </c>
      <c r="D27" s="360">
        <v>-183724.26</v>
      </c>
      <c r="E27" s="275">
        <v>-23582.12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130.66999999999999</v>
      </c>
      <c r="E28" s="276">
        <v>0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130.66999999999999</v>
      </c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183854.93</v>
      </c>
      <c r="E32" s="276">
        <v>23582.12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176454.88999999998</v>
      </c>
      <c r="E33" s="277">
        <v>16060.2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647.48</v>
      </c>
      <c r="E35" s="277">
        <v>343.48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6752.56</v>
      </c>
      <c r="E37" s="277">
        <v>7178.4400000000005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11470.13</v>
      </c>
      <c r="E40" s="279">
        <v>30858.11</v>
      </c>
      <c r="G40" s="76"/>
    </row>
    <row r="41" spans="2:10" ht="13.5" thickBot="1">
      <c r="B41" s="102" t="s">
        <v>37</v>
      </c>
      <c r="C41" s="103" t="s">
        <v>38</v>
      </c>
      <c r="D41" s="364">
        <v>466656.9</v>
      </c>
      <c r="E41" s="151">
        <f>E26+E27+E40</f>
        <v>473932.89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1018.9</v>
      </c>
      <c r="E47" s="309">
        <v>721.98</v>
      </c>
      <c r="G47" s="73"/>
    </row>
    <row r="48" spans="2:10">
      <c r="B48" s="197" t="s">
        <v>6</v>
      </c>
      <c r="C48" s="198" t="s">
        <v>41</v>
      </c>
      <c r="D48" s="371">
        <v>721.98</v>
      </c>
      <c r="E48" s="152">
        <v>687.44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627.05960000000005</v>
      </c>
      <c r="E50" s="77">
        <v>646.35709999999995</v>
      </c>
      <c r="G50" s="183"/>
    </row>
    <row r="51" spans="2:7">
      <c r="B51" s="195" t="s">
        <v>6</v>
      </c>
      <c r="C51" s="196" t="s">
        <v>114</v>
      </c>
      <c r="D51" s="371">
        <v>515.66719999999998</v>
      </c>
      <c r="E51" s="77">
        <v>646.35709999999995</v>
      </c>
      <c r="G51" s="183"/>
    </row>
    <row r="52" spans="2:7">
      <c r="B52" s="195" t="s">
        <v>8</v>
      </c>
      <c r="C52" s="196" t="s">
        <v>115</v>
      </c>
      <c r="D52" s="371">
        <v>646.5652</v>
      </c>
      <c r="E52" s="77">
        <v>698.45979999999997</v>
      </c>
    </row>
    <row r="53" spans="2:7" ht="13.5" customHeight="1" thickBot="1">
      <c r="B53" s="199" t="s">
        <v>9</v>
      </c>
      <c r="C53" s="200" t="s">
        <v>41</v>
      </c>
      <c r="D53" s="369">
        <v>646.35709999999995</v>
      </c>
      <c r="E53" s="280">
        <v>689.4171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473932.89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473932.89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473932.89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473932.89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8">
    <pageSetUpPr fitToPage="1"/>
  </sheetPr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  <c r="H1" s="163"/>
      <c r="I1" s="163"/>
      <c r="J1" s="163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244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456110.3</v>
      </c>
      <c r="E11" s="245">
        <f>SUM(E12:E14)</f>
        <v>455357.57</v>
      </c>
    </row>
    <row r="12" spans="2:12">
      <c r="B12" s="184" t="s">
        <v>4</v>
      </c>
      <c r="C12" s="185" t="s">
        <v>5</v>
      </c>
      <c r="D12" s="300">
        <v>456110.3</v>
      </c>
      <c r="E12" s="250">
        <v>455357.57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456110.3</v>
      </c>
      <c r="E21" s="151">
        <f>E11-E17</f>
        <v>455357.57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  <c r="H25" s="242"/>
    </row>
    <row r="26" spans="2:11" ht="13">
      <c r="B26" s="98" t="s">
        <v>15</v>
      </c>
      <c r="C26" s="99" t="s">
        <v>16</v>
      </c>
      <c r="D26" s="359">
        <v>726792.91</v>
      </c>
      <c r="E26" s="239">
        <f>D21</f>
        <v>456110.3</v>
      </c>
      <c r="G26" s="76"/>
      <c r="H26" s="242"/>
    </row>
    <row r="27" spans="2:11" ht="13">
      <c r="B27" s="8" t="s">
        <v>17</v>
      </c>
      <c r="C27" s="9" t="s">
        <v>111</v>
      </c>
      <c r="D27" s="360">
        <v>-300034.65000000002</v>
      </c>
      <c r="E27" s="275">
        <v>-7956.58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300034.65000000002</v>
      </c>
      <c r="E32" s="276">
        <v>7956.58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291249.13999999996</v>
      </c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1240.99</v>
      </c>
      <c r="E35" s="277">
        <v>638.04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7544.52</v>
      </c>
      <c r="E37" s="277">
        <v>7318.54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29352.04</v>
      </c>
      <c r="E40" s="279">
        <v>7203.85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456110.3</v>
      </c>
      <c r="E41" s="151">
        <f>E26+E27+E40</f>
        <v>455357.56999999995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1853.3</v>
      </c>
      <c r="E47" s="309">
        <v>1095.28</v>
      </c>
      <c r="G47" s="73"/>
    </row>
    <row r="48" spans="2:10">
      <c r="B48" s="197" t="s">
        <v>6</v>
      </c>
      <c r="C48" s="198" t="s">
        <v>41</v>
      </c>
      <c r="D48" s="371">
        <v>1095.28</v>
      </c>
      <c r="E48" s="152">
        <v>1076.27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392.16149999999999</v>
      </c>
      <c r="E50" s="77">
        <v>416.43259999999998</v>
      </c>
      <c r="G50" s="183"/>
    </row>
    <row r="51" spans="2:7">
      <c r="B51" s="195" t="s">
        <v>6</v>
      </c>
      <c r="C51" s="196" t="s">
        <v>114</v>
      </c>
      <c r="D51" s="371">
        <v>312.63310000000001</v>
      </c>
      <c r="E51" s="77">
        <v>411.57850000000002</v>
      </c>
      <c r="G51" s="183"/>
    </row>
    <row r="52" spans="2:7">
      <c r="B52" s="195" t="s">
        <v>8</v>
      </c>
      <c r="C52" s="196" t="s">
        <v>115</v>
      </c>
      <c r="D52" s="371">
        <v>416.43259999999998</v>
      </c>
      <c r="E52" s="77">
        <v>425.80200000000002</v>
      </c>
    </row>
    <row r="53" spans="2:7" ht="14.25" customHeight="1" thickBot="1">
      <c r="B53" s="199" t="s">
        <v>9</v>
      </c>
      <c r="C53" s="200" t="s">
        <v>41</v>
      </c>
      <c r="D53" s="369">
        <v>416.43259999999998</v>
      </c>
      <c r="E53" s="280">
        <v>423.08859999999999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455357.57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455357.57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455357.57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455357.57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9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229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/>
      <c r="E11" s="245"/>
    </row>
    <row r="12" spans="2:12">
      <c r="B12" s="184" t="s">
        <v>4</v>
      </c>
      <c r="C12" s="185" t="s">
        <v>5</v>
      </c>
      <c r="D12" s="300"/>
      <c r="E12" s="250"/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/>
      <c r="E21" s="151"/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0</v>
      </c>
      <c r="E26" s="239">
        <f>D21</f>
        <v>0</v>
      </c>
      <c r="G26" s="76"/>
    </row>
    <row r="27" spans="2:11" ht="13">
      <c r="B27" s="8" t="s">
        <v>17</v>
      </c>
      <c r="C27" s="9" t="s">
        <v>111</v>
      </c>
      <c r="D27" s="360">
        <v>-1.01</v>
      </c>
      <c r="E27" s="275">
        <v>1.88</v>
      </c>
      <c r="F27" s="73"/>
      <c r="G27" s="76"/>
      <c r="H27" s="73"/>
      <c r="I27" s="73"/>
      <c r="J27" s="76"/>
    </row>
    <row r="28" spans="2:11" ht="13">
      <c r="B28" s="8" t="s">
        <v>18</v>
      </c>
      <c r="C28" s="9" t="s">
        <v>19</v>
      </c>
      <c r="D28" s="360"/>
      <c r="E28" s="276">
        <v>1.88</v>
      </c>
      <c r="F28" s="73"/>
      <c r="G28" s="156"/>
      <c r="H28" s="73"/>
      <c r="I28" s="73"/>
      <c r="J28" s="76"/>
    </row>
    <row r="29" spans="2:11" ht="13">
      <c r="B29" s="192" t="s">
        <v>4</v>
      </c>
      <c r="C29" s="185" t="s">
        <v>20</v>
      </c>
      <c r="D29" s="361"/>
      <c r="E29" s="277">
        <v>0</v>
      </c>
      <c r="F29" s="73"/>
      <c r="G29" s="156"/>
      <c r="H29" s="73"/>
      <c r="I29" s="73"/>
      <c r="J29" s="76"/>
    </row>
    <row r="30" spans="2:11" ht="13">
      <c r="B30" s="192" t="s">
        <v>6</v>
      </c>
      <c r="C30" s="185" t="s">
        <v>21</v>
      </c>
      <c r="D30" s="361"/>
      <c r="E30" s="277">
        <v>0</v>
      </c>
      <c r="F30" s="73"/>
      <c r="G30" s="156"/>
      <c r="H30" s="73"/>
      <c r="I30" s="73"/>
      <c r="J30" s="76"/>
    </row>
    <row r="31" spans="2:11" ht="13">
      <c r="B31" s="192" t="s">
        <v>8</v>
      </c>
      <c r="C31" s="185" t="s">
        <v>22</v>
      </c>
      <c r="D31" s="361"/>
      <c r="E31" s="277">
        <v>1.88</v>
      </c>
      <c r="F31" s="73"/>
      <c r="G31" s="156"/>
      <c r="H31" s="73"/>
      <c r="I31" s="73"/>
      <c r="J31" s="76"/>
    </row>
    <row r="32" spans="2:11" ht="13">
      <c r="B32" s="95" t="s">
        <v>23</v>
      </c>
      <c r="C32" s="10" t="s">
        <v>24</v>
      </c>
      <c r="D32" s="360">
        <v>1.01</v>
      </c>
      <c r="E32" s="276">
        <v>0</v>
      </c>
      <c r="F32" s="73"/>
      <c r="G32" s="76"/>
      <c r="H32" s="73"/>
      <c r="I32" s="73"/>
      <c r="J32" s="76"/>
    </row>
    <row r="33" spans="2:10" ht="13">
      <c r="B33" s="192" t="s">
        <v>4</v>
      </c>
      <c r="C33" s="185" t="s">
        <v>25</v>
      </c>
      <c r="D33" s="361"/>
      <c r="E33" s="277">
        <v>0</v>
      </c>
      <c r="F33" s="73"/>
      <c r="G33" s="156"/>
      <c r="H33" s="73"/>
      <c r="I33" s="73"/>
      <c r="J33" s="76"/>
    </row>
    <row r="34" spans="2:10" ht="13">
      <c r="B34" s="192" t="s">
        <v>6</v>
      </c>
      <c r="C34" s="185" t="s">
        <v>26</v>
      </c>
      <c r="D34" s="361"/>
      <c r="E34" s="277">
        <v>0</v>
      </c>
      <c r="F34" s="73"/>
      <c r="G34" s="156"/>
      <c r="H34" s="73"/>
      <c r="I34" s="73"/>
      <c r="J34" s="76"/>
    </row>
    <row r="35" spans="2:10" ht="13">
      <c r="B35" s="192" t="s">
        <v>8</v>
      </c>
      <c r="C35" s="185" t="s">
        <v>27</v>
      </c>
      <c r="D35" s="361"/>
      <c r="E35" s="277">
        <v>0</v>
      </c>
      <c r="F35" s="73"/>
      <c r="G35" s="156"/>
      <c r="H35" s="73"/>
      <c r="I35" s="73"/>
      <c r="J35" s="76"/>
    </row>
    <row r="36" spans="2:10" ht="13">
      <c r="B36" s="192" t="s">
        <v>9</v>
      </c>
      <c r="C36" s="185" t="s">
        <v>28</v>
      </c>
      <c r="D36" s="361"/>
      <c r="E36" s="277">
        <v>0</v>
      </c>
      <c r="F36" s="73"/>
      <c r="G36" s="156"/>
      <c r="H36" s="73"/>
      <c r="I36" s="73"/>
      <c r="J36" s="76"/>
    </row>
    <row r="37" spans="2:10" ht="25.5">
      <c r="B37" s="192" t="s">
        <v>29</v>
      </c>
      <c r="C37" s="185" t="s">
        <v>30</v>
      </c>
      <c r="D37" s="361"/>
      <c r="E37" s="277">
        <v>0</v>
      </c>
      <c r="F37" s="73"/>
      <c r="G37" s="156"/>
      <c r="H37" s="73"/>
      <c r="I37" s="73"/>
      <c r="J37" s="76"/>
    </row>
    <row r="38" spans="2:10" ht="13">
      <c r="B38" s="192" t="s">
        <v>31</v>
      </c>
      <c r="C38" s="185" t="s">
        <v>32</v>
      </c>
      <c r="D38" s="361"/>
      <c r="E38" s="277">
        <v>0</v>
      </c>
      <c r="F38" s="73"/>
      <c r="G38" s="156"/>
      <c r="H38" s="73"/>
      <c r="I38" s="73"/>
      <c r="J38" s="76"/>
    </row>
    <row r="39" spans="2:10" ht="13">
      <c r="B39" s="193" t="s">
        <v>33</v>
      </c>
      <c r="C39" s="194" t="s">
        <v>34</v>
      </c>
      <c r="D39" s="362">
        <v>1.01</v>
      </c>
      <c r="E39" s="278">
        <v>0</v>
      </c>
      <c r="F39" s="73"/>
      <c r="G39" s="156"/>
      <c r="H39" s="73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1.01</v>
      </c>
      <c r="E40" s="279">
        <v>-1.88</v>
      </c>
      <c r="G40" s="76"/>
    </row>
    <row r="41" spans="2:10" ht="13.5" thickBot="1">
      <c r="B41" s="102" t="s">
        <v>37</v>
      </c>
      <c r="C41" s="103" t="s">
        <v>38</v>
      </c>
      <c r="D41" s="364">
        <v>0</v>
      </c>
      <c r="E41" s="151">
        <f>E26+E27+E40</f>
        <v>0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/>
      <c r="E47" s="309"/>
      <c r="G47" s="73"/>
    </row>
    <row r="48" spans="2:10">
      <c r="B48" s="197" t="s">
        <v>6</v>
      </c>
      <c r="C48" s="198" t="s">
        <v>41</v>
      </c>
      <c r="D48" s="371"/>
      <c r="E48" s="152"/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/>
      <c r="E50" s="77"/>
      <c r="G50" s="183"/>
    </row>
    <row r="51" spans="2:7">
      <c r="B51" s="195" t="s">
        <v>6</v>
      </c>
      <c r="C51" s="196" t="s">
        <v>114</v>
      </c>
      <c r="D51" s="371">
        <v>353.1</v>
      </c>
      <c r="E51" s="281">
        <v>350.12</v>
      </c>
      <c r="G51" s="183"/>
    </row>
    <row r="52" spans="2:7">
      <c r="B52" s="195" t="s">
        <v>8</v>
      </c>
      <c r="C52" s="196" t="s">
        <v>115</v>
      </c>
      <c r="D52" s="371">
        <v>365.74</v>
      </c>
      <c r="E52" s="281">
        <v>366.03</v>
      </c>
    </row>
    <row r="53" spans="2:7" ht="12.75" customHeight="1" thickBot="1">
      <c r="B53" s="199" t="s">
        <v>9</v>
      </c>
      <c r="C53" s="200" t="s">
        <v>41</v>
      </c>
      <c r="D53" s="369"/>
      <c r="E53" s="280"/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0</v>
      </c>
      <c r="E58" s="30">
        <v>0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0</v>
      </c>
      <c r="E64" s="83"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D58-D73</f>
        <v>0</v>
      </c>
      <c r="E74" s="66">
        <f>E58+E72-E73</f>
        <v>0</v>
      </c>
    </row>
    <row r="75" spans="2:5">
      <c r="B75" s="105" t="s">
        <v>4</v>
      </c>
      <c r="C75" s="14" t="s">
        <v>67</v>
      </c>
      <c r="D75" s="80">
        <f>D74</f>
        <v>0</v>
      </c>
      <c r="E75" s="81">
        <f>E74</f>
        <v>0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Q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0.90625" customWidth="1"/>
    <col min="10" max="10" width="9" customWidth="1"/>
    <col min="11" max="11" width="10.6328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124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244"/>
      <c r="C10" s="227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238413.99000000002</v>
      </c>
      <c r="E11" s="245">
        <f>SUM(E12:E14)</f>
        <v>542054.1399999999</v>
      </c>
      <c r="H11" s="73"/>
    </row>
    <row r="12" spans="2:12">
      <c r="B12" s="184" t="s">
        <v>4</v>
      </c>
      <c r="C12" s="248" t="s">
        <v>5</v>
      </c>
      <c r="D12" s="300">
        <f>210978.01+26843.1</f>
        <v>237821.11000000002</v>
      </c>
      <c r="E12" s="250">
        <f>481544.94+51402.64</f>
        <v>532947.57999999996</v>
      </c>
      <c r="H12" s="73"/>
    </row>
    <row r="13" spans="2:12">
      <c r="B13" s="184" t="s">
        <v>6</v>
      </c>
      <c r="C13" s="248" t="s">
        <v>7</v>
      </c>
      <c r="D13" s="301">
        <v>179.28</v>
      </c>
      <c r="E13" s="251">
        <v>8639.7199999999993</v>
      </c>
      <c r="H13" s="73"/>
    </row>
    <row r="14" spans="2:12">
      <c r="B14" s="184" t="s">
        <v>8</v>
      </c>
      <c r="C14" s="248" t="s">
        <v>10</v>
      </c>
      <c r="D14" s="301">
        <f>D15</f>
        <v>413.6</v>
      </c>
      <c r="E14" s="251">
        <f>E15</f>
        <v>466.84</v>
      </c>
      <c r="H14" s="73"/>
    </row>
    <row r="15" spans="2:12">
      <c r="B15" s="184" t="s">
        <v>106</v>
      </c>
      <c r="C15" s="248" t="s">
        <v>11</v>
      </c>
      <c r="D15" s="301">
        <v>413.6</v>
      </c>
      <c r="E15" s="251">
        <v>466.84</v>
      </c>
      <c r="H15" s="73"/>
    </row>
    <row r="16" spans="2:12">
      <c r="B16" s="187" t="s">
        <v>107</v>
      </c>
      <c r="C16" s="249" t="s">
        <v>12</v>
      </c>
      <c r="D16" s="302"/>
      <c r="E16" s="252"/>
      <c r="H16" s="73"/>
    </row>
    <row r="17" spans="2:17" ht="13">
      <c r="B17" s="8" t="s">
        <v>13</v>
      </c>
      <c r="C17" s="210" t="s">
        <v>65</v>
      </c>
      <c r="D17" s="303">
        <f>D18</f>
        <v>1632.48</v>
      </c>
      <c r="E17" s="253">
        <f>E18</f>
        <v>1582.59</v>
      </c>
      <c r="H17" s="73"/>
    </row>
    <row r="18" spans="2:17">
      <c r="B18" s="184" t="s">
        <v>4</v>
      </c>
      <c r="C18" s="248" t="s">
        <v>11</v>
      </c>
      <c r="D18" s="302">
        <v>1632.48</v>
      </c>
      <c r="E18" s="252">
        <v>1582.59</v>
      </c>
      <c r="H18" s="73"/>
    </row>
    <row r="19" spans="2:17" ht="15" customHeight="1">
      <c r="B19" s="184" t="s">
        <v>6</v>
      </c>
      <c r="C19" s="248" t="s">
        <v>108</v>
      </c>
      <c r="D19" s="301"/>
      <c r="E19" s="251"/>
    </row>
    <row r="20" spans="2:17" ht="13" thickBot="1">
      <c r="B20" s="189" t="s">
        <v>8</v>
      </c>
      <c r="C20" s="190" t="s">
        <v>14</v>
      </c>
      <c r="D20" s="304"/>
      <c r="E20" s="246"/>
    </row>
    <row r="21" spans="2:17" ht="13.5" thickBot="1">
      <c r="B21" s="412" t="s">
        <v>110</v>
      </c>
      <c r="C21" s="413"/>
      <c r="D21" s="305">
        <f>D11-D17</f>
        <v>236781.51</v>
      </c>
      <c r="E21" s="151">
        <f>E11-E17</f>
        <v>540471.54999999993</v>
      </c>
      <c r="F21" s="79"/>
      <c r="G21" s="79"/>
      <c r="H21" s="171"/>
      <c r="J21" s="232"/>
      <c r="K21" s="171"/>
    </row>
    <row r="22" spans="2:17">
      <c r="B22" s="3"/>
      <c r="C22" s="6"/>
      <c r="D22" s="7"/>
      <c r="E22" s="7"/>
      <c r="G22" s="73"/>
    </row>
    <row r="23" spans="2:17" ht="13.5">
      <c r="B23" s="405" t="s">
        <v>104</v>
      </c>
      <c r="C23" s="414"/>
      <c r="D23" s="414"/>
      <c r="E23" s="414"/>
      <c r="G23" s="73"/>
    </row>
    <row r="24" spans="2:17" ht="16.5" customHeight="1" thickBot="1">
      <c r="B24" s="404" t="s">
        <v>105</v>
      </c>
      <c r="C24" s="415"/>
      <c r="D24" s="415"/>
      <c r="E24" s="415"/>
    </row>
    <row r="25" spans="2:17" ht="13.5" thickBot="1">
      <c r="B25" s="244"/>
      <c r="C25" s="191" t="s">
        <v>2</v>
      </c>
      <c r="D25" s="291" t="s">
        <v>246</v>
      </c>
      <c r="E25" s="258" t="s">
        <v>262</v>
      </c>
    </row>
    <row r="26" spans="2:17" ht="13">
      <c r="B26" s="98" t="s">
        <v>15</v>
      </c>
      <c r="C26" s="99" t="s">
        <v>16</v>
      </c>
      <c r="D26" s="359">
        <v>263695.96999999997</v>
      </c>
      <c r="E26" s="239">
        <f>D21</f>
        <v>236781.51</v>
      </c>
      <c r="G26" s="76"/>
    </row>
    <row r="27" spans="2:17" ht="13">
      <c r="B27" s="8" t="s">
        <v>17</v>
      </c>
      <c r="C27" s="9" t="s">
        <v>111</v>
      </c>
      <c r="D27" s="360">
        <v>48564.009999999995</v>
      </c>
      <c r="E27" s="275">
        <v>166705.15</v>
      </c>
      <c r="F27" s="73"/>
      <c r="G27" s="256"/>
      <c r="H27" s="255"/>
      <c r="I27" s="73"/>
      <c r="J27" s="76"/>
    </row>
    <row r="28" spans="2:17" ht="13">
      <c r="B28" s="8" t="s">
        <v>18</v>
      </c>
      <c r="C28" s="9" t="s">
        <v>19</v>
      </c>
      <c r="D28" s="360">
        <v>117877.67</v>
      </c>
      <c r="E28" s="276">
        <v>249849.09</v>
      </c>
      <c r="F28" s="73"/>
      <c r="G28" s="255"/>
      <c r="H28" s="255"/>
      <c r="I28" s="73"/>
      <c r="J28" s="76"/>
    </row>
    <row r="29" spans="2:17" ht="13">
      <c r="B29" s="192" t="s">
        <v>4</v>
      </c>
      <c r="C29" s="185" t="s">
        <v>20</v>
      </c>
      <c r="D29" s="361">
        <v>78878.92</v>
      </c>
      <c r="E29" s="277">
        <v>117154.76000000001</v>
      </c>
      <c r="F29" s="73"/>
      <c r="G29" s="255"/>
      <c r="H29" s="255"/>
      <c r="I29" s="73"/>
      <c r="J29" s="76"/>
    </row>
    <row r="30" spans="2:17" ht="13">
      <c r="B30" s="192" t="s">
        <v>6</v>
      </c>
      <c r="C30" s="185" t="s">
        <v>21</v>
      </c>
      <c r="D30" s="361"/>
      <c r="E30" s="277"/>
      <c r="F30" s="73"/>
      <c r="G30" s="255"/>
      <c r="H30" s="255"/>
      <c r="I30" s="73"/>
      <c r="J30" s="76"/>
      <c r="Q30" s="260"/>
    </row>
    <row r="31" spans="2:17" ht="13">
      <c r="B31" s="192" t="s">
        <v>8</v>
      </c>
      <c r="C31" s="185" t="s">
        <v>22</v>
      </c>
      <c r="D31" s="361">
        <v>38998.75</v>
      </c>
      <c r="E31" s="277">
        <v>132694.33000000002</v>
      </c>
      <c r="F31" s="73"/>
      <c r="G31" s="255"/>
      <c r="H31" s="255"/>
      <c r="I31" s="73"/>
      <c r="J31" s="76"/>
    </row>
    <row r="32" spans="2:17" ht="13">
      <c r="B32" s="95" t="s">
        <v>23</v>
      </c>
      <c r="C32" s="10" t="s">
        <v>24</v>
      </c>
      <c r="D32" s="360">
        <v>69313.66</v>
      </c>
      <c r="E32" s="276">
        <v>83143.94</v>
      </c>
      <c r="F32" s="73"/>
      <c r="G32" s="256"/>
      <c r="H32" s="255"/>
      <c r="I32" s="73"/>
      <c r="J32" s="76"/>
    </row>
    <row r="33" spans="2:17" ht="13">
      <c r="B33" s="192" t="s">
        <v>4</v>
      </c>
      <c r="C33" s="185" t="s">
        <v>25</v>
      </c>
      <c r="D33" s="361">
        <v>38106.83</v>
      </c>
      <c r="E33" s="277">
        <v>65951.41</v>
      </c>
      <c r="F33" s="73"/>
      <c r="G33" s="255"/>
      <c r="H33" s="255"/>
      <c r="I33" s="73"/>
      <c r="J33" s="76"/>
    </row>
    <row r="34" spans="2:17" ht="13">
      <c r="B34" s="192" t="s">
        <v>6</v>
      </c>
      <c r="C34" s="185" t="s">
        <v>26</v>
      </c>
      <c r="D34" s="361"/>
      <c r="E34" s="277"/>
      <c r="F34" s="73"/>
      <c r="G34" s="255"/>
      <c r="H34" s="255"/>
      <c r="I34" s="73"/>
      <c r="J34" s="76"/>
      <c r="Q34" s="183"/>
    </row>
    <row r="35" spans="2:17" ht="13">
      <c r="B35" s="192" t="s">
        <v>8</v>
      </c>
      <c r="C35" s="185" t="s">
        <v>27</v>
      </c>
      <c r="D35" s="361">
        <v>5741.73</v>
      </c>
      <c r="E35" s="277">
        <v>5844.85</v>
      </c>
      <c r="F35" s="73"/>
      <c r="G35" s="255"/>
      <c r="H35" s="255"/>
      <c r="I35" s="73"/>
      <c r="J35" s="76"/>
    </row>
    <row r="36" spans="2:17" ht="13">
      <c r="B36" s="192" t="s">
        <v>9</v>
      </c>
      <c r="C36" s="185" t="s">
        <v>28</v>
      </c>
      <c r="D36" s="361"/>
      <c r="E36" s="277"/>
      <c r="F36" s="73"/>
      <c r="G36" s="255"/>
      <c r="H36" s="255"/>
      <c r="I36" s="73"/>
      <c r="J36" s="76"/>
    </row>
    <row r="37" spans="2:17" ht="25.5">
      <c r="B37" s="192" t="s">
        <v>29</v>
      </c>
      <c r="C37" s="185" t="s">
        <v>30</v>
      </c>
      <c r="D37" s="361"/>
      <c r="E37" s="277"/>
      <c r="F37" s="73"/>
      <c r="G37" s="255"/>
      <c r="H37" s="255"/>
      <c r="I37" s="73"/>
      <c r="J37" s="76"/>
    </row>
    <row r="38" spans="2:17" ht="13">
      <c r="B38" s="192" t="s">
        <v>31</v>
      </c>
      <c r="C38" s="185" t="s">
        <v>32</v>
      </c>
      <c r="D38" s="361"/>
      <c r="E38" s="277"/>
      <c r="F38" s="73"/>
      <c r="G38" s="255"/>
      <c r="H38" s="255"/>
      <c r="I38" s="73"/>
      <c r="J38" s="76"/>
    </row>
    <row r="39" spans="2:17" ht="13">
      <c r="B39" s="193" t="s">
        <v>33</v>
      </c>
      <c r="C39" s="194" t="s">
        <v>34</v>
      </c>
      <c r="D39" s="362">
        <v>25465.1</v>
      </c>
      <c r="E39" s="278">
        <v>11347.68</v>
      </c>
      <c r="F39" s="73"/>
      <c r="G39" s="255"/>
      <c r="H39" s="255"/>
      <c r="I39" s="73"/>
      <c r="J39" s="76"/>
    </row>
    <row r="40" spans="2:17" ht="13.5" thickBot="1">
      <c r="B40" s="100" t="s">
        <v>35</v>
      </c>
      <c r="C40" s="101" t="s">
        <v>36</v>
      </c>
      <c r="D40" s="363">
        <v>-75478.47</v>
      </c>
      <c r="E40" s="279">
        <v>136984.89000000001</v>
      </c>
      <c r="G40" s="76"/>
    </row>
    <row r="41" spans="2:17" ht="13.5" thickBot="1">
      <c r="B41" s="102" t="s">
        <v>37</v>
      </c>
      <c r="C41" s="103" t="s">
        <v>38</v>
      </c>
      <c r="D41" s="364">
        <v>236781.50999999998</v>
      </c>
      <c r="E41" s="151">
        <f>E26+E27+E40</f>
        <v>540471.55000000005</v>
      </c>
      <c r="F41" s="79"/>
      <c r="G41" s="76"/>
    </row>
    <row r="42" spans="2:17" ht="13">
      <c r="B42" s="96"/>
      <c r="C42" s="96"/>
      <c r="D42" s="97"/>
      <c r="E42" s="97"/>
      <c r="F42" s="79"/>
      <c r="G42" s="67"/>
    </row>
    <row r="43" spans="2:17" ht="13.5">
      <c r="B43" s="406" t="s">
        <v>60</v>
      </c>
      <c r="C43" s="416"/>
      <c r="D43" s="416"/>
      <c r="E43" s="416"/>
      <c r="G43" s="73"/>
    </row>
    <row r="44" spans="2:17" ht="15.75" customHeight="1" thickBot="1">
      <c r="B44" s="404" t="s">
        <v>121</v>
      </c>
      <c r="C44" s="411"/>
      <c r="D44" s="411"/>
      <c r="E44" s="411"/>
      <c r="G44" s="73"/>
    </row>
    <row r="45" spans="2:17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7" ht="13">
      <c r="B46" s="12" t="s">
        <v>18</v>
      </c>
      <c r="C46" s="29" t="s">
        <v>112</v>
      </c>
      <c r="D46" s="104"/>
      <c r="E46" s="27"/>
      <c r="G46" s="73"/>
    </row>
    <row r="47" spans="2:17">
      <c r="B47" s="105" t="s">
        <v>4</v>
      </c>
      <c r="C47" s="14" t="s">
        <v>40</v>
      </c>
      <c r="D47" s="371">
        <v>34295.900099999999</v>
      </c>
      <c r="E47" s="309">
        <v>44061.918400000002</v>
      </c>
      <c r="G47" s="73"/>
    </row>
    <row r="48" spans="2:17">
      <c r="B48" s="126" t="s">
        <v>6</v>
      </c>
      <c r="C48" s="21" t="s">
        <v>41</v>
      </c>
      <c r="D48" s="371">
        <v>44061.918400000002</v>
      </c>
      <c r="E48" s="380">
        <v>71538.973499999993</v>
      </c>
      <c r="G48" s="206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7.6886000000000001</v>
      </c>
      <c r="E50" s="307">
        <v>5.3738999999999999</v>
      </c>
      <c r="G50" s="183"/>
    </row>
    <row r="51" spans="2:7">
      <c r="B51" s="105" t="s">
        <v>6</v>
      </c>
      <c r="C51" s="14" t="s">
        <v>114</v>
      </c>
      <c r="D51" s="371">
        <v>3.6722000000000001</v>
      </c>
      <c r="E51" s="317">
        <v>5.3277999999999999</v>
      </c>
      <c r="G51" s="183"/>
    </row>
    <row r="52" spans="2:7">
      <c r="B52" s="105" t="s">
        <v>8</v>
      </c>
      <c r="C52" s="14" t="s">
        <v>115</v>
      </c>
      <c r="D52" s="371">
        <v>7.7778999999999998</v>
      </c>
      <c r="E52" s="77">
        <v>8.0306999999999995</v>
      </c>
    </row>
    <row r="53" spans="2:7" ht="13" thickBot="1">
      <c r="B53" s="106" t="s">
        <v>9</v>
      </c>
      <c r="C53" s="16" t="s">
        <v>41</v>
      </c>
      <c r="D53" s="369">
        <v>5.3738999999999999</v>
      </c>
      <c r="E53" s="280">
        <v>7.5548999999999999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532947.57999999996</v>
      </c>
      <c r="E58" s="30">
        <f>D58/E21</f>
        <v>0.98607887871248734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4" customHeight="1">
      <c r="B60" s="13" t="s">
        <v>6</v>
      </c>
      <c r="C60" s="14" t="s">
        <v>45</v>
      </c>
      <c r="D60" s="80">
        <v>0</v>
      </c>
      <c r="E60" s="81">
        <v>0</v>
      </c>
    </row>
    <row r="61" spans="2:7">
      <c r="B61" s="13" t="s">
        <v>8</v>
      </c>
      <c r="C61" s="14" t="s">
        <v>46</v>
      </c>
      <c r="D61" s="80">
        <v>0</v>
      </c>
      <c r="E61" s="81">
        <v>0</v>
      </c>
    </row>
    <row r="62" spans="2:7">
      <c r="B62" s="13" t="s">
        <v>9</v>
      </c>
      <c r="C62" s="14" t="s">
        <v>47</v>
      </c>
      <c r="D62" s="80">
        <v>481544.94</v>
      </c>
      <c r="E62" s="81">
        <f>D62/E21</f>
        <v>0.89097185596540662</v>
      </c>
    </row>
    <row r="63" spans="2:7">
      <c r="B63" s="13" t="s">
        <v>29</v>
      </c>
      <c r="C63" s="14" t="s">
        <v>48</v>
      </c>
      <c r="D63" s="80">
        <v>0</v>
      </c>
      <c r="E63" s="81">
        <v>0</v>
      </c>
    </row>
    <row r="64" spans="2:7">
      <c r="B64" s="20" t="s">
        <v>31</v>
      </c>
      <c r="C64" s="21" t="s">
        <v>49</v>
      </c>
      <c r="D64" s="377">
        <v>0</v>
      </c>
      <c r="E64" s="83">
        <f>D64/E21</f>
        <v>0</v>
      </c>
    </row>
    <row r="65" spans="2:8">
      <c r="B65" s="20" t="s">
        <v>33</v>
      </c>
      <c r="C65" s="21" t="s">
        <v>118</v>
      </c>
      <c r="D65" s="82">
        <v>0</v>
      </c>
      <c r="E65" s="83">
        <v>0</v>
      </c>
    </row>
    <row r="66" spans="2:8">
      <c r="B66" s="20" t="s">
        <v>50</v>
      </c>
      <c r="C66" s="21" t="s">
        <v>51</v>
      </c>
      <c r="D66" s="82">
        <v>0</v>
      </c>
      <c r="E66" s="83">
        <v>0</v>
      </c>
    </row>
    <row r="67" spans="2:8">
      <c r="B67" s="13" t="s">
        <v>52</v>
      </c>
      <c r="C67" s="14" t="s">
        <v>53</v>
      </c>
      <c r="D67" s="80">
        <v>0</v>
      </c>
      <c r="E67" s="81">
        <v>0</v>
      </c>
      <c r="G67" s="73"/>
    </row>
    <row r="68" spans="2:8">
      <c r="B68" s="13" t="s">
        <v>54</v>
      </c>
      <c r="C68" s="14" t="s">
        <v>55</v>
      </c>
      <c r="D68" s="80">
        <v>0</v>
      </c>
      <c r="E68" s="81">
        <v>0</v>
      </c>
      <c r="G68" s="73"/>
    </row>
    <row r="69" spans="2:8">
      <c r="B69" s="13" t="s">
        <v>56</v>
      </c>
      <c r="C69" s="14" t="s">
        <v>57</v>
      </c>
      <c r="D69" s="370">
        <v>51402.64</v>
      </c>
      <c r="E69" s="81">
        <f>D69/E21</f>
        <v>9.5107022747080772E-2</v>
      </c>
    </row>
    <row r="70" spans="2:8">
      <c r="B70" s="115" t="s">
        <v>58</v>
      </c>
      <c r="C70" s="116" t="s">
        <v>59</v>
      </c>
      <c r="D70" s="117">
        <v>0</v>
      </c>
      <c r="E70" s="118">
        <v>0</v>
      </c>
    </row>
    <row r="71" spans="2:8" ht="13">
      <c r="B71" s="123" t="s">
        <v>23</v>
      </c>
      <c r="C71" s="124" t="s">
        <v>61</v>
      </c>
      <c r="D71" s="125">
        <f>E13</f>
        <v>8639.7199999999993</v>
      </c>
      <c r="E71" s="66">
        <f>D71/E21</f>
        <v>1.5985522272171405E-2</v>
      </c>
    </row>
    <row r="72" spans="2:8" ht="13">
      <c r="B72" s="119" t="s">
        <v>60</v>
      </c>
      <c r="C72" s="120" t="s">
        <v>63</v>
      </c>
      <c r="D72" s="121">
        <f>E14</f>
        <v>466.84</v>
      </c>
      <c r="E72" s="122">
        <f>D72/E21</f>
        <v>8.6376424438992219E-4</v>
      </c>
    </row>
    <row r="73" spans="2:8" ht="13">
      <c r="B73" s="22" t="s">
        <v>62</v>
      </c>
      <c r="C73" s="23" t="s">
        <v>65</v>
      </c>
      <c r="D73" s="24">
        <f>E17</f>
        <v>1582.59</v>
      </c>
      <c r="E73" s="25">
        <f>D73/E21</f>
        <v>2.9281652290485969E-3</v>
      </c>
    </row>
    <row r="74" spans="2:8" ht="13">
      <c r="B74" s="123" t="s">
        <v>64</v>
      </c>
      <c r="C74" s="124" t="s">
        <v>66</v>
      </c>
      <c r="D74" s="125">
        <f>D58+D71+D72-D73</f>
        <v>540471.54999999993</v>
      </c>
      <c r="E74" s="66">
        <f>E58+E71+E72-E73</f>
        <v>0.99999999999999989</v>
      </c>
    </row>
    <row r="75" spans="2:8">
      <c r="B75" s="13" t="s">
        <v>4</v>
      </c>
      <c r="C75" s="14" t="s">
        <v>67</v>
      </c>
      <c r="D75" s="80">
        <f>D74-D77</f>
        <v>145899.00999999989</v>
      </c>
      <c r="E75" s="81">
        <f>D75/E21</f>
        <v>0.26994762258994004</v>
      </c>
      <c r="G75" s="73"/>
      <c r="H75" s="183"/>
    </row>
    <row r="76" spans="2:8">
      <c r="B76" s="13" t="s">
        <v>6</v>
      </c>
      <c r="C76" s="14" t="s">
        <v>119</v>
      </c>
      <c r="D76" s="80">
        <v>0</v>
      </c>
      <c r="E76" s="81">
        <f>D76/E21</f>
        <v>0</v>
      </c>
      <c r="G76" s="73"/>
      <c r="H76" s="183"/>
    </row>
    <row r="77" spans="2:8" ht="13" thickBot="1">
      <c r="B77" s="15" t="s">
        <v>8</v>
      </c>
      <c r="C77" s="16" t="s">
        <v>120</v>
      </c>
      <c r="D77" s="84">
        <v>394572.54000000004</v>
      </c>
      <c r="E77" s="85">
        <f>D77/E21</f>
        <v>0.73005237741005991</v>
      </c>
    </row>
    <row r="78" spans="2:8">
      <c r="B78" s="1"/>
      <c r="C78" s="1"/>
      <c r="D78" s="2"/>
      <c r="E78" s="2"/>
    </row>
    <row r="79" spans="2:8">
      <c r="B79" s="1"/>
      <c r="C79" s="1"/>
      <c r="D79" s="2"/>
      <c r="E79" s="2"/>
    </row>
    <row r="80" spans="2:8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0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7"/>
      <c r="C4" s="14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217</v>
      </c>
      <c r="C6" s="403"/>
      <c r="D6" s="403"/>
      <c r="E6" s="403"/>
    </row>
    <row r="7" spans="2:12" ht="14">
      <c r="B7" s="145"/>
      <c r="C7" s="145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6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10186.14</v>
      </c>
      <c r="E11" s="245">
        <f>SUM(E12:E14)</f>
        <v>9734.16</v>
      </c>
    </row>
    <row r="12" spans="2:12">
      <c r="B12" s="184" t="s">
        <v>4</v>
      </c>
      <c r="C12" s="185" t="s">
        <v>5</v>
      </c>
      <c r="D12" s="300">
        <v>10186.14</v>
      </c>
      <c r="E12" s="250">
        <v>9734.16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10186.14</v>
      </c>
      <c r="E21" s="151">
        <f>E11-E17</f>
        <v>9734.16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9953.7099999999991</v>
      </c>
      <c r="E26" s="239">
        <f>D21</f>
        <v>10186.14</v>
      </c>
      <c r="G26" s="76"/>
      <c r="H26" s="242"/>
    </row>
    <row r="27" spans="2:11" ht="13">
      <c r="B27" s="8" t="s">
        <v>17</v>
      </c>
      <c r="C27" s="9" t="s">
        <v>111</v>
      </c>
      <c r="D27" s="360">
        <v>-201.5</v>
      </c>
      <c r="E27" s="275">
        <v>-219.70000000000002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201.5</v>
      </c>
      <c r="E32" s="276">
        <v>219.70000000000002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33.229999999999997</v>
      </c>
      <c r="E35" s="277">
        <v>33.770000000000003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168.27</v>
      </c>
      <c r="E37" s="277">
        <v>185.93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433.93</v>
      </c>
      <c r="E40" s="279">
        <v>-232.28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10186.14</v>
      </c>
      <c r="E41" s="151">
        <f>E26+E27+E40</f>
        <v>9734.159999999998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70.588700000000003</v>
      </c>
      <c r="E47" s="309">
        <v>69.124200000000002</v>
      </c>
      <c r="G47" s="73"/>
    </row>
    <row r="48" spans="2:10">
      <c r="B48" s="197" t="s">
        <v>6</v>
      </c>
      <c r="C48" s="198" t="s">
        <v>41</v>
      </c>
      <c r="D48" s="371">
        <v>69.124200000000002</v>
      </c>
      <c r="E48" s="152">
        <v>67.626499999999993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141.01</v>
      </c>
      <c r="E50" s="77">
        <v>147.36000000000001</v>
      </c>
      <c r="G50" s="183"/>
    </row>
    <row r="51" spans="2:7">
      <c r="B51" s="195" t="s">
        <v>6</v>
      </c>
      <c r="C51" s="196" t="s">
        <v>114</v>
      </c>
      <c r="D51" s="371">
        <v>121.39</v>
      </c>
      <c r="E51" s="77">
        <v>140.69999999999999</v>
      </c>
      <c r="G51" s="183"/>
    </row>
    <row r="52" spans="2:7">
      <c r="B52" s="195" t="s">
        <v>8</v>
      </c>
      <c r="C52" s="196" t="s">
        <v>115</v>
      </c>
      <c r="D52" s="371">
        <v>147.36000000000001</v>
      </c>
      <c r="E52" s="77">
        <v>148.65</v>
      </c>
    </row>
    <row r="53" spans="2:7" ht="12.75" customHeight="1" thickBot="1">
      <c r="B53" s="199" t="s">
        <v>9</v>
      </c>
      <c r="C53" s="200" t="s">
        <v>41</v>
      </c>
      <c r="D53" s="369">
        <v>147.36000000000001</v>
      </c>
      <c r="E53" s="280">
        <v>143.94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9734.16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9734.16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9734.16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9734.16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1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7"/>
      <c r="C4" s="14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218</v>
      </c>
      <c r="C6" s="403"/>
      <c r="D6" s="403"/>
      <c r="E6" s="403"/>
    </row>
    <row r="7" spans="2:12" ht="14">
      <c r="B7" s="145"/>
      <c r="C7" s="145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6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54723.199999999997</v>
      </c>
      <c r="E11" s="245">
        <f>SUM(E12:E14)</f>
        <v>61207.54</v>
      </c>
    </row>
    <row r="12" spans="2:12">
      <c r="B12" s="184" t="s">
        <v>4</v>
      </c>
      <c r="C12" s="185" t="s">
        <v>5</v>
      </c>
      <c r="D12" s="300">
        <v>54723.199999999997</v>
      </c>
      <c r="E12" s="250">
        <v>61207.54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54723.199999999997</v>
      </c>
      <c r="E21" s="151">
        <f>E11-E17</f>
        <v>61207.54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36227.25</v>
      </c>
      <c r="E26" s="239">
        <f>D21</f>
        <v>54723.199999999997</v>
      </c>
      <c r="G26" s="76"/>
    </row>
    <row r="27" spans="2:11" ht="13">
      <c r="B27" s="8" t="s">
        <v>17</v>
      </c>
      <c r="C27" s="9" t="s">
        <v>111</v>
      </c>
      <c r="D27" s="360">
        <v>-3155.47</v>
      </c>
      <c r="E27" s="275">
        <v>-987.61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31657.47</v>
      </c>
      <c r="E28" s="276">
        <v>23278.02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31657.47</v>
      </c>
      <c r="E31" s="277">
        <v>23278.02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34812.94</v>
      </c>
      <c r="E32" s="276">
        <v>24265.63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54.14</v>
      </c>
      <c r="E35" s="277">
        <v>17.190000000000001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1006.15</v>
      </c>
      <c r="E37" s="277">
        <v>1288.78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33752.65</v>
      </c>
      <c r="E39" s="278">
        <v>22959.66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21651.42</v>
      </c>
      <c r="E40" s="279">
        <v>7471.95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54723.199999999997</v>
      </c>
      <c r="E41" s="151">
        <f>E26+E27+E40</f>
        <v>61207.539999999994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349.65010000000001</v>
      </c>
      <c r="E47" s="309">
        <v>343.37200000000001</v>
      </c>
      <c r="G47" s="73"/>
    </row>
    <row r="48" spans="2:10">
      <c r="B48" s="197" t="s">
        <v>6</v>
      </c>
      <c r="C48" s="198" t="s">
        <v>41</v>
      </c>
      <c r="D48" s="371">
        <v>343.37200000000001</v>
      </c>
      <c r="E48" s="152">
        <v>336.2867</v>
      </c>
      <c r="G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103.61</v>
      </c>
      <c r="E50" s="77">
        <v>159.37</v>
      </c>
      <c r="G50" s="183"/>
    </row>
    <row r="51" spans="2:7">
      <c r="B51" s="195" t="s">
        <v>6</v>
      </c>
      <c r="C51" s="196" t="s">
        <v>114</v>
      </c>
      <c r="D51" s="371">
        <v>80.63</v>
      </c>
      <c r="E51" s="77">
        <v>159.37</v>
      </c>
      <c r="G51" s="183"/>
    </row>
    <row r="52" spans="2:7">
      <c r="B52" s="195" t="s">
        <v>8</v>
      </c>
      <c r="C52" s="196" t="s">
        <v>115</v>
      </c>
      <c r="D52" s="371">
        <v>159.37</v>
      </c>
      <c r="E52" s="77">
        <v>199.4</v>
      </c>
    </row>
    <row r="53" spans="2:7" ht="13.5" customHeight="1" thickBot="1">
      <c r="B53" s="199" t="s">
        <v>9</v>
      </c>
      <c r="C53" s="200" t="s">
        <v>41</v>
      </c>
      <c r="D53" s="369">
        <v>159.37</v>
      </c>
      <c r="E53" s="280">
        <v>182.01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61207.54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61207.54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61207.54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61207.54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73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250</v>
      </c>
      <c r="C6" s="403"/>
      <c r="D6" s="403"/>
      <c r="E6" s="403"/>
    </row>
    <row r="7" spans="2:12" ht="14">
      <c r="B7" s="234"/>
      <c r="C7" s="234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235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13976.89</v>
      </c>
      <c r="E11" s="245">
        <f>SUM(E12:E14)</f>
        <v>13989.49</v>
      </c>
    </row>
    <row r="12" spans="2:12">
      <c r="B12" s="184" t="s">
        <v>4</v>
      </c>
      <c r="C12" s="185" t="s">
        <v>5</v>
      </c>
      <c r="D12" s="300">
        <v>13976.89</v>
      </c>
      <c r="E12" s="250">
        <v>13989.49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13976.89</v>
      </c>
      <c r="E21" s="151">
        <f>E11-E17</f>
        <v>13989.49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3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10163.299999999999</v>
      </c>
      <c r="E26" s="239">
        <f>D21</f>
        <v>13976.89</v>
      </c>
      <c r="G26" s="76"/>
      <c r="H26" s="242"/>
    </row>
    <row r="27" spans="2:11" ht="13">
      <c r="B27" s="8" t="s">
        <v>17</v>
      </c>
      <c r="C27" s="9" t="s">
        <v>111</v>
      </c>
      <c r="D27" s="360">
        <v>-229.2</v>
      </c>
      <c r="E27" s="275">
        <v>-231.92000000000002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229.2</v>
      </c>
      <c r="E32" s="276">
        <v>231.92000000000002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42.33</v>
      </c>
      <c r="E35" s="277">
        <v>33.869999999999997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186.87</v>
      </c>
      <c r="E37" s="277">
        <v>198.05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4042.79</v>
      </c>
      <c r="E40" s="279">
        <v>244.52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13976.89</v>
      </c>
      <c r="E41" s="151">
        <f>E26+E27+E40</f>
        <v>13989.49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3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51.1541</v>
      </c>
      <c r="E47" s="309">
        <v>50.179099999999998</v>
      </c>
      <c r="G47" s="73"/>
    </row>
    <row r="48" spans="2:10">
      <c r="B48" s="197" t="s">
        <v>6</v>
      </c>
      <c r="C48" s="198" t="s">
        <v>41</v>
      </c>
      <c r="D48" s="371">
        <v>50.179099999999998</v>
      </c>
      <c r="E48" s="152">
        <v>49.352600000000002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198.68</v>
      </c>
      <c r="E50" s="77">
        <v>278.54000000000002</v>
      </c>
      <c r="G50" s="183"/>
    </row>
    <row r="51" spans="2:7">
      <c r="B51" s="195" t="s">
        <v>6</v>
      </c>
      <c r="C51" s="196" t="s">
        <v>114</v>
      </c>
      <c r="D51" s="371">
        <v>152.01</v>
      </c>
      <c r="E51" s="77">
        <v>242.41</v>
      </c>
      <c r="G51" s="183"/>
    </row>
    <row r="52" spans="2:7">
      <c r="B52" s="195" t="s">
        <v>8</v>
      </c>
      <c r="C52" s="196" t="s">
        <v>115</v>
      </c>
      <c r="D52" s="371">
        <v>286.98</v>
      </c>
      <c r="E52" s="77">
        <v>310.81</v>
      </c>
    </row>
    <row r="53" spans="2:7" ht="13.5" customHeight="1" thickBot="1">
      <c r="B53" s="199" t="s">
        <v>9</v>
      </c>
      <c r="C53" s="200" t="s">
        <v>41</v>
      </c>
      <c r="D53" s="369">
        <v>278.54000000000002</v>
      </c>
      <c r="E53" s="280">
        <v>283.45999999999998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13989.49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13989.49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13989.49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13989.49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2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7"/>
      <c r="C4" s="14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219</v>
      </c>
      <c r="C6" s="403"/>
      <c r="D6" s="403"/>
      <c r="E6" s="403"/>
    </row>
    <row r="7" spans="2:12" ht="14">
      <c r="B7" s="145"/>
      <c r="C7" s="145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6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267634.78999999998</v>
      </c>
      <c r="E11" s="245">
        <f>SUM(E12:E14)</f>
        <v>261214.99</v>
      </c>
    </row>
    <row r="12" spans="2:12">
      <c r="B12" s="184" t="s">
        <v>4</v>
      </c>
      <c r="C12" s="185" t="s">
        <v>5</v>
      </c>
      <c r="D12" s="300">
        <v>267634.78999999998</v>
      </c>
      <c r="E12" s="250">
        <v>261214.99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267634.78999999998</v>
      </c>
      <c r="E21" s="151">
        <f>E11-E17</f>
        <v>261214.99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265450.02</v>
      </c>
      <c r="E26" s="239">
        <f>D21</f>
        <v>267634.78999999998</v>
      </c>
      <c r="G26" s="76"/>
    </row>
    <row r="27" spans="2:11" ht="13">
      <c r="B27" s="8" t="s">
        <v>17</v>
      </c>
      <c r="C27" s="9" t="s">
        <v>111</v>
      </c>
      <c r="D27" s="360">
        <v>-182712.48</v>
      </c>
      <c r="E27" s="275">
        <v>-7633.14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284966.03000000003</v>
      </c>
      <c r="E28" s="276">
        <v>59171.82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21593.42</v>
      </c>
      <c r="E29" s="277">
        <v>11000.39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263372.61</v>
      </c>
      <c r="E31" s="277">
        <v>48171.43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467678.50999999995</v>
      </c>
      <c r="E32" s="276">
        <v>66804.960000000006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24965.94</v>
      </c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301.14999999999998</v>
      </c>
      <c r="E35" s="277">
        <v>749.23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4809.95</v>
      </c>
      <c r="E37" s="277">
        <v>5269.58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437601.47</v>
      </c>
      <c r="E39" s="278">
        <v>60786.15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184897.25</v>
      </c>
      <c r="E40" s="279">
        <v>1213.3399999999999</v>
      </c>
      <c r="G40" s="76"/>
      <c r="H40" s="270"/>
    </row>
    <row r="41" spans="2:10" ht="13.5" thickBot="1">
      <c r="B41" s="102" t="s">
        <v>37</v>
      </c>
      <c r="C41" s="103" t="s">
        <v>38</v>
      </c>
      <c r="D41" s="364">
        <v>267634.79000000004</v>
      </c>
      <c r="E41" s="151">
        <f>E26+E27+E40</f>
        <v>261214.98999999996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2063.3503000000001</v>
      </c>
      <c r="E47" s="309">
        <v>936.47360000000003</v>
      </c>
      <c r="G47" s="73"/>
    </row>
    <row r="48" spans="2:10">
      <c r="B48" s="197" t="s">
        <v>6</v>
      </c>
      <c r="C48" s="198" t="s">
        <v>41</v>
      </c>
      <c r="D48" s="371">
        <v>936.47360000000003</v>
      </c>
      <c r="E48" s="152">
        <v>923.80460000000005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128.65</v>
      </c>
      <c r="E50" s="77">
        <v>285.79000000000002</v>
      </c>
      <c r="G50" s="183"/>
    </row>
    <row r="51" spans="2:7">
      <c r="B51" s="195" t="s">
        <v>6</v>
      </c>
      <c r="C51" s="196" t="s">
        <v>114</v>
      </c>
      <c r="D51" s="371">
        <v>103.1</v>
      </c>
      <c r="E51" s="77">
        <v>215.48</v>
      </c>
      <c r="G51" s="183"/>
    </row>
    <row r="52" spans="2:7">
      <c r="B52" s="195" t="s">
        <v>8</v>
      </c>
      <c r="C52" s="196" t="s">
        <v>115</v>
      </c>
      <c r="D52" s="371">
        <v>305.79000000000002</v>
      </c>
      <c r="E52" s="77">
        <v>348.23</v>
      </c>
    </row>
    <row r="53" spans="2:7" ht="12.75" customHeight="1" thickBot="1">
      <c r="B53" s="199" t="s">
        <v>9</v>
      </c>
      <c r="C53" s="200" t="s">
        <v>41</v>
      </c>
      <c r="D53" s="369">
        <v>285.79000000000002</v>
      </c>
      <c r="E53" s="280">
        <v>282.76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261214.99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261214.99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261214.99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261214.99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220</v>
      </c>
      <c r="C6" s="403"/>
      <c r="D6" s="403"/>
      <c r="E6" s="403"/>
    </row>
    <row r="7" spans="2:12" ht="14">
      <c r="B7" s="174"/>
      <c r="C7" s="174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75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16395.84</v>
      </c>
      <c r="E11" s="245">
        <f>SUM(E12:E14)</f>
        <v>16629.37</v>
      </c>
    </row>
    <row r="12" spans="2:12">
      <c r="B12" s="184" t="s">
        <v>4</v>
      </c>
      <c r="C12" s="185" t="s">
        <v>5</v>
      </c>
      <c r="D12" s="300">
        <v>16395.84</v>
      </c>
      <c r="E12" s="250">
        <v>16629.37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16395.84</v>
      </c>
      <c r="E21" s="151">
        <f>E11-E17</f>
        <v>16629.37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11883.7</v>
      </c>
      <c r="E26" s="239">
        <f>D21</f>
        <v>16395.84</v>
      </c>
      <c r="G26" s="76"/>
    </row>
    <row r="27" spans="2:11" ht="13">
      <c r="B27" s="8" t="s">
        <v>17</v>
      </c>
      <c r="C27" s="9" t="s">
        <v>111</v>
      </c>
      <c r="D27" s="360">
        <v>-317.16000000000003</v>
      </c>
      <c r="E27" s="275">
        <v>-334.11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317.16000000000003</v>
      </c>
      <c r="E32" s="276">
        <v>334.11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58.75</v>
      </c>
      <c r="E35" s="277">
        <v>49.11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258.41000000000003</v>
      </c>
      <c r="E37" s="277">
        <v>285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4829.3</v>
      </c>
      <c r="E40" s="279">
        <v>567.64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16395.84</v>
      </c>
      <c r="E41" s="151">
        <f>E26+E27+E40</f>
        <v>16629.37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58.167900000000003</v>
      </c>
      <c r="E47" s="309">
        <v>56.7605</v>
      </c>
      <c r="G47" s="73"/>
    </row>
    <row r="48" spans="2:10">
      <c r="B48" s="197" t="s">
        <v>6</v>
      </c>
      <c r="C48" s="198" t="s">
        <v>41</v>
      </c>
      <c r="D48" s="371">
        <v>56.7605</v>
      </c>
      <c r="E48" s="152">
        <v>55.637099999999997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204.3</v>
      </c>
      <c r="E50" s="77">
        <v>288.86</v>
      </c>
      <c r="G50" s="183"/>
    </row>
    <row r="51" spans="2:7">
      <c r="B51" s="195" t="s">
        <v>6</v>
      </c>
      <c r="C51" s="196" t="s">
        <v>114</v>
      </c>
      <c r="D51" s="371">
        <v>145.32</v>
      </c>
      <c r="E51" s="77">
        <v>263.07</v>
      </c>
      <c r="G51" s="183"/>
    </row>
    <row r="52" spans="2:7">
      <c r="B52" s="195" t="s">
        <v>8</v>
      </c>
      <c r="C52" s="196" t="s">
        <v>115</v>
      </c>
      <c r="D52" s="371">
        <v>295.81</v>
      </c>
      <c r="E52" s="77">
        <v>326.16000000000003</v>
      </c>
    </row>
    <row r="53" spans="2:7" ht="13" thickBot="1">
      <c r="B53" s="199" t="s">
        <v>9</v>
      </c>
      <c r="C53" s="200" t="s">
        <v>41</v>
      </c>
      <c r="D53" s="369">
        <v>288.86</v>
      </c>
      <c r="E53" s="280">
        <v>298.89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16629.37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16629.37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16629.37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16629.37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7"/>
      <c r="C4" s="14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221</v>
      </c>
      <c r="C6" s="403"/>
      <c r="D6" s="403"/>
      <c r="E6" s="403"/>
    </row>
    <row r="7" spans="2:12" ht="14">
      <c r="B7" s="145"/>
      <c r="C7" s="145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6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4296499.2699999996</v>
      </c>
      <c r="E11" s="245">
        <f>SUM(E12:E14)</f>
        <v>1385623.62</v>
      </c>
    </row>
    <row r="12" spans="2:12">
      <c r="B12" s="184" t="s">
        <v>4</v>
      </c>
      <c r="C12" s="185" t="s">
        <v>5</v>
      </c>
      <c r="D12" s="300">
        <v>4296499.2699999996</v>
      </c>
      <c r="E12" s="250">
        <v>1385623.62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4296499.2699999996</v>
      </c>
      <c r="E21" s="151">
        <f>E11-E17</f>
        <v>1385623.62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4938164.21</v>
      </c>
      <c r="E26" s="239">
        <f>D21</f>
        <v>4296499.2699999996</v>
      </c>
      <c r="G26" s="76"/>
    </row>
    <row r="27" spans="2:11" ht="13">
      <c r="B27" s="8" t="s">
        <v>17</v>
      </c>
      <c r="C27" s="9" t="s">
        <v>111</v>
      </c>
      <c r="D27" s="360">
        <v>-401526.32999999996</v>
      </c>
      <c r="E27" s="275">
        <v>-2707407.77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/>
      <c r="E32" s="276">
        <v>2707407.77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319889.09999999998</v>
      </c>
      <c r="E33" s="277">
        <v>2646112.7999999998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8628.19</v>
      </c>
      <c r="E35" s="277">
        <v>12805.75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73009.039999999994</v>
      </c>
      <c r="E37" s="277">
        <v>48489.22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-240138.61</v>
      </c>
      <c r="E40" s="279">
        <v>-203467.88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4296499.2699999996</v>
      </c>
      <c r="E41" s="151">
        <f>E26+E27+E40</f>
        <v>1385623.6199999996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348986.87</v>
      </c>
      <c r="E47" s="309">
        <v>319204.99800000002</v>
      </c>
      <c r="G47" s="73"/>
    </row>
    <row r="48" spans="2:10">
      <c r="B48" s="197" t="s">
        <v>6</v>
      </c>
      <c r="C48" s="198" t="s">
        <v>41</v>
      </c>
      <c r="D48" s="371">
        <v>319204.99800000002</v>
      </c>
      <c r="E48" s="152">
        <v>109448.943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14.15</v>
      </c>
      <c r="E50" s="77">
        <v>13.46</v>
      </c>
      <c r="G50" s="183"/>
    </row>
    <row r="51" spans="2:7">
      <c r="B51" s="195" t="s">
        <v>6</v>
      </c>
      <c r="C51" s="196" t="s">
        <v>114</v>
      </c>
      <c r="D51" s="371">
        <v>13.2</v>
      </c>
      <c r="E51" s="77">
        <v>12.49</v>
      </c>
      <c r="G51" s="183"/>
    </row>
    <row r="52" spans="2:7">
      <c r="B52" s="195" t="s">
        <v>8</v>
      </c>
      <c r="C52" s="196" t="s">
        <v>115</v>
      </c>
      <c r="D52" s="371">
        <v>14.15</v>
      </c>
      <c r="E52" s="77">
        <v>13.49</v>
      </c>
    </row>
    <row r="53" spans="2:7" ht="14.25" customHeight="1" thickBot="1">
      <c r="B53" s="199" t="s">
        <v>9</v>
      </c>
      <c r="C53" s="200" t="s">
        <v>41</v>
      </c>
      <c r="D53" s="369">
        <v>13.46</v>
      </c>
      <c r="E53" s="280">
        <v>12.66</v>
      </c>
    </row>
    <row r="54" spans="2:7">
      <c r="B54" s="201"/>
      <c r="C54" s="202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1385623.62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1385623.62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1385623.62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1385623.62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8"/>
  <dimension ref="A1:L81"/>
  <sheetViews>
    <sheetView zoomScale="80" zoomScaleNormal="80" workbookViewId="0">
      <selection activeCell="A20" sqref="A20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4.7265625" customWidth="1"/>
    <col min="11" max="11" width="16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7"/>
      <c r="C4" s="14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222</v>
      </c>
      <c r="C6" s="403"/>
      <c r="D6" s="403"/>
      <c r="E6" s="403"/>
    </row>
    <row r="7" spans="2:12" ht="14">
      <c r="B7" s="145"/>
      <c r="C7" s="145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6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6421943.7999999998</v>
      </c>
      <c r="E11" s="245">
        <f>SUM(E12:E14)</f>
        <v>5912773.4900000002</v>
      </c>
    </row>
    <row r="12" spans="2:12">
      <c r="B12" s="184" t="s">
        <v>4</v>
      </c>
      <c r="C12" s="185" t="s">
        <v>5</v>
      </c>
      <c r="D12" s="300">
        <v>6421943.7999999998</v>
      </c>
      <c r="E12" s="250">
        <v>5912773.4900000002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6421943.7999999998</v>
      </c>
      <c r="E21" s="151">
        <f>E11-E17</f>
        <v>5912773.4900000002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7703014.2799999993</v>
      </c>
      <c r="E26" s="239">
        <f>D21</f>
        <v>6421943.7999999998</v>
      </c>
      <c r="G26" s="76"/>
    </row>
    <row r="27" spans="2:11" ht="13">
      <c r="B27" s="8" t="s">
        <v>17</v>
      </c>
      <c r="C27" s="9" t="s">
        <v>111</v>
      </c>
      <c r="D27" s="360">
        <v>-758288.32000000007</v>
      </c>
      <c r="E27" s="275">
        <v>-151700.67000000001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758288.32000000007</v>
      </c>
      <c r="E32" s="276">
        <v>151700.67000000001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92606.6</v>
      </c>
      <c r="E33" s="277">
        <v>29497.27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25149.93</v>
      </c>
      <c r="E35" s="277">
        <v>23458.05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107067.15</v>
      </c>
      <c r="E37" s="277">
        <v>98745.35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533464.64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-522782.16</v>
      </c>
      <c r="E40" s="279">
        <v>-357469.64</v>
      </c>
      <c r="G40" s="76"/>
    </row>
    <row r="41" spans="2:10" ht="13.5" thickBot="1">
      <c r="B41" s="102" t="s">
        <v>37</v>
      </c>
      <c r="C41" s="103" t="s">
        <v>38</v>
      </c>
      <c r="D41" s="364">
        <v>6421943.7999999989</v>
      </c>
      <c r="E41" s="151">
        <f>E26+E27+E40</f>
        <v>5912773.4900000002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6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87923.916000000012</v>
      </c>
      <c r="E47" s="309">
        <v>79058.769</v>
      </c>
      <c r="G47" s="73"/>
      <c r="H47" s="162"/>
    </row>
    <row r="48" spans="2:10">
      <c r="B48" s="126" t="s">
        <v>6</v>
      </c>
      <c r="C48" s="21" t="s">
        <v>41</v>
      </c>
      <c r="D48" s="371">
        <v>79058.769</v>
      </c>
      <c r="E48" s="152">
        <v>77139.902000000002</v>
      </c>
      <c r="G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87.61</v>
      </c>
      <c r="E50" s="77">
        <v>81.23</v>
      </c>
      <c r="G50" s="183"/>
    </row>
    <row r="51" spans="2:7">
      <c r="B51" s="105" t="s">
        <v>6</v>
      </c>
      <c r="C51" s="14" t="s">
        <v>114</v>
      </c>
      <c r="D51" s="371">
        <v>79.59</v>
      </c>
      <c r="E51" s="77">
        <v>75.38</v>
      </c>
      <c r="G51" s="183"/>
    </row>
    <row r="52" spans="2:7">
      <c r="B52" s="105" t="s">
        <v>8</v>
      </c>
      <c r="C52" s="14" t="s">
        <v>115</v>
      </c>
      <c r="D52" s="371">
        <v>87.61</v>
      </c>
      <c r="E52" s="77">
        <v>81.67</v>
      </c>
    </row>
    <row r="53" spans="2:7" ht="14.25" customHeight="1" thickBot="1">
      <c r="B53" s="106" t="s">
        <v>9</v>
      </c>
      <c r="C53" s="16" t="s">
        <v>41</v>
      </c>
      <c r="D53" s="369">
        <v>81.23</v>
      </c>
      <c r="E53" s="280">
        <v>76.650000000000006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5912773.4900000002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5912773.4900000002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5912773.4900000002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5912773.4900000002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9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5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7"/>
      <c r="C4" s="14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252</v>
      </c>
      <c r="C6" s="403"/>
      <c r="D6" s="403"/>
      <c r="E6" s="403"/>
    </row>
    <row r="7" spans="2:12" ht="14">
      <c r="B7" s="145"/>
      <c r="C7" s="145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6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29070.05</v>
      </c>
      <c r="E11" s="245">
        <f>SUM(E12:E14)</f>
        <v>16046.34</v>
      </c>
    </row>
    <row r="12" spans="2:12">
      <c r="B12" s="184" t="s">
        <v>4</v>
      </c>
      <c r="C12" s="185" t="s">
        <v>5</v>
      </c>
      <c r="D12" s="300">
        <v>29070.05</v>
      </c>
      <c r="E12" s="250">
        <v>16046.34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29070.05</v>
      </c>
      <c r="E21" s="151">
        <f>E11-E17</f>
        <v>16046.34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32036.97</v>
      </c>
      <c r="E26" s="239">
        <f>D21</f>
        <v>29070.05</v>
      </c>
      <c r="G26" s="76"/>
    </row>
    <row r="27" spans="2:11" ht="13">
      <c r="B27" s="8" t="s">
        <v>17</v>
      </c>
      <c r="C27" s="9" t="s">
        <v>111</v>
      </c>
      <c r="D27" s="360">
        <v>1418.01</v>
      </c>
      <c r="E27" s="275">
        <v>-10058.61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2461.52</v>
      </c>
      <c r="E28" s="276">
        <v>0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2461.52</v>
      </c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1043.51</v>
      </c>
      <c r="E32" s="276">
        <v>10058.61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967.39</v>
      </c>
      <c r="E33" s="277">
        <v>9692.0500000000011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6.37</v>
      </c>
      <c r="E35" s="277">
        <v>32.33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69.75</v>
      </c>
      <c r="E37" s="277">
        <v>334.23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-4384.93</v>
      </c>
      <c r="E40" s="279">
        <v>-2965.1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29070.050000000003</v>
      </c>
      <c r="E41" s="151">
        <f>E26+E27+E40</f>
        <v>16046.339999999998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3800.3519999999999</v>
      </c>
      <c r="E47" s="309">
        <v>4117.5709999999999</v>
      </c>
      <c r="G47" s="73"/>
    </row>
    <row r="48" spans="2:10">
      <c r="B48" s="197" t="s">
        <v>6</v>
      </c>
      <c r="C48" s="198" t="s">
        <v>41</v>
      </c>
      <c r="D48" s="371">
        <v>4117.5709999999999</v>
      </c>
      <c r="E48" s="152">
        <v>2696.864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8.43</v>
      </c>
      <c r="E50" s="77">
        <v>7.06</v>
      </c>
      <c r="G50" s="183"/>
    </row>
    <row r="51" spans="2:7">
      <c r="B51" s="195" t="s">
        <v>6</v>
      </c>
      <c r="C51" s="196" t="s">
        <v>114</v>
      </c>
      <c r="D51" s="371">
        <v>4.03</v>
      </c>
      <c r="E51" s="77">
        <v>5.67</v>
      </c>
      <c r="G51" s="183"/>
    </row>
    <row r="52" spans="2:7">
      <c r="B52" s="195" t="s">
        <v>8</v>
      </c>
      <c r="C52" s="196" t="s">
        <v>115</v>
      </c>
      <c r="D52" s="371">
        <v>8.67</v>
      </c>
      <c r="E52" s="77">
        <v>7.76</v>
      </c>
    </row>
    <row r="53" spans="2:7" ht="14.25" customHeight="1" thickBot="1">
      <c r="B53" s="199" t="s">
        <v>9</v>
      </c>
      <c r="C53" s="200" t="s">
        <v>41</v>
      </c>
      <c r="D53" s="369">
        <v>7.06</v>
      </c>
      <c r="E53" s="280">
        <v>5.95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16046.34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16046.34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16046.34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16046.34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0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7"/>
      <c r="C4" s="14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253</v>
      </c>
      <c r="C6" s="403"/>
      <c r="D6" s="403"/>
      <c r="E6" s="403"/>
    </row>
    <row r="7" spans="2:12" ht="14">
      <c r="B7" s="145"/>
      <c r="C7" s="145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6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156173.26</v>
      </c>
      <c r="E11" s="245">
        <f>SUM(E12:E14)</f>
        <v>169961.51</v>
      </c>
    </row>
    <row r="12" spans="2:12">
      <c r="B12" s="184" t="s">
        <v>4</v>
      </c>
      <c r="C12" s="185" t="s">
        <v>5</v>
      </c>
      <c r="D12" s="300">
        <v>156173.26</v>
      </c>
      <c r="E12" s="250">
        <v>169961.51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156173.26</v>
      </c>
      <c r="E21" s="151">
        <f>E11-E17</f>
        <v>169961.51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144046.09</v>
      </c>
      <c r="E26" s="239">
        <f>D21</f>
        <v>156173.26</v>
      </c>
      <c r="G26" s="76"/>
      <c r="H26" s="242"/>
    </row>
    <row r="27" spans="2:11" ht="13">
      <c r="B27" s="8" t="s">
        <v>17</v>
      </c>
      <c r="C27" s="9" t="s">
        <v>111</v>
      </c>
      <c r="D27" s="360">
        <v>-37083.68</v>
      </c>
      <c r="E27" s="275">
        <v>-16073.78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37083.68</v>
      </c>
      <c r="E32" s="276">
        <v>16073.78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34435.130000000005</v>
      </c>
      <c r="E33" s="277">
        <v>13224.86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530.88</v>
      </c>
      <c r="E35" s="277">
        <v>505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2117.67</v>
      </c>
      <c r="E37" s="277">
        <v>2343.92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49210.85</v>
      </c>
      <c r="E40" s="279">
        <v>29862.03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156173.26</v>
      </c>
      <c r="E41" s="151">
        <f>E26+E27+E40</f>
        <v>169961.51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1050.971</v>
      </c>
      <c r="E47" s="309">
        <v>819.89319999999998</v>
      </c>
      <c r="G47" s="73"/>
    </row>
    <row r="48" spans="2:10">
      <c r="B48" s="197" t="s">
        <v>6</v>
      </c>
      <c r="C48" s="198" t="s">
        <v>41</v>
      </c>
      <c r="D48" s="371">
        <v>819.89319999999998</v>
      </c>
      <c r="E48" s="152">
        <v>743.13109999999995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137.06</v>
      </c>
      <c r="E50" s="77">
        <v>190.48</v>
      </c>
      <c r="G50" s="183"/>
    </row>
    <row r="51" spans="2:7">
      <c r="B51" s="195" t="s">
        <v>6</v>
      </c>
      <c r="C51" s="196" t="s">
        <v>114</v>
      </c>
      <c r="D51" s="371">
        <v>105.8</v>
      </c>
      <c r="E51" s="77">
        <v>184.08</v>
      </c>
      <c r="G51" s="183"/>
    </row>
    <row r="52" spans="2:7">
      <c r="B52" s="195" t="s">
        <v>8</v>
      </c>
      <c r="C52" s="196" t="s">
        <v>115</v>
      </c>
      <c r="D52" s="371">
        <v>193.56</v>
      </c>
      <c r="E52" s="77">
        <v>238.33</v>
      </c>
    </row>
    <row r="53" spans="2:7" ht="14.25" customHeight="1" thickBot="1">
      <c r="B53" s="199" t="s">
        <v>9</v>
      </c>
      <c r="C53" s="200" t="s">
        <v>41</v>
      </c>
      <c r="D53" s="369">
        <v>190.48</v>
      </c>
      <c r="E53" s="280">
        <v>228.71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169961.51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169961.51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169961.51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169961.51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1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1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7"/>
      <c r="C4" s="14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233</v>
      </c>
      <c r="C6" s="403"/>
      <c r="D6" s="403"/>
      <c r="E6" s="403"/>
    </row>
    <row r="7" spans="2:12" ht="14">
      <c r="B7" s="145"/>
      <c r="C7" s="145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6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126405.20000000001</v>
      </c>
      <c r="E11" s="245">
        <f>SUM(E12:E14)</f>
        <v>142561.57</v>
      </c>
    </row>
    <row r="12" spans="2:12">
      <c r="B12" s="184" t="s">
        <v>4</v>
      </c>
      <c r="C12" s="185" t="s">
        <v>5</v>
      </c>
      <c r="D12" s="300">
        <v>126405.20000000001</v>
      </c>
      <c r="E12" s="250">
        <v>142561.57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126405.20000000001</v>
      </c>
      <c r="E21" s="151">
        <f>E11-E17</f>
        <v>142561.57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109444.67</v>
      </c>
      <c r="E26" s="239">
        <f>D21</f>
        <v>126405.20000000001</v>
      </c>
      <c r="G26" s="76"/>
      <c r="H26" s="242"/>
    </row>
    <row r="27" spans="2:11" ht="13">
      <c r="B27" s="8" t="s">
        <v>17</v>
      </c>
      <c r="C27" s="9" t="s">
        <v>111</v>
      </c>
      <c r="D27" s="360">
        <v>-5689.0999999999985</v>
      </c>
      <c r="E27" s="275">
        <v>-11520.64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36344.76</v>
      </c>
      <c r="E28" s="276">
        <v>32404.25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8352.24</v>
      </c>
      <c r="E29" s="277">
        <v>6597.42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27992.52</v>
      </c>
      <c r="E31" s="277">
        <v>25806.83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42033.86</v>
      </c>
      <c r="E32" s="276">
        <v>43924.89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10295.719999999999</v>
      </c>
      <c r="E33" s="277">
        <v>33684.969999999994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611.99</v>
      </c>
      <c r="E35" s="277">
        <v>538.46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1455.52</v>
      </c>
      <c r="E37" s="277">
        <v>1794.68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29670.63</v>
      </c>
      <c r="E39" s="278">
        <v>7906.78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22649.63</v>
      </c>
      <c r="E40" s="279">
        <v>27677.01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126405.20000000001</v>
      </c>
      <c r="E41" s="151">
        <f>E26+E27+E40</f>
        <v>142561.57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6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1122.3943999999999</v>
      </c>
      <c r="E47" s="309">
        <v>1077.3476000000001</v>
      </c>
      <c r="G47" s="73"/>
      <c r="H47" s="162"/>
    </row>
    <row r="48" spans="2:10">
      <c r="B48" s="126" t="s">
        <v>6</v>
      </c>
      <c r="C48" s="21" t="s">
        <v>41</v>
      </c>
      <c r="D48" s="371">
        <v>1077.3476000000001</v>
      </c>
      <c r="E48" s="152">
        <v>993.04520000000002</v>
      </c>
      <c r="G48" s="162"/>
    </row>
    <row r="49" spans="2:8" ht="13">
      <c r="B49" s="123" t="s">
        <v>23</v>
      </c>
      <c r="C49" s="127" t="s">
        <v>113</v>
      </c>
      <c r="D49" s="373"/>
      <c r="E49" s="128"/>
      <c r="H49" s="155"/>
    </row>
    <row r="50" spans="2:8">
      <c r="B50" s="105" t="s">
        <v>4</v>
      </c>
      <c r="C50" s="14" t="s">
        <v>40</v>
      </c>
      <c r="D50" s="371">
        <v>97.51</v>
      </c>
      <c r="E50" s="77">
        <v>117.33</v>
      </c>
      <c r="G50" s="183"/>
    </row>
    <row r="51" spans="2:8">
      <c r="B51" s="105" t="s">
        <v>6</v>
      </c>
      <c r="C51" s="14" t="s">
        <v>114</v>
      </c>
      <c r="D51" s="371">
        <v>69.819999999999993</v>
      </c>
      <c r="E51" s="77">
        <v>117.33</v>
      </c>
      <c r="G51" s="183"/>
    </row>
    <row r="52" spans="2:8">
      <c r="B52" s="105" t="s">
        <v>8</v>
      </c>
      <c r="C52" s="14" t="s">
        <v>115</v>
      </c>
      <c r="D52" s="371">
        <v>117.33</v>
      </c>
      <c r="E52" s="77">
        <v>153.63</v>
      </c>
    </row>
    <row r="53" spans="2:8" ht="13.5" customHeight="1" thickBot="1">
      <c r="B53" s="106" t="s">
        <v>9</v>
      </c>
      <c r="C53" s="16" t="s">
        <v>41</v>
      </c>
      <c r="D53" s="369">
        <v>117.33</v>
      </c>
      <c r="E53" s="280">
        <v>143.56</v>
      </c>
    </row>
    <row r="54" spans="2:8">
      <c r="B54" s="112"/>
      <c r="C54" s="113"/>
      <c r="D54" s="114"/>
      <c r="E54" s="114"/>
    </row>
    <row r="55" spans="2:8" ht="13.5">
      <c r="B55" s="406" t="s">
        <v>62</v>
      </c>
      <c r="C55" s="416"/>
      <c r="D55" s="416"/>
      <c r="E55" s="416"/>
    </row>
    <row r="56" spans="2:8" ht="15.75" customHeight="1" thickBot="1">
      <c r="B56" s="404" t="s">
        <v>116</v>
      </c>
      <c r="C56" s="411"/>
      <c r="D56" s="411"/>
      <c r="E56" s="411"/>
    </row>
    <row r="57" spans="2:8" ht="21.5" thickBot="1">
      <c r="B57" s="399" t="s">
        <v>42</v>
      </c>
      <c r="C57" s="400"/>
      <c r="D57" s="17" t="s">
        <v>122</v>
      </c>
      <c r="E57" s="18" t="s">
        <v>117</v>
      </c>
    </row>
    <row r="58" spans="2:8" ht="13">
      <c r="B58" s="19" t="s">
        <v>18</v>
      </c>
      <c r="C58" s="129" t="s">
        <v>43</v>
      </c>
      <c r="D58" s="130">
        <f>D64</f>
        <v>142561.57</v>
      </c>
      <c r="E58" s="30">
        <f>D58/E21</f>
        <v>1</v>
      </c>
    </row>
    <row r="59" spans="2:8" ht="25">
      <c r="B59" s="126" t="s">
        <v>4</v>
      </c>
      <c r="C59" s="21" t="s">
        <v>44</v>
      </c>
      <c r="D59" s="82">
        <v>0</v>
      </c>
      <c r="E59" s="83">
        <v>0</v>
      </c>
    </row>
    <row r="60" spans="2:8" ht="25">
      <c r="B60" s="105" t="s">
        <v>6</v>
      </c>
      <c r="C60" s="14" t="s">
        <v>45</v>
      </c>
      <c r="D60" s="80">
        <v>0</v>
      </c>
      <c r="E60" s="81">
        <v>0</v>
      </c>
    </row>
    <row r="61" spans="2:8">
      <c r="B61" s="105" t="s">
        <v>8</v>
      </c>
      <c r="C61" s="14" t="s">
        <v>46</v>
      </c>
      <c r="D61" s="80">
        <v>0</v>
      </c>
      <c r="E61" s="81">
        <v>0</v>
      </c>
    </row>
    <row r="62" spans="2:8">
      <c r="B62" s="105" t="s">
        <v>9</v>
      </c>
      <c r="C62" s="14" t="s">
        <v>47</v>
      </c>
      <c r="D62" s="80">
        <v>0</v>
      </c>
      <c r="E62" s="81">
        <v>0</v>
      </c>
    </row>
    <row r="63" spans="2:8">
      <c r="B63" s="105" t="s">
        <v>29</v>
      </c>
      <c r="C63" s="14" t="s">
        <v>48</v>
      </c>
      <c r="D63" s="80">
        <v>0</v>
      </c>
      <c r="E63" s="81">
        <v>0</v>
      </c>
    </row>
    <row r="64" spans="2:8">
      <c r="B64" s="126" t="s">
        <v>31</v>
      </c>
      <c r="C64" s="21" t="s">
        <v>49</v>
      </c>
      <c r="D64" s="82">
        <f>E12</f>
        <v>142561.57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5" ht="13">
      <c r="B74" s="133" t="s">
        <v>64</v>
      </c>
      <c r="C74" s="124" t="s">
        <v>66</v>
      </c>
      <c r="D74" s="125">
        <f>D75</f>
        <v>142561.57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D58-D73</f>
        <v>142561.57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Q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453125" customWidth="1"/>
    <col min="9" max="9" width="13.26953125" customWidth="1"/>
    <col min="10" max="10" width="13.54296875" customWidth="1"/>
    <col min="11" max="11" width="15.7265625" customWidth="1"/>
    <col min="12" max="12" width="12.45312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140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89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14501177.540000001</v>
      </c>
      <c r="E11" s="245">
        <f>SUM(E12:E14)</f>
        <v>14081900.889999999</v>
      </c>
    </row>
    <row r="12" spans="2:12">
      <c r="B12" s="109" t="s">
        <v>4</v>
      </c>
      <c r="C12" s="208" t="s">
        <v>5</v>
      </c>
      <c r="D12" s="300">
        <f>13664842.81+832129.51-4964.16</f>
        <v>14492008.16</v>
      </c>
      <c r="E12" s="250">
        <f>13741029.12+400890.45-64359.96</f>
        <v>14077559.609999998</v>
      </c>
      <c r="H12" s="73"/>
    </row>
    <row r="13" spans="2:12">
      <c r="B13" s="109" t="s">
        <v>6</v>
      </c>
      <c r="C13" s="208" t="s">
        <v>7</v>
      </c>
      <c r="D13" s="301"/>
      <c r="E13" s="251">
        <v>13.31</v>
      </c>
      <c r="H13" s="73"/>
    </row>
    <row r="14" spans="2:12">
      <c r="B14" s="109" t="s">
        <v>8</v>
      </c>
      <c r="C14" s="208" t="s">
        <v>10</v>
      </c>
      <c r="D14" s="301">
        <f>D15</f>
        <v>9169.3799999999992</v>
      </c>
      <c r="E14" s="251">
        <f>E15</f>
        <v>4327.97</v>
      </c>
      <c r="H14" s="73"/>
    </row>
    <row r="15" spans="2:12">
      <c r="B15" s="109" t="s">
        <v>106</v>
      </c>
      <c r="C15" s="208" t="s">
        <v>11</v>
      </c>
      <c r="D15" s="301">
        <v>9169.3799999999992</v>
      </c>
      <c r="E15" s="251">
        <v>4327.97</v>
      </c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7" ht="13">
      <c r="B17" s="8" t="s">
        <v>13</v>
      </c>
      <c r="C17" s="210" t="s">
        <v>65</v>
      </c>
      <c r="D17" s="303">
        <f>D18</f>
        <v>11644.29</v>
      </c>
      <c r="E17" s="253">
        <f>E18</f>
        <v>2010.13</v>
      </c>
      <c r="H17" s="73"/>
    </row>
    <row r="18" spans="2:17">
      <c r="B18" s="109" t="s">
        <v>4</v>
      </c>
      <c r="C18" s="208" t="s">
        <v>11</v>
      </c>
      <c r="D18" s="302">
        <v>11644.29</v>
      </c>
      <c r="E18" s="252">
        <v>2010.13</v>
      </c>
    </row>
    <row r="19" spans="2:17" ht="15" customHeight="1">
      <c r="B19" s="109" t="s">
        <v>6</v>
      </c>
      <c r="C19" s="208" t="s">
        <v>108</v>
      </c>
      <c r="D19" s="301"/>
      <c r="E19" s="251"/>
    </row>
    <row r="20" spans="2:17" ht="13" thickBot="1">
      <c r="B20" s="111" t="s">
        <v>8</v>
      </c>
      <c r="C20" s="69" t="s">
        <v>14</v>
      </c>
      <c r="D20" s="304"/>
      <c r="E20" s="246"/>
    </row>
    <row r="21" spans="2:17" ht="13.5" thickBot="1">
      <c r="B21" s="412" t="s">
        <v>110</v>
      </c>
      <c r="C21" s="413"/>
      <c r="D21" s="305">
        <f>D11-D17</f>
        <v>14489533.250000002</v>
      </c>
      <c r="E21" s="151">
        <f>E11-E17</f>
        <v>14079890.759999998</v>
      </c>
      <c r="F21" s="79"/>
      <c r="G21" s="79"/>
      <c r="H21" s="171"/>
      <c r="J21" s="232"/>
      <c r="K21" s="171"/>
    </row>
    <row r="22" spans="2:17">
      <c r="B22" s="3"/>
      <c r="C22" s="6"/>
      <c r="D22" s="7"/>
      <c r="E22" s="282"/>
      <c r="G22" s="73"/>
    </row>
    <row r="23" spans="2:17" ht="13.5">
      <c r="B23" s="405" t="s">
        <v>104</v>
      </c>
      <c r="C23" s="417"/>
      <c r="D23" s="417"/>
      <c r="E23" s="417"/>
      <c r="G23" s="73"/>
    </row>
    <row r="24" spans="2:17" ht="15.75" customHeight="1" thickBot="1">
      <c r="B24" s="404" t="s">
        <v>105</v>
      </c>
      <c r="C24" s="418"/>
      <c r="D24" s="418"/>
      <c r="E24" s="418"/>
    </row>
    <row r="25" spans="2:17" ht="13.5" thickBot="1">
      <c r="B25" s="89"/>
      <c r="C25" s="4" t="s">
        <v>2</v>
      </c>
      <c r="D25" s="291" t="s">
        <v>246</v>
      </c>
      <c r="E25" s="258" t="s">
        <v>262</v>
      </c>
      <c r="G25" s="180"/>
      <c r="K25" s="183"/>
      <c r="Q25" s="183"/>
    </row>
    <row r="26" spans="2:17" ht="13">
      <c r="B26" s="98" t="s">
        <v>15</v>
      </c>
      <c r="C26" s="99" t="s">
        <v>16</v>
      </c>
      <c r="D26" s="359">
        <v>14858604.83</v>
      </c>
      <c r="E26" s="239">
        <f>D21</f>
        <v>14489533.250000002</v>
      </c>
      <c r="G26" s="76"/>
    </row>
    <row r="27" spans="2:17" ht="13">
      <c r="B27" s="8" t="s">
        <v>17</v>
      </c>
      <c r="C27" s="9" t="s">
        <v>111</v>
      </c>
      <c r="D27" s="360">
        <v>-2512247.3099999996</v>
      </c>
      <c r="E27" s="275">
        <v>-2182934.04</v>
      </c>
      <c r="F27" s="73"/>
      <c r="G27" s="156"/>
      <c r="H27" s="293"/>
      <c r="I27" s="293"/>
      <c r="J27" s="219"/>
    </row>
    <row r="28" spans="2:17" ht="13">
      <c r="B28" s="8" t="s">
        <v>18</v>
      </c>
      <c r="C28" s="9" t="s">
        <v>19</v>
      </c>
      <c r="D28" s="360">
        <v>1109692.49</v>
      </c>
      <c r="E28" s="276">
        <v>970898.39</v>
      </c>
      <c r="F28" s="73"/>
      <c r="G28" s="156"/>
      <c r="H28" s="293"/>
      <c r="I28" s="293"/>
      <c r="J28" s="219"/>
    </row>
    <row r="29" spans="2:17">
      <c r="B29" s="107" t="s">
        <v>4</v>
      </c>
      <c r="C29" s="5" t="s">
        <v>20</v>
      </c>
      <c r="D29" s="361">
        <v>1030121.6100000001</v>
      </c>
      <c r="E29" s="277">
        <v>920135.52</v>
      </c>
      <c r="F29" s="73"/>
      <c r="G29" s="156"/>
      <c r="H29" s="293"/>
      <c r="I29" s="293"/>
      <c r="J29" s="219"/>
    </row>
    <row r="30" spans="2:17">
      <c r="B30" s="107" t="s">
        <v>6</v>
      </c>
      <c r="C30" s="5" t="s">
        <v>21</v>
      </c>
      <c r="D30" s="361"/>
      <c r="E30" s="277"/>
      <c r="F30" s="73"/>
      <c r="G30" s="156"/>
      <c r="H30" s="293"/>
      <c r="I30" s="293"/>
      <c r="J30" s="219"/>
    </row>
    <row r="31" spans="2:17">
      <c r="B31" s="107" t="s">
        <v>8</v>
      </c>
      <c r="C31" s="5" t="s">
        <v>22</v>
      </c>
      <c r="D31" s="361">
        <v>79570.880000000005</v>
      </c>
      <c r="E31" s="277">
        <v>50762.87</v>
      </c>
      <c r="F31" s="73"/>
      <c r="G31" s="156"/>
      <c r="H31" s="293"/>
      <c r="I31" s="293"/>
      <c r="J31" s="219"/>
    </row>
    <row r="32" spans="2:17" ht="13">
      <c r="B32" s="95" t="s">
        <v>23</v>
      </c>
      <c r="C32" s="10" t="s">
        <v>24</v>
      </c>
      <c r="D32" s="360">
        <v>3621939.8</v>
      </c>
      <c r="E32" s="276">
        <v>3153832.43</v>
      </c>
      <c r="F32" s="73"/>
      <c r="G32" s="156"/>
      <c r="H32" s="293"/>
      <c r="I32" s="293"/>
      <c r="J32" s="219"/>
    </row>
    <row r="33" spans="2:10">
      <c r="B33" s="107" t="s">
        <v>4</v>
      </c>
      <c r="C33" s="5" t="s">
        <v>25</v>
      </c>
      <c r="D33" s="361">
        <v>3103340.65</v>
      </c>
      <c r="E33" s="277">
        <v>2767378.88</v>
      </c>
      <c r="F33" s="73"/>
      <c r="G33" s="156"/>
      <c r="H33" s="293"/>
      <c r="I33" s="293"/>
      <c r="J33" s="219"/>
    </row>
    <row r="34" spans="2:10">
      <c r="B34" s="107" t="s">
        <v>6</v>
      </c>
      <c r="C34" s="5" t="s">
        <v>26</v>
      </c>
      <c r="D34" s="361"/>
      <c r="E34" s="277"/>
      <c r="F34" s="73"/>
      <c r="G34" s="156"/>
      <c r="H34" s="293"/>
      <c r="I34" s="293"/>
      <c r="J34" s="219"/>
    </row>
    <row r="35" spans="2:10">
      <c r="B35" s="107" t="s">
        <v>8</v>
      </c>
      <c r="C35" s="5" t="s">
        <v>27</v>
      </c>
      <c r="D35" s="361">
        <v>95893.51</v>
      </c>
      <c r="E35" s="277">
        <v>68400.430000000008</v>
      </c>
      <c r="F35" s="73"/>
      <c r="G35" s="156"/>
      <c r="H35" s="293"/>
      <c r="I35" s="293"/>
      <c r="J35" s="219"/>
    </row>
    <row r="36" spans="2:10">
      <c r="B36" s="107" t="s">
        <v>9</v>
      </c>
      <c r="C36" s="5" t="s">
        <v>28</v>
      </c>
      <c r="D36" s="361"/>
      <c r="E36" s="277"/>
      <c r="F36" s="73"/>
      <c r="G36" s="156"/>
      <c r="H36" s="293"/>
      <c r="I36" s="293"/>
      <c r="J36" s="219"/>
    </row>
    <row r="37" spans="2:10" ht="25">
      <c r="B37" s="107" t="s">
        <v>29</v>
      </c>
      <c r="C37" s="5" t="s">
        <v>30</v>
      </c>
      <c r="D37" s="361">
        <v>210272.02</v>
      </c>
      <c r="E37" s="277">
        <v>219882.65</v>
      </c>
      <c r="F37" s="73"/>
      <c r="G37" s="156"/>
      <c r="H37" s="293"/>
      <c r="I37" s="293"/>
      <c r="J37" s="219"/>
    </row>
    <row r="38" spans="2:10">
      <c r="B38" s="107" t="s">
        <v>31</v>
      </c>
      <c r="C38" s="5" t="s">
        <v>32</v>
      </c>
      <c r="D38" s="361"/>
      <c r="E38" s="277"/>
      <c r="F38" s="73"/>
      <c r="G38" s="156"/>
      <c r="H38" s="293"/>
      <c r="I38" s="293"/>
      <c r="J38" s="219"/>
    </row>
    <row r="39" spans="2:10">
      <c r="B39" s="108" t="s">
        <v>33</v>
      </c>
      <c r="C39" s="11" t="s">
        <v>34</v>
      </c>
      <c r="D39" s="362">
        <v>212433.62</v>
      </c>
      <c r="E39" s="278">
        <v>98170.47</v>
      </c>
      <c r="F39" s="73"/>
      <c r="G39" s="156"/>
      <c r="H39" s="293"/>
      <c r="I39" s="293"/>
      <c r="J39" s="219"/>
    </row>
    <row r="40" spans="2:10" ht="13.5" thickBot="1">
      <c r="B40" s="100" t="s">
        <v>35</v>
      </c>
      <c r="C40" s="101" t="s">
        <v>36</v>
      </c>
      <c r="D40" s="363">
        <v>2143175.73</v>
      </c>
      <c r="E40" s="279">
        <v>1773291.55</v>
      </c>
      <c r="G40" s="76"/>
      <c r="H40" s="163"/>
      <c r="I40" s="163"/>
      <c r="J40" s="163"/>
    </row>
    <row r="41" spans="2:10" ht="13.5" thickBot="1">
      <c r="B41" s="102" t="s">
        <v>37</v>
      </c>
      <c r="C41" s="103" t="s">
        <v>38</v>
      </c>
      <c r="D41" s="364">
        <v>14489533.25</v>
      </c>
      <c r="E41" s="151">
        <f>E26+E27+E40</f>
        <v>14079890.760000002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65">
        <v>101447.1568</v>
      </c>
      <c r="E47" s="309">
        <v>84816.569900000002</v>
      </c>
      <c r="G47" s="73"/>
    </row>
    <row r="48" spans="2:10">
      <c r="B48" s="197" t="s">
        <v>6</v>
      </c>
      <c r="C48" s="198" t="s">
        <v>41</v>
      </c>
      <c r="D48" s="365">
        <v>84816.569900000002</v>
      </c>
      <c r="E48" s="380">
        <v>73288.355800000005</v>
      </c>
      <c r="G48" s="206"/>
      <c r="J48" s="162"/>
    </row>
    <row r="49" spans="2:7" ht="13">
      <c r="B49" s="123" t="s">
        <v>23</v>
      </c>
      <c r="C49" s="127" t="s">
        <v>113</v>
      </c>
      <c r="D49" s="382"/>
      <c r="E49" s="128"/>
    </row>
    <row r="50" spans="2:7">
      <c r="B50" s="195" t="s">
        <v>4</v>
      </c>
      <c r="C50" s="196" t="s">
        <v>40</v>
      </c>
      <c r="D50" s="365">
        <v>146.46639999999999</v>
      </c>
      <c r="E50" s="309">
        <v>170.8338</v>
      </c>
      <c r="G50" s="183"/>
    </row>
    <row r="51" spans="2:7">
      <c r="B51" s="195" t="s">
        <v>6</v>
      </c>
      <c r="C51" s="196" t="s">
        <v>114</v>
      </c>
      <c r="D51" s="365">
        <v>120.7756</v>
      </c>
      <c r="E51" s="309">
        <v>170.8338</v>
      </c>
      <c r="G51" s="183"/>
    </row>
    <row r="52" spans="2:7" ht="12.75" customHeight="1">
      <c r="B52" s="195" t="s">
        <v>8</v>
      </c>
      <c r="C52" s="196" t="s">
        <v>115</v>
      </c>
      <c r="D52" s="365">
        <v>171.03299999999999</v>
      </c>
      <c r="E52" s="309">
        <v>200.32480000000001</v>
      </c>
    </row>
    <row r="53" spans="2:7" ht="13" thickBot="1">
      <c r="B53" s="199" t="s">
        <v>9</v>
      </c>
      <c r="C53" s="200" t="s">
        <v>41</v>
      </c>
      <c r="D53" s="369">
        <v>170.8338</v>
      </c>
      <c r="E53" s="280">
        <v>192.1163</v>
      </c>
    </row>
    <row r="54" spans="2:7">
      <c r="B54" s="201"/>
      <c r="C54" s="202"/>
      <c r="D54" s="114"/>
      <c r="E54" s="114"/>
    </row>
    <row r="55" spans="2:7" ht="13.5">
      <c r="B55" s="406" t="s">
        <v>62</v>
      </c>
      <c r="C55" s="407"/>
      <c r="D55" s="407"/>
      <c r="E55" s="407"/>
    </row>
    <row r="56" spans="2:7" ht="17.25" customHeight="1" thickBot="1">
      <c r="B56" s="404" t="s">
        <v>116</v>
      </c>
      <c r="C56" s="408"/>
      <c r="D56" s="408"/>
      <c r="E56" s="408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D64+D69</f>
        <v>14077559.609999998</v>
      </c>
      <c r="E58" s="30">
        <f>D58/E21</f>
        <v>0.99983443408477124</v>
      </c>
    </row>
    <row r="59" spans="2:7" ht="25">
      <c r="B59" s="313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314" t="s">
        <v>6</v>
      </c>
      <c r="C60" s="196" t="s">
        <v>45</v>
      </c>
      <c r="D60" s="80">
        <v>0</v>
      </c>
      <c r="E60" s="81">
        <v>0</v>
      </c>
    </row>
    <row r="61" spans="2:7">
      <c r="B61" s="314" t="s">
        <v>8</v>
      </c>
      <c r="C61" s="196" t="s">
        <v>46</v>
      </c>
      <c r="D61" s="80">
        <v>0</v>
      </c>
      <c r="E61" s="81">
        <v>0</v>
      </c>
    </row>
    <row r="62" spans="2:7">
      <c r="B62" s="314" t="s">
        <v>9</v>
      </c>
      <c r="C62" s="196" t="s">
        <v>47</v>
      </c>
      <c r="D62" s="80">
        <v>0</v>
      </c>
      <c r="E62" s="81">
        <v>0</v>
      </c>
    </row>
    <row r="63" spans="2:7">
      <c r="B63" s="314" t="s">
        <v>29</v>
      </c>
      <c r="C63" s="196" t="s">
        <v>48</v>
      </c>
      <c r="D63" s="80">
        <v>0</v>
      </c>
      <c r="E63" s="81">
        <v>0</v>
      </c>
    </row>
    <row r="64" spans="2:7">
      <c r="B64" s="313" t="s">
        <v>31</v>
      </c>
      <c r="C64" s="198" t="s">
        <v>49</v>
      </c>
      <c r="D64" s="377">
        <f>13741029.12-64359.96</f>
        <v>13676669.159999998</v>
      </c>
      <c r="E64" s="83">
        <f>D64/E21</f>
        <v>0.97136188008322311</v>
      </c>
    </row>
    <row r="65" spans="2:7">
      <c r="B65" s="313" t="s">
        <v>33</v>
      </c>
      <c r="C65" s="198" t="s">
        <v>118</v>
      </c>
      <c r="D65" s="82">
        <v>0</v>
      </c>
      <c r="E65" s="83">
        <v>0</v>
      </c>
    </row>
    <row r="66" spans="2:7">
      <c r="B66" s="313" t="s">
        <v>50</v>
      </c>
      <c r="C66" s="198" t="s">
        <v>51</v>
      </c>
      <c r="D66" s="82">
        <v>0</v>
      </c>
      <c r="E66" s="83">
        <v>0</v>
      </c>
      <c r="G66" s="73"/>
    </row>
    <row r="67" spans="2:7">
      <c r="B67" s="314" t="s">
        <v>52</v>
      </c>
      <c r="C67" s="196" t="s">
        <v>53</v>
      </c>
      <c r="D67" s="80">
        <v>0</v>
      </c>
      <c r="E67" s="81">
        <v>0</v>
      </c>
    </row>
    <row r="68" spans="2:7">
      <c r="B68" s="314" t="s">
        <v>54</v>
      </c>
      <c r="C68" s="196" t="s">
        <v>55</v>
      </c>
      <c r="D68" s="80">
        <v>0</v>
      </c>
      <c r="E68" s="81">
        <v>0</v>
      </c>
    </row>
    <row r="69" spans="2:7">
      <c r="B69" s="314" t="s">
        <v>56</v>
      </c>
      <c r="C69" s="196" t="s">
        <v>57</v>
      </c>
      <c r="D69" s="370">
        <v>400890.45</v>
      </c>
      <c r="E69" s="81">
        <f>D69/E21</f>
        <v>2.8472554001548238E-2</v>
      </c>
    </row>
    <row r="70" spans="2:7">
      <c r="B70" s="315" t="s">
        <v>58</v>
      </c>
      <c r="C70" s="240" t="s">
        <v>59</v>
      </c>
      <c r="D70" s="117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13.31</v>
      </c>
      <c r="E71" s="66">
        <v>0</v>
      </c>
    </row>
    <row r="72" spans="2:7" ht="13">
      <c r="B72" s="119" t="s">
        <v>60</v>
      </c>
      <c r="C72" s="120" t="s">
        <v>63</v>
      </c>
      <c r="D72" s="121">
        <f>E14</f>
        <v>4327.97</v>
      </c>
      <c r="E72" s="122">
        <f>D72/E21</f>
        <v>3.0738661782060591E-4</v>
      </c>
    </row>
    <row r="73" spans="2:7" ht="13">
      <c r="B73" s="22" t="s">
        <v>62</v>
      </c>
      <c r="C73" s="23" t="s">
        <v>65</v>
      </c>
      <c r="D73" s="24">
        <f>E17</f>
        <v>2010.13</v>
      </c>
      <c r="E73" s="25">
        <f>D73/E21</f>
        <v>1.4276602242615697E-4</v>
      </c>
    </row>
    <row r="74" spans="2:7" ht="13">
      <c r="B74" s="123" t="s">
        <v>64</v>
      </c>
      <c r="C74" s="124" t="s">
        <v>66</v>
      </c>
      <c r="D74" s="125">
        <f>D58+D71+D72-D73</f>
        <v>14079890.759999998</v>
      </c>
      <c r="E74" s="66">
        <f>E58+E72-E73</f>
        <v>0.9999990546801657</v>
      </c>
    </row>
    <row r="75" spans="2:7">
      <c r="B75" s="314" t="s">
        <v>4</v>
      </c>
      <c r="C75" s="196" t="s">
        <v>67</v>
      </c>
      <c r="D75" s="80">
        <f>D74</f>
        <v>14079890.759999998</v>
      </c>
      <c r="E75" s="81">
        <f>E74</f>
        <v>0.9999990546801657</v>
      </c>
    </row>
    <row r="76" spans="2:7">
      <c r="B76" s="314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316" t="s">
        <v>8</v>
      </c>
      <c r="C77" s="200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2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45312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232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33796.310000000005</v>
      </c>
      <c r="E11" s="245">
        <f>SUM(E12:E14)</f>
        <v>27198.52</v>
      </c>
    </row>
    <row r="12" spans="2:12">
      <c r="B12" s="184" t="s">
        <v>4</v>
      </c>
      <c r="C12" s="185" t="s">
        <v>5</v>
      </c>
      <c r="D12" s="300">
        <v>33796.310000000005</v>
      </c>
      <c r="E12" s="250">
        <v>27198.52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33796.310000000005</v>
      </c>
      <c r="E21" s="151">
        <f>E11-E17</f>
        <v>27198.52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32224.639999999999</v>
      </c>
      <c r="E26" s="239">
        <f>D21</f>
        <v>33796.310000000005</v>
      </c>
      <c r="G26" s="76"/>
    </row>
    <row r="27" spans="2:11" ht="13">
      <c r="B27" s="8" t="s">
        <v>17</v>
      </c>
      <c r="C27" s="9" t="s">
        <v>111</v>
      </c>
      <c r="D27" s="360">
        <v>1148.7099999999998</v>
      </c>
      <c r="E27" s="275">
        <v>-9423.9699999999993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3166.12</v>
      </c>
      <c r="E28" s="276">
        <v>14574.41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3166.12</v>
      </c>
      <c r="E29" s="277">
        <v>1779.56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>
        <v>12794.85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2017.41</v>
      </c>
      <c r="E32" s="276">
        <v>23998.38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1330.77</v>
      </c>
      <c r="E33" s="277">
        <v>14912.57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336.05</v>
      </c>
      <c r="E35" s="277">
        <v>444.27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345.68</v>
      </c>
      <c r="E37" s="277">
        <v>312.93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4.91</v>
      </c>
      <c r="E39" s="278">
        <v>8328.61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422.96</v>
      </c>
      <c r="E40" s="279">
        <v>2826.18</v>
      </c>
      <c r="G40" s="76"/>
    </row>
    <row r="41" spans="2:10" ht="13.5" thickBot="1">
      <c r="B41" s="102" t="s">
        <v>37</v>
      </c>
      <c r="C41" s="103" t="s">
        <v>38</v>
      </c>
      <c r="D41" s="364">
        <v>33796.31</v>
      </c>
      <c r="E41" s="151">
        <f>E26+E27+E40</f>
        <v>27198.520000000004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249.0119</v>
      </c>
      <c r="E47" s="309">
        <v>259.63210000000004</v>
      </c>
      <c r="G47" s="73"/>
      <c r="H47" s="162"/>
    </row>
    <row r="48" spans="2:10">
      <c r="B48" s="197" t="s">
        <v>6</v>
      </c>
      <c r="C48" s="198" t="s">
        <v>41</v>
      </c>
      <c r="D48" s="371">
        <v>259.63210000000004</v>
      </c>
      <c r="E48" s="152">
        <v>185.36439999999999</v>
      </c>
      <c r="G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129.41</v>
      </c>
      <c r="E50" s="77">
        <v>130.16999999999999</v>
      </c>
      <c r="G50" s="183"/>
    </row>
    <row r="51" spans="2:7">
      <c r="B51" s="195" t="s">
        <v>6</v>
      </c>
      <c r="C51" s="196" t="s">
        <v>114</v>
      </c>
      <c r="D51" s="371">
        <v>87.04</v>
      </c>
      <c r="E51" s="77">
        <v>129.69</v>
      </c>
      <c r="G51" s="183"/>
    </row>
    <row r="52" spans="2:7">
      <c r="B52" s="195" t="s">
        <v>8</v>
      </c>
      <c r="C52" s="196" t="s">
        <v>115</v>
      </c>
      <c r="D52" s="371">
        <v>134.47</v>
      </c>
      <c r="E52" s="77">
        <v>156.71</v>
      </c>
    </row>
    <row r="53" spans="2:7" ht="13.5" customHeight="1" thickBot="1">
      <c r="B53" s="199" t="s">
        <v>9</v>
      </c>
      <c r="C53" s="200" t="s">
        <v>41</v>
      </c>
      <c r="D53" s="369">
        <v>130.16999999999999</v>
      </c>
      <c r="E53" s="280">
        <v>146.72999999999999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27198.52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27198.52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27198.52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27198.52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1" right="0.75" top="0.56999999999999995" bottom="0.55000000000000004" header="0.5" footer="0.5"/>
  <pageSetup paperSize="9" scale="70" orientation="portrait" r:id="rId1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3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234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62760.02</v>
      </c>
      <c r="E11" s="245">
        <f>SUM(E12:E14)</f>
        <v>71673.350000000006</v>
      </c>
    </row>
    <row r="12" spans="2:12">
      <c r="B12" s="184" t="s">
        <v>4</v>
      </c>
      <c r="C12" s="185" t="s">
        <v>5</v>
      </c>
      <c r="D12" s="300">
        <v>62760.02</v>
      </c>
      <c r="E12" s="250">
        <v>71673.350000000006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62760.02</v>
      </c>
      <c r="E21" s="151">
        <f>E11-E17</f>
        <v>71673.350000000006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75863.44</v>
      </c>
      <c r="E26" s="239">
        <f>D21</f>
        <v>62760.02</v>
      </c>
      <c r="G26" s="76"/>
      <c r="H26" s="242"/>
    </row>
    <row r="27" spans="2:11" ht="13">
      <c r="B27" s="8" t="s">
        <v>17</v>
      </c>
      <c r="C27" s="9" t="s">
        <v>111</v>
      </c>
      <c r="D27" s="360">
        <v>-18775.93</v>
      </c>
      <c r="E27" s="275">
        <v>-1305.51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18775.93</v>
      </c>
      <c r="E32" s="276">
        <v>1305.51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17681.21</v>
      </c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112.15</v>
      </c>
      <c r="E35" s="277">
        <v>125.4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982.57</v>
      </c>
      <c r="E37" s="277">
        <v>1180.1100000000001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5672.51</v>
      </c>
      <c r="E40" s="279">
        <v>10218.84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62760.020000000004</v>
      </c>
      <c r="E41" s="151">
        <f>E26+E27+E40</f>
        <v>71673.349999999991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724.37159999999994</v>
      </c>
      <c r="E47" s="309">
        <v>538.34289999999999</v>
      </c>
      <c r="G47" s="73"/>
    </row>
    <row r="48" spans="2:10">
      <c r="B48" s="197" t="s">
        <v>6</v>
      </c>
      <c r="C48" s="198" t="s">
        <v>41</v>
      </c>
      <c r="D48" s="371">
        <v>538.34289999999999</v>
      </c>
      <c r="E48" s="152">
        <v>528.25289999999995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104.73</v>
      </c>
      <c r="E50" s="77">
        <v>116.58</v>
      </c>
      <c r="G50" s="183"/>
    </row>
    <row r="51" spans="2:7">
      <c r="B51" s="195" t="s">
        <v>6</v>
      </c>
      <c r="C51" s="196" t="s">
        <v>114</v>
      </c>
      <c r="D51" s="371">
        <v>73.09</v>
      </c>
      <c r="E51" s="77">
        <v>115.9</v>
      </c>
      <c r="G51" s="183"/>
    </row>
    <row r="52" spans="2:7">
      <c r="B52" s="195" t="s">
        <v>8</v>
      </c>
      <c r="C52" s="196" t="s">
        <v>115</v>
      </c>
      <c r="D52" s="371">
        <v>117.16</v>
      </c>
      <c r="E52" s="77">
        <v>142.85</v>
      </c>
    </row>
    <row r="53" spans="2:7" ht="12.75" customHeight="1" thickBot="1">
      <c r="B53" s="199" t="s">
        <v>9</v>
      </c>
      <c r="C53" s="200" t="s">
        <v>41</v>
      </c>
      <c r="D53" s="369">
        <v>116.58</v>
      </c>
      <c r="E53" s="280">
        <v>135.68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71673.350000000006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71673.350000000006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71673.350000000006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71673.350000000006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6000000000000005" right="0.75" top="0.55000000000000004" bottom="0.52" header="0.5" footer="0.5"/>
  <pageSetup paperSize="9" scale="70" orientation="portrait" r:id="rId1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1.81640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235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117771.06999999999</v>
      </c>
      <c r="E11" s="245">
        <f>SUM(E12:E14)</f>
        <v>124167.5</v>
      </c>
    </row>
    <row r="12" spans="2:12">
      <c r="B12" s="184" t="s">
        <v>4</v>
      </c>
      <c r="C12" s="185" t="s">
        <v>5</v>
      </c>
      <c r="D12" s="300">
        <v>117771.06999999999</v>
      </c>
      <c r="E12" s="250">
        <v>124167.5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117771.06999999999</v>
      </c>
      <c r="E21" s="151">
        <f>E11-E17</f>
        <v>124167.5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110148.53</v>
      </c>
      <c r="E26" s="239">
        <f>D21</f>
        <v>117771.06999999999</v>
      </c>
      <c r="G26" s="76"/>
    </row>
    <row r="27" spans="2:11" ht="13">
      <c r="B27" s="8" t="s">
        <v>17</v>
      </c>
      <c r="C27" s="9" t="s">
        <v>111</v>
      </c>
      <c r="D27" s="360">
        <v>4239.38</v>
      </c>
      <c r="E27" s="275">
        <v>-15139.45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9150.76</v>
      </c>
      <c r="E28" s="276">
        <v>17284.29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3094.46</v>
      </c>
      <c r="E29" s="277">
        <v>4785.53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>
        <v>0</v>
      </c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6056.3</v>
      </c>
      <c r="E31" s="277">
        <v>12498.76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4911.38</v>
      </c>
      <c r="E32" s="276">
        <v>32423.74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2938.13</v>
      </c>
      <c r="E33" s="277">
        <v>24691.62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>
        <v>0</v>
      </c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240.64</v>
      </c>
      <c r="E35" s="277">
        <v>212.31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>
        <v>0</v>
      </c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1553.34</v>
      </c>
      <c r="E37" s="277">
        <v>1773.2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>
        <v>0</v>
      </c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179.27</v>
      </c>
      <c r="E39" s="278">
        <v>5746.61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3383.16</v>
      </c>
      <c r="E40" s="279">
        <v>21535.88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117771.07</v>
      </c>
      <c r="E41" s="151">
        <f>E26+E27+E40</f>
        <v>124167.5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540.68589999999995</v>
      </c>
      <c r="E47" s="309">
        <v>565.96219999999994</v>
      </c>
      <c r="G47" s="73"/>
    </row>
    <row r="48" spans="2:10">
      <c r="B48" s="197" t="s">
        <v>6</v>
      </c>
      <c r="C48" s="198" t="s">
        <v>41</v>
      </c>
      <c r="D48" s="371">
        <v>565.96219999999994</v>
      </c>
      <c r="E48" s="152">
        <v>494.80950000000001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203.72</v>
      </c>
      <c r="E50" s="77">
        <v>208.09</v>
      </c>
      <c r="G50" s="183"/>
    </row>
    <row r="51" spans="2:7">
      <c r="B51" s="195" t="s">
        <v>6</v>
      </c>
      <c r="C51" s="196" t="s">
        <v>114</v>
      </c>
      <c r="D51" s="371">
        <v>136.11000000000001</v>
      </c>
      <c r="E51" s="77">
        <v>204.29</v>
      </c>
      <c r="G51" s="183"/>
    </row>
    <row r="52" spans="2:7">
      <c r="B52" s="195" t="s">
        <v>8</v>
      </c>
      <c r="C52" s="196" t="s">
        <v>115</v>
      </c>
      <c r="D52" s="371">
        <v>209.53</v>
      </c>
      <c r="E52" s="77">
        <v>268.06</v>
      </c>
    </row>
    <row r="53" spans="2:7" ht="13.5" customHeight="1" thickBot="1">
      <c r="B53" s="199" t="s">
        <v>9</v>
      </c>
      <c r="C53" s="200" t="s">
        <v>41</v>
      </c>
      <c r="D53" s="369">
        <v>208.09</v>
      </c>
      <c r="E53" s="280">
        <v>250.94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124167.5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124167.5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124167.5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124167.5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3" right="0.75" top="0.52" bottom="0.68" header="0.5" footer="0.5"/>
  <pageSetup paperSize="9" scale="70" orientation="portrait" r:id="rId1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236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282161.15999999997</v>
      </c>
      <c r="E11" s="245">
        <f>SUM(E12:E14)</f>
        <v>149779.93</v>
      </c>
    </row>
    <row r="12" spans="2:12">
      <c r="B12" s="184" t="s">
        <v>4</v>
      </c>
      <c r="C12" s="185" t="s">
        <v>5</v>
      </c>
      <c r="D12" s="300">
        <v>282161.15999999997</v>
      </c>
      <c r="E12" s="250">
        <v>149779.93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282161.15999999997</v>
      </c>
      <c r="E21" s="151">
        <f>E11-E17</f>
        <v>149779.93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  <c r="H24" s="242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  <c r="H25" s="242"/>
    </row>
    <row r="26" spans="2:11" ht="13">
      <c r="B26" s="98" t="s">
        <v>15</v>
      </c>
      <c r="C26" s="99" t="s">
        <v>16</v>
      </c>
      <c r="D26" s="359">
        <v>264319.95</v>
      </c>
      <c r="E26" s="239">
        <f>D21</f>
        <v>282161.15999999997</v>
      </c>
      <c r="G26" s="76"/>
      <c r="H26" s="242"/>
    </row>
    <row r="27" spans="2:11" ht="13">
      <c r="B27" s="8" t="s">
        <v>17</v>
      </c>
      <c r="C27" s="9" t="s">
        <v>111</v>
      </c>
      <c r="D27" s="360">
        <v>1031.9500000000044</v>
      </c>
      <c r="E27" s="275">
        <v>-109736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37997.910000000003</v>
      </c>
      <c r="E28" s="276">
        <v>16300.44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11498.05</v>
      </c>
      <c r="E29" s="277">
        <v>15302.59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26499.86</v>
      </c>
      <c r="E31" s="277">
        <v>997.85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36965.96</v>
      </c>
      <c r="E32" s="276">
        <v>126036.44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5245.91</v>
      </c>
      <c r="E33" s="277">
        <v>115960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1263.93</v>
      </c>
      <c r="E35" s="277">
        <v>1098.68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4236.03</v>
      </c>
      <c r="E37" s="277">
        <v>3703.29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26220.09</v>
      </c>
      <c r="E39" s="278">
        <v>5274.47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16809.259999999998</v>
      </c>
      <c r="E40" s="279">
        <v>-22645.23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282161.16000000003</v>
      </c>
      <c r="E41" s="151">
        <f>E26+E27+E40</f>
        <v>149779.92999999996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203"/>
    </row>
    <row r="47" spans="2:10">
      <c r="B47" s="105" t="s">
        <v>4</v>
      </c>
      <c r="C47" s="14" t="s">
        <v>40</v>
      </c>
      <c r="D47" s="371">
        <v>717.38350000000003</v>
      </c>
      <c r="E47" s="309">
        <v>720.60770000000002</v>
      </c>
      <c r="G47" s="73"/>
      <c r="H47" s="203"/>
    </row>
    <row r="48" spans="2:10">
      <c r="B48" s="126" t="s">
        <v>6</v>
      </c>
      <c r="C48" s="21" t="s">
        <v>41</v>
      </c>
      <c r="D48" s="371">
        <v>720.60770000000002</v>
      </c>
      <c r="E48" s="152">
        <v>427.86930000000001</v>
      </c>
      <c r="G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368.45</v>
      </c>
      <c r="E50" s="77">
        <v>391.56</v>
      </c>
      <c r="G50" s="183"/>
    </row>
    <row r="51" spans="2:7">
      <c r="B51" s="105" t="s">
        <v>6</v>
      </c>
      <c r="C51" s="14" t="s">
        <v>114</v>
      </c>
      <c r="D51" s="371">
        <v>362.74</v>
      </c>
      <c r="E51" s="77">
        <v>350.06</v>
      </c>
      <c r="G51" s="183"/>
    </row>
    <row r="52" spans="2:7">
      <c r="B52" s="105" t="s">
        <v>8</v>
      </c>
      <c r="C52" s="14" t="s">
        <v>115</v>
      </c>
      <c r="D52" s="371">
        <v>391.67</v>
      </c>
      <c r="E52" s="77">
        <v>394.45</v>
      </c>
    </row>
    <row r="53" spans="2:7" ht="13.5" customHeight="1" thickBot="1">
      <c r="B53" s="106" t="s">
        <v>9</v>
      </c>
      <c r="C53" s="16" t="s">
        <v>41</v>
      </c>
      <c r="D53" s="369">
        <v>391.56</v>
      </c>
      <c r="E53" s="280">
        <v>350.06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149779.93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149779.93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5" ht="13">
      <c r="B74" s="133" t="s">
        <v>64</v>
      </c>
      <c r="C74" s="124" t="s">
        <v>66</v>
      </c>
      <c r="D74" s="125">
        <f>D58-D73</f>
        <v>149779.93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149779.93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45312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237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119987.76</v>
      </c>
      <c r="E11" s="245">
        <f>SUM(E12:E14)</f>
        <v>116044.45</v>
      </c>
    </row>
    <row r="12" spans="2:12">
      <c r="B12" s="184" t="s">
        <v>4</v>
      </c>
      <c r="C12" s="185" t="s">
        <v>5</v>
      </c>
      <c r="D12" s="300">
        <v>119987.76</v>
      </c>
      <c r="E12" s="250">
        <v>116044.45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119987.76</v>
      </c>
      <c r="E21" s="151">
        <f>E11-E17</f>
        <v>116044.45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120943.93</v>
      </c>
      <c r="E26" s="239">
        <f>D21</f>
        <v>119987.76</v>
      </c>
      <c r="G26" s="76"/>
    </row>
    <row r="27" spans="2:11" ht="13">
      <c r="B27" s="8" t="s">
        <v>17</v>
      </c>
      <c r="C27" s="9" t="s">
        <v>111</v>
      </c>
      <c r="D27" s="360">
        <v>-6056.9700000000012</v>
      </c>
      <c r="E27" s="275">
        <v>-2207.86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99236.26</v>
      </c>
      <c r="E28" s="276">
        <v>1.73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99236.26</v>
      </c>
      <c r="E31" s="277">
        <v>1.73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105293.23</v>
      </c>
      <c r="E32" s="276">
        <v>2209.59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2058.08</v>
      </c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244.39</v>
      </c>
      <c r="E35" s="277">
        <v>151.14000000000001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2623.81</v>
      </c>
      <c r="E37" s="277">
        <v>2058.4499999999998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100366.95</v>
      </c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5100.8</v>
      </c>
      <c r="E40" s="279">
        <v>-1735.45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119987.76</v>
      </c>
      <c r="E41" s="151">
        <f>E26+E27+E40</f>
        <v>116044.45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528.41630000000009</v>
      </c>
      <c r="E47" s="309">
        <v>508.87549999999999</v>
      </c>
      <c r="G47" s="73"/>
      <c r="H47" s="162"/>
    </row>
    <row r="48" spans="2:10">
      <c r="B48" s="126" t="s">
        <v>6</v>
      </c>
      <c r="C48" s="21" t="s">
        <v>41</v>
      </c>
      <c r="D48" s="371">
        <v>508.87549999999999</v>
      </c>
      <c r="E48" s="152">
        <v>499.54559999999998</v>
      </c>
      <c r="G48" s="203"/>
      <c r="H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228.88</v>
      </c>
      <c r="E50" s="77">
        <v>235.79</v>
      </c>
      <c r="G50" s="183"/>
    </row>
    <row r="51" spans="2:7">
      <c r="B51" s="105" t="s">
        <v>6</v>
      </c>
      <c r="C51" s="14" t="s">
        <v>114</v>
      </c>
      <c r="D51" s="371">
        <v>224.75</v>
      </c>
      <c r="E51" s="77">
        <v>232.12</v>
      </c>
      <c r="G51" s="183"/>
    </row>
    <row r="52" spans="2:7">
      <c r="B52" s="105" t="s">
        <v>8</v>
      </c>
      <c r="C52" s="14" t="s">
        <v>115</v>
      </c>
      <c r="D52" s="371">
        <v>235.79</v>
      </c>
      <c r="E52" s="77">
        <v>238.12</v>
      </c>
    </row>
    <row r="53" spans="2:7" ht="14.25" customHeight="1" thickBot="1">
      <c r="B53" s="106" t="s">
        <v>9</v>
      </c>
      <c r="C53" s="16" t="s">
        <v>41</v>
      </c>
      <c r="D53" s="369">
        <v>235.79</v>
      </c>
      <c r="E53" s="280">
        <v>232.3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116044.45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116044.45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83">
        <f>D73/E21</f>
        <v>0</v>
      </c>
    </row>
    <row r="74" spans="2:5" ht="13">
      <c r="B74" s="133" t="s">
        <v>64</v>
      </c>
      <c r="C74" s="124" t="s">
        <v>66</v>
      </c>
      <c r="D74" s="125">
        <f>D58-D73</f>
        <v>116044.45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116044.45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5000000000000004" right="0.75" top="0.61" bottom="0.6" header="0.5" footer="0.5"/>
  <pageSetup paperSize="9" scale="70" orientation="portrait" r:id="rId1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45312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238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117898.27</v>
      </c>
      <c r="E11" s="245">
        <f>SUM(E12:E14)</f>
        <v>123542.29</v>
      </c>
    </row>
    <row r="12" spans="2:12">
      <c r="B12" s="184" t="s">
        <v>4</v>
      </c>
      <c r="C12" s="185" t="s">
        <v>5</v>
      </c>
      <c r="D12" s="300">
        <v>117898.27</v>
      </c>
      <c r="E12" s="250">
        <v>123542.29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117898.27</v>
      </c>
      <c r="E21" s="151">
        <f>E11-E17</f>
        <v>123542.29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104410.36</v>
      </c>
      <c r="E26" s="239">
        <f>D21</f>
        <v>117898.27</v>
      </c>
      <c r="G26" s="76"/>
    </row>
    <row r="27" spans="2:11" ht="13">
      <c r="B27" s="8" t="s">
        <v>17</v>
      </c>
      <c r="C27" s="9" t="s">
        <v>111</v>
      </c>
      <c r="D27" s="360">
        <v>8060.17</v>
      </c>
      <c r="E27" s="275">
        <v>-1154.72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10693.09</v>
      </c>
      <c r="E28" s="276">
        <v>9541.8000000000011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9571.2800000000007</v>
      </c>
      <c r="E29" s="277">
        <v>9541.8000000000011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1121.81</v>
      </c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2632.92</v>
      </c>
      <c r="E32" s="276">
        <v>10696.52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609.6</v>
      </c>
      <c r="E33" s="277">
        <v>8554.5299999999988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463.78</v>
      </c>
      <c r="E35" s="277">
        <v>422.95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1559.54</v>
      </c>
      <c r="E37" s="277">
        <v>1719.04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5427.74</v>
      </c>
      <c r="E40" s="279">
        <v>6798.74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117898.27</v>
      </c>
      <c r="E41" s="151">
        <f>E26+E27+E40</f>
        <v>123542.29000000001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306.20670000000001</v>
      </c>
      <c r="E47" s="309">
        <v>331.37970000000001</v>
      </c>
      <c r="G47" s="73"/>
      <c r="H47" s="162"/>
    </row>
    <row r="48" spans="2:10">
      <c r="B48" s="126" t="s">
        <v>6</v>
      </c>
      <c r="C48" s="21" t="s">
        <v>41</v>
      </c>
      <c r="D48" s="371">
        <v>331.37970000000001</v>
      </c>
      <c r="E48" s="152">
        <v>328.79730000000001</v>
      </c>
      <c r="G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340.98</v>
      </c>
      <c r="E50" s="77">
        <v>355.78</v>
      </c>
      <c r="G50" s="183"/>
    </row>
    <row r="51" spans="2:7">
      <c r="B51" s="105" t="s">
        <v>6</v>
      </c>
      <c r="C51" s="14" t="s">
        <v>114</v>
      </c>
      <c r="D51" s="371">
        <v>269.51</v>
      </c>
      <c r="E51" s="77">
        <v>354.02</v>
      </c>
      <c r="G51" s="183"/>
    </row>
    <row r="52" spans="2:7">
      <c r="B52" s="105" t="s">
        <v>8</v>
      </c>
      <c r="C52" s="14" t="s">
        <v>115</v>
      </c>
      <c r="D52" s="371">
        <v>356.53</v>
      </c>
      <c r="E52" s="77">
        <v>399.95</v>
      </c>
    </row>
    <row r="53" spans="2:7" ht="13.5" customHeight="1" thickBot="1">
      <c r="B53" s="106" t="s">
        <v>9</v>
      </c>
      <c r="C53" s="16" t="s">
        <v>41</v>
      </c>
      <c r="D53" s="369">
        <v>355.78</v>
      </c>
      <c r="E53" s="280">
        <v>375.74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123542.29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123542.29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123542.29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123542.29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" right="0.75" top="0.55000000000000004" bottom="0.5" header="0.5" footer="0.5"/>
  <pageSetup paperSize="9" scale="70" orientation="portrait" r:id="rId1"/>
  <headerFooter alignWithMargins="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8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239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37408.15</v>
      </c>
      <c r="E11" s="245">
        <f>SUM(E12:E14)</f>
        <v>41677.57</v>
      </c>
    </row>
    <row r="12" spans="2:12">
      <c r="B12" s="184" t="s">
        <v>4</v>
      </c>
      <c r="C12" s="185" t="s">
        <v>5</v>
      </c>
      <c r="D12" s="300">
        <v>37408.15</v>
      </c>
      <c r="E12" s="250">
        <v>41677.57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37408.15</v>
      </c>
      <c r="E21" s="151">
        <f>E11-E17</f>
        <v>41677.57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32313.63</v>
      </c>
      <c r="E26" s="239">
        <f>D21</f>
        <v>37408.15</v>
      </c>
      <c r="G26" s="76"/>
      <c r="H26" s="242"/>
    </row>
    <row r="27" spans="2:11" ht="13">
      <c r="B27" s="8" t="s">
        <v>17</v>
      </c>
      <c r="C27" s="9" t="s">
        <v>111</v>
      </c>
      <c r="D27" s="360">
        <v>4409.9399999999996</v>
      </c>
      <c r="E27" s="275">
        <v>4427.88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5000</v>
      </c>
      <c r="E28" s="276">
        <v>4999.99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5000</v>
      </c>
      <c r="E29" s="277">
        <v>4999.99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590.05999999999995</v>
      </c>
      <c r="E32" s="276">
        <v>572.11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78.02</v>
      </c>
      <c r="E35" s="277">
        <v>76.070000000000007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512.04</v>
      </c>
      <c r="E37" s="277">
        <v>496.04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684.58</v>
      </c>
      <c r="E40" s="279">
        <v>-158.46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37408.15</v>
      </c>
      <c r="E41" s="151">
        <f>E26+E27+E40</f>
        <v>41677.57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257.35610000000003</v>
      </c>
      <c r="E47" s="309">
        <v>292.00020000000001</v>
      </c>
      <c r="G47" s="73"/>
    </row>
    <row r="48" spans="2:10">
      <c r="B48" s="126" t="s">
        <v>6</v>
      </c>
      <c r="C48" s="21" t="s">
        <v>41</v>
      </c>
      <c r="D48" s="371">
        <v>292.00020000000001</v>
      </c>
      <c r="E48" s="152">
        <v>326.11559999999997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125.56</v>
      </c>
      <c r="E50" s="77">
        <v>128.11000000000001</v>
      </c>
      <c r="G50" s="183"/>
    </row>
    <row r="51" spans="2:7">
      <c r="B51" s="105" t="s">
        <v>6</v>
      </c>
      <c r="C51" s="14" t="s">
        <v>114</v>
      </c>
      <c r="D51" s="371">
        <v>124.33</v>
      </c>
      <c r="E51" s="77">
        <v>127.8</v>
      </c>
      <c r="G51" s="183"/>
    </row>
    <row r="52" spans="2:7">
      <c r="B52" s="105" t="s">
        <v>8</v>
      </c>
      <c r="C52" s="14" t="s">
        <v>115</v>
      </c>
      <c r="D52" s="371">
        <v>128.11000000000001</v>
      </c>
      <c r="E52" s="77">
        <v>129.80000000000001</v>
      </c>
    </row>
    <row r="53" spans="2:7" ht="13.5" customHeight="1" thickBot="1">
      <c r="B53" s="106" t="s">
        <v>9</v>
      </c>
      <c r="C53" s="16" t="s">
        <v>41</v>
      </c>
      <c r="D53" s="369">
        <v>128.11000000000001</v>
      </c>
      <c r="E53" s="280">
        <v>127.8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41677.57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41677.57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41677.57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41677.57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4" right="0.75" top="0.55000000000000004" bottom="0.59" header="0.5" footer="0.5"/>
  <pageSetup paperSize="9" scale="70" orientation="portrait" r:id="rId1"/>
  <headerFooter alignWithMargins="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9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231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202024.12</v>
      </c>
      <c r="E11" s="245">
        <f>SUM(E12:E14)</f>
        <v>178005.47</v>
      </c>
    </row>
    <row r="12" spans="2:12">
      <c r="B12" s="184" t="s">
        <v>4</v>
      </c>
      <c r="C12" s="185" t="s">
        <v>5</v>
      </c>
      <c r="D12" s="300">
        <v>202024.12</v>
      </c>
      <c r="E12" s="250">
        <v>178005.47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202024.12</v>
      </c>
      <c r="E21" s="151">
        <f>E11-E17</f>
        <v>178005.47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201233.5</v>
      </c>
      <c r="E26" s="239">
        <f>D21</f>
        <v>202024.12</v>
      </c>
      <c r="G26" s="76"/>
      <c r="H26" s="270"/>
    </row>
    <row r="27" spans="2:11" ht="13">
      <c r="B27" s="8" t="s">
        <v>17</v>
      </c>
      <c r="C27" s="9" t="s">
        <v>111</v>
      </c>
      <c r="D27" s="360">
        <v>-1921.22</v>
      </c>
      <c r="E27" s="275">
        <v>-1445.24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1592.38</v>
      </c>
      <c r="E28" s="276">
        <v>1640.15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1592.38</v>
      </c>
      <c r="E29" s="277">
        <v>1640.15</v>
      </c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3513.6</v>
      </c>
      <c r="E32" s="276">
        <v>3085.39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32.42</v>
      </c>
      <c r="E35" s="277">
        <v>27.5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3481.18</v>
      </c>
      <c r="E37" s="277">
        <v>3057.89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2711.84</v>
      </c>
      <c r="E40" s="279">
        <v>-22573.41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202024.12</v>
      </c>
      <c r="E41" s="151">
        <f>E26+E27+E40</f>
        <v>178005.47</v>
      </c>
      <c r="F41" s="79"/>
      <c r="G41" s="76"/>
      <c r="H41" s="270"/>
    </row>
    <row r="42" spans="2:10" ht="13">
      <c r="B42" s="96"/>
      <c r="C42" s="96"/>
      <c r="D42" s="97"/>
      <c r="E42" s="97"/>
      <c r="F42" s="79"/>
      <c r="G42" s="67"/>
      <c r="H42" s="270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1017.7701</v>
      </c>
      <c r="E47" s="309">
        <v>1008.0540999999999</v>
      </c>
      <c r="G47" s="73"/>
    </row>
    <row r="48" spans="2:10">
      <c r="B48" s="126" t="s">
        <v>6</v>
      </c>
      <c r="C48" s="21" t="s">
        <v>41</v>
      </c>
      <c r="D48" s="371">
        <v>1008.0540999999999</v>
      </c>
      <c r="E48" s="152">
        <v>1000.5366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197.72</v>
      </c>
      <c r="E50" s="77">
        <v>200.41</v>
      </c>
      <c r="G50" s="183"/>
    </row>
    <row r="51" spans="2:7">
      <c r="B51" s="105" t="s">
        <v>6</v>
      </c>
      <c r="C51" s="14" t="s">
        <v>114</v>
      </c>
      <c r="D51" s="371">
        <v>188.82</v>
      </c>
      <c r="E51" s="77">
        <v>177.91</v>
      </c>
      <c r="G51" s="183"/>
    </row>
    <row r="52" spans="2:7">
      <c r="B52" s="105" t="s">
        <v>8</v>
      </c>
      <c r="C52" s="14" t="s">
        <v>115</v>
      </c>
      <c r="D52" s="371">
        <v>205.54</v>
      </c>
      <c r="E52" s="77">
        <v>203.44</v>
      </c>
    </row>
    <row r="53" spans="2:7" ht="13.5" customHeight="1" thickBot="1">
      <c r="B53" s="106" t="s">
        <v>9</v>
      </c>
      <c r="C53" s="16" t="s">
        <v>41</v>
      </c>
      <c r="D53" s="369">
        <v>200.41</v>
      </c>
      <c r="E53" s="280">
        <v>177.91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178005.47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178005.47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178005.47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178005.47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0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240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49124.57</v>
      </c>
      <c r="E11" s="245">
        <f>SUM(E12:E14)</f>
        <v>31086.21</v>
      </c>
    </row>
    <row r="12" spans="2:12">
      <c r="B12" s="184" t="s">
        <v>4</v>
      </c>
      <c r="C12" s="185" t="s">
        <v>5</v>
      </c>
      <c r="D12" s="300">
        <v>49124.57</v>
      </c>
      <c r="E12" s="250">
        <v>31086.21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49124.57</v>
      </c>
      <c r="E21" s="151">
        <f>E11-E17</f>
        <v>31086.21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255"/>
      <c r="H23" s="242"/>
    </row>
    <row r="24" spans="2:11" ht="15.75" customHeight="1" thickBot="1">
      <c r="B24" s="404" t="s">
        <v>105</v>
      </c>
      <c r="C24" s="415"/>
      <c r="D24" s="415"/>
      <c r="E24" s="415"/>
      <c r="G24" s="242"/>
      <c r="H24" s="242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  <c r="G25" s="242"/>
      <c r="H25" s="242"/>
    </row>
    <row r="26" spans="2:11" ht="13">
      <c r="B26" s="98" t="s">
        <v>15</v>
      </c>
      <c r="C26" s="99" t="s">
        <v>16</v>
      </c>
      <c r="D26" s="359">
        <v>40954.5</v>
      </c>
      <c r="E26" s="239">
        <f>D21</f>
        <v>49124.57</v>
      </c>
      <c r="G26" s="256"/>
      <c r="H26" s="242"/>
    </row>
    <row r="27" spans="2:11" ht="13">
      <c r="B27" s="8" t="s">
        <v>17</v>
      </c>
      <c r="C27" s="9" t="s">
        <v>111</v>
      </c>
      <c r="D27" s="360">
        <v>4742.43</v>
      </c>
      <c r="E27" s="275">
        <v>-17523.68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5446.17</v>
      </c>
      <c r="E28" s="276">
        <v>4114.5600000000004</v>
      </c>
      <c r="F28" s="73"/>
      <c r="G28" s="255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5446.17</v>
      </c>
      <c r="E29" s="277">
        <v>4114.5600000000004</v>
      </c>
      <c r="F29" s="73"/>
      <c r="G29" s="255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703.74</v>
      </c>
      <c r="E32" s="276">
        <v>21638.240000000002</v>
      </c>
      <c r="F32" s="73"/>
      <c r="G32" s="25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>
        <v>21069.93</v>
      </c>
      <c r="F33" s="73"/>
      <c r="G33" s="255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64.87</v>
      </c>
      <c r="E35" s="277">
        <v>52.61</v>
      </c>
      <c r="F35" s="73"/>
      <c r="G35" s="255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638.87</v>
      </c>
      <c r="E37" s="277">
        <v>515.70000000000005</v>
      </c>
      <c r="F37" s="73"/>
      <c r="G37" s="255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3427.64</v>
      </c>
      <c r="E40" s="279">
        <v>-514.67999999999995</v>
      </c>
      <c r="G40" s="256"/>
      <c r="H40" s="242"/>
    </row>
    <row r="41" spans="2:10" ht="13.5" thickBot="1">
      <c r="B41" s="102" t="s">
        <v>37</v>
      </c>
      <c r="C41" s="103" t="s">
        <v>38</v>
      </c>
      <c r="D41" s="364">
        <v>49124.57</v>
      </c>
      <c r="E41" s="151">
        <f>E26+E27+E40</f>
        <v>31086.21</v>
      </c>
      <c r="F41" s="79"/>
      <c r="G41" s="25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218.97290000000001</v>
      </c>
      <c r="E47" s="309">
        <v>244.30359999999999</v>
      </c>
      <c r="G47" s="73"/>
    </row>
    <row r="48" spans="2:10">
      <c r="B48" s="126" t="s">
        <v>6</v>
      </c>
      <c r="C48" s="21" t="s">
        <v>41</v>
      </c>
      <c r="D48" s="371">
        <v>244.30359999999999</v>
      </c>
      <c r="E48" s="152">
        <v>156.15719999999999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187.03</v>
      </c>
      <c r="E50" s="77">
        <v>201.08</v>
      </c>
      <c r="G50" s="183"/>
    </row>
    <row r="51" spans="2:7">
      <c r="B51" s="105" t="s">
        <v>6</v>
      </c>
      <c r="C51" s="14" t="s">
        <v>114</v>
      </c>
      <c r="D51" s="371">
        <v>165.73</v>
      </c>
      <c r="E51" s="77">
        <v>198.07</v>
      </c>
      <c r="G51" s="183"/>
    </row>
    <row r="52" spans="2:7">
      <c r="B52" s="105" t="s">
        <v>8</v>
      </c>
      <c r="C52" s="14" t="s">
        <v>115</v>
      </c>
      <c r="D52" s="371">
        <v>201.23</v>
      </c>
      <c r="E52" s="77">
        <v>214.19</v>
      </c>
    </row>
    <row r="53" spans="2:7" ht="13.5" customHeight="1" thickBot="1">
      <c r="B53" s="106" t="s">
        <v>9</v>
      </c>
      <c r="C53" s="16" t="s">
        <v>41</v>
      </c>
      <c r="D53" s="369">
        <v>201.08</v>
      </c>
      <c r="E53" s="280">
        <v>199.07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31086.21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31086.21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31086.21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31086.21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9" right="0.75" top="0.56999999999999995" bottom="0.49" header="0.5" footer="0.5"/>
  <pageSetup paperSize="9" scale="70" orientation="portrait" r:id="rId1"/>
  <headerFooter alignWithMargins="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2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  <c r="H5" s="163"/>
      <c r="I5" s="163"/>
      <c r="J5" s="163"/>
    </row>
    <row r="6" spans="2:12" ht="14">
      <c r="B6" s="403" t="s">
        <v>230</v>
      </c>
      <c r="C6" s="403"/>
      <c r="D6" s="403"/>
      <c r="E6" s="403"/>
    </row>
    <row r="7" spans="2:12" ht="14">
      <c r="B7" s="148"/>
      <c r="C7" s="14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510691.57</v>
      </c>
      <c r="E11" s="245">
        <f>SUM(E12:E14)</f>
        <v>234349.1</v>
      </c>
    </row>
    <row r="12" spans="2:12">
      <c r="B12" s="184" t="s">
        <v>4</v>
      </c>
      <c r="C12" s="185" t="s">
        <v>5</v>
      </c>
      <c r="D12" s="300">
        <v>510691.57</v>
      </c>
      <c r="E12" s="250">
        <v>234349.1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510691.57</v>
      </c>
      <c r="E21" s="151">
        <f>E11-E17</f>
        <v>234349.1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505768.33</v>
      </c>
      <c r="E26" s="239">
        <f>D21</f>
        <v>510691.57</v>
      </c>
      <c r="G26" s="76"/>
      <c r="H26" s="242"/>
    </row>
    <row r="27" spans="2:11" ht="13">
      <c r="B27" s="8" t="s">
        <v>17</v>
      </c>
      <c r="C27" s="9" t="s">
        <v>111</v>
      </c>
      <c r="D27" s="360">
        <v>-30602.57</v>
      </c>
      <c r="E27" s="275">
        <v>-226271.89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30602.57</v>
      </c>
      <c r="E32" s="276">
        <v>226271.89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20399.189999999999</v>
      </c>
      <c r="E33" s="277">
        <v>219043.6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2737.51</v>
      </c>
      <c r="E35" s="277">
        <v>1722.08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7465.87</v>
      </c>
      <c r="E37" s="277">
        <v>5506.21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35525.81</v>
      </c>
      <c r="E40" s="279">
        <v>-50070.58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510691.57</v>
      </c>
      <c r="E41" s="151">
        <f>E26+E27+E40</f>
        <v>234349.09999999998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3066.9355</v>
      </c>
      <c r="E47" s="309">
        <v>2885.1001000000001</v>
      </c>
      <c r="G47" s="73"/>
    </row>
    <row r="48" spans="2:10">
      <c r="B48" s="126" t="s">
        <v>6</v>
      </c>
      <c r="C48" s="21" t="s">
        <v>41</v>
      </c>
      <c r="D48" s="371">
        <v>2885.1001000000001</v>
      </c>
      <c r="E48" s="152">
        <v>1555.6896999999999</v>
      </c>
      <c r="G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164.91</v>
      </c>
      <c r="E50" s="77">
        <v>177.01</v>
      </c>
      <c r="G50" s="183"/>
    </row>
    <row r="51" spans="2:7">
      <c r="B51" s="105" t="s">
        <v>6</v>
      </c>
      <c r="C51" s="14" t="s">
        <v>114</v>
      </c>
      <c r="D51" s="371">
        <v>159.16999999999999</v>
      </c>
      <c r="E51" s="77">
        <v>150.63999999999999</v>
      </c>
      <c r="G51" s="183"/>
    </row>
    <row r="52" spans="2:7">
      <c r="B52" s="105" t="s">
        <v>8</v>
      </c>
      <c r="C52" s="14" t="s">
        <v>115</v>
      </c>
      <c r="D52" s="371">
        <v>177.01</v>
      </c>
      <c r="E52" s="77">
        <v>178.05</v>
      </c>
    </row>
    <row r="53" spans="2:7" ht="13.5" customHeight="1" thickBot="1">
      <c r="B53" s="106" t="s">
        <v>9</v>
      </c>
      <c r="C53" s="16" t="s">
        <v>41</v>
      </c>
      <c r="D53" s="369">
        <v>177.01</v>
      </c>
      <c r="E53" s="280">
        <v>150.63999999999999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234349.1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234349.1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234349.1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234349.1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54296875" customWidth="1"/>
    <col min="12" max="12" width="12.45312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141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89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10942087.350000001</v>
      </c>
      <c r="E11" s="245">
        <f>SUM(E12:E14)</f>
        <v>11854903.65</v>
      </c>
      <c r="H11" s="73"/>
    </row>
    <row r="12" spans="2:12">
      <c r="B12" s="109" t="s">
        <v>4</v>
      </c>
      <c r="C12" s="208" t="s">
        <v>5</v>
      </c>
      <c r="D12" s="300">
        <f>10225040.39+710765.74-1027.08</f>
        <v>10934779.050000001</v>
      </c>
      <c r="E12" s="250">
        <f>11528824.26+322276.88-118.72</f>
        <v>11850982.42</v>
      </c>
      <c r="H12" s="73"/>
    </row>
    <row r="13" spans="2:12">
      <c r="B13" s="109" t="s">
        <v>6</v>
      </c>
      <c r="C13" s="208" t="s">
        <v>7</v>
      </c>
      <c r="D13" s="301"/>
      <c r="E13" s="251">
        <v>12.02</v>
      </c>
      <c r="H13" s="73"/>
    </row>
    <row r="14" spans="2:12">
      <c r="B14" s="109" t="s">
        <v>8</v>
      </c>
      <c r="C14" s="208" t="s">
        <v>10</v>
      </c>
      <c r="D14" s="301">
        <f>D15</f>
        <v>7308.3</v>
      </c>
      <c r="E14" s="251">
        <f>E15</f>
        <v>3909.21</v>
      </c>
      <c r="H14" s="73"/>
    </row>
    <row r="15" spans="2:12">
      <c r="B15" s="109" t="s">
        <v>106</v>
      </c>
      <c r="C15" s="208" t="s">
        <v>11</v>
      </c>
      <c r="D15" s="301">
        <v>7308.3</v>
      </c>
      <c r="E15" s="251">
        <v>3909.21</v>
      </c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2275.79</v>
      </c>
      <c r="E17" s="253">
        <f>E18</f>
        <v>4857.1000000000004</v>
      </c>
    </row>
    <row r="18" spans="2:11">
      <c r="B18" s="109" t="s">
        <v>4</v>
      </c>
      <c r="C18" s="208" t="s">
        <v>11</v>
      </c>
      <c r="D18" s="302">
        <v>2275.79</v>
      </c>
      <c r="E18" s="252">
        <v>4857.1000000000004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10939811.560000002</v>
      </c>
      <c r="E21" s="151">
        <f>E11-E17</f>
        <v>11850046.550000001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282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8" customHeight="1" thickBot="1">
      <c r="B24" s="404" t="s">
        <v>105</v>
      </c>
      <c r="C24" s="418"/>
      <c r="D24" s="418"/>
      <c r="E24" s="418"/>
      <c r="K24" s="183"/>
    </row>
    <row r="25" spans="2:11" ht="13.5" thickBot="1">
      <c r="B25" s="89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10176877.6</v>
      </c>
      <c r="E26" s="239">
        <f>D21</f>
        <v>10939811.560000002</v>
      </c>
      <c r="G26" s="76"/>
    </row>
    <row r="27" spans="2:11" ht="13">
      <c r="B27" s="8" t="s">
        <v>17</v>
      </c>
      <c r="C27" s="9" t="s">
        <v>111</v>
      </c>
      <c r="D27" s="360">
        <v>-1526012.99</v>
      </c>
      <c r="E27" s="275">
        <v>-1134005.1599999999</v>
      </c>
      <c r="F27" s="73"/>
      <c r="G27" s="156"/>
      <c r="H27" s="294"/>
      <c r="I27" s="293"/>
      <c r="J27" s="219"/>
    </row>
    <row r="28" spans="2:11" ht="13">
      <c r="B28" s="8" t="s">
        <v>18</v>
      </c>
      <c r="C28" s="9" t="s">
        <v>19</v>
      </c>
      <c r="D28" s="360">
        <v>1016746.1599999999</v>
      </c>
      <c r="E28" s="276">
        <v>1000066.73</v>
      </c>
      <c r="F28" s="73"/>
      <c r="G28" s="156"/>
      <c r="H28" s="293"/>
      <c r="I28" s="293"/>
      <c r="J28" s="219"/>
    </row>
    <row r="29" spans="2:11">
      <c r="B29" s="107" t="s">
        <v>4</v>
      </c>
      <c r="C29" s="5" t="s">
        <v>20</v>
      </c>
      <c r="D29" s="361">
        <v>956276.37</v>
      </c>
      <c r="E29" s="277">
        <v>884115.1</v>
      </c>
      <c r="F29" s="73"/>
      <c r="G29" s="156"/>
      <c r="H29" s="293"/>
      <c r="I29" s="293"/>
      <c r="J29" s="219"/>
    </row>
    <row r="30" spans="2:11">
      <c r="B30" s="107" t="s">
        <v>6</v>
      </c>
      <c r="C30" s="5" t="s">
        <v>21</v>
      </c>
      <c r="D30" s="361"/>
      <c r="E30" s="277"/>
      <c r="F30" s="73"/>
      <c r="G30" s="156"/>
      <c r="H30" s="293"/>
      <c r="I30" s="293"/>
      <c r="J30" s="219"/>
    </row>
    <row r="31" spans="2:11">
      <c r="B31" s="107" t="s">
        <v>8</v>
      </c>
      <c r="C31" s="5" t="s">
        <v>22</v>
      </c>
      <c r="D31" s="361">
        <v>60469.79</v>
      </c>
      <c r="E31" s="277">
        <v>115951.62999999999</v>
      </c>
      <c r="F31" s="73"/>
      <c r="G31" s="156"/>
      <c r="H31" s="293"/>
      <c r="I31" s="293"/>
      <c r="J31" s="219"/>
    </row>
    <row r="32" spans="2:11" ht="13">
      <c r="B32" s="95" t="s">
        <v>23</v>
      </c>
      <c r="C32" s="10" t="s">
        <v>24</v>
      </c>
      <c r="D32" s="360">
        <v>2542759.15</v>
      </c>
      <c r="E32" s="276">
        <v>2134071.89</v>
      </c>
      <c r="F32" s="73"/>
      <c r="G32" s="156"/>
      <c r="H32" s="293"/>
      <c r="I32" s="293"/>
      <c r="J32" s="219"/>
    </row>
    <row r="33" spans="2:10">
      <c r="B33" s="107" t="s">
        <v>4</v>
      </c>
      <c r="C33" s="5" t="s">
        <v>25</v>
      </c>
      <c r="D33" s="361">
        <v>2098514.35</v>
      </c>
      <c r="E33" s="277">
        <v>1802195.73</v>
      </c>
      <c r="F33" s="73"/>
      <c r="G33" s="156"/>
      <c r="H33" s="293"/>
      <c r="I33" s="293"/>
      <c r="J33" s="219"/>
    </row>
    <row r="34" spans="2:10">
      <c r="B34" s="107" t="s">
        <v>6</v>
      </c>
      <c r="C34" s="5" t="s">
        <v>26</v>
      </c>
      <c r="D34" s="361"/>
      <c r="E34" s="277"/>
      <c r="F34" s="73"/>
      <c r="G34" s="156"/>
      <c r="H34" s="293"/>
      <c r="I34" s="293"/>
      <c r="J34" s="219"/>
    </row>
    <row r="35" spans="2:10">
      <c r="B35" s="107" t="s">
        <v>8</v>
      </c>
      <c r="C35" s="5" t="s">
        <v>27</v>
      </c>
      <c r="D35" s="361">
        <v>125827.40000000001</v>
      </c>
      <c r="E35" s="277">
        <v>80645.25</v>
      </c>
      <c r="F35" s="73"/>
      <c r="G35" s="156"/>
      <c r="H35" s="293"/>
      <c r="I35" s="293"/>
      <c r="J35" s="219"/>
    </row>
    <row r="36" spans="2:10">
      <c r="B36" s="107" t="s">
        <v>9</v>
      </c>
      <c r="C36" s="5" t="s">
        <v>28</v>
      </c>
      <c r="D36" s="361"/>
      <c r="E36" s="277"/>
      <c r="F36" s="73"/>
      <c r="G36" s="156"/>
      <c r="H36" s="293"/>
      <c r="I36" s="293"/>
      <c r="J36" s="219"/>
    </row>
    <row r="37" spans="2:10" ht="25">
      <c r="B37" s="107" t="s">
        <v>29</v>
      </c>
      <c r="C37" s="5" t="s">
        <v>30</v>
      </c>
      <c r="D37" s="361">
        <v>140003.88</v>
      </c>
      <c r="E37" s="277">
        <v>168507.91</v>
      </c>
      <c r="F37" s="73"/>
      <c r="G37" s="156"/>
      <c r="H37" s="293"/>
      <c r="I37" s="293"/>
      <c r="J37" s="219"/>
    </row>
    <row r="38" spans="2:10">
      <c r="B38" s="107" t="s">
        <v>31</v>
      </c>
      <c r="C38" s="5" t="s">
        <v>32</v>
      </c>
      <c r="D38" s="361"/>
      <c r="E38" s="277"/>
      <c r="F38" s="73"/>
      <c r="G38" s="156"/>
      <c r="H38" s="293"/>
      <c r="I38" s="293"/>
      <c r="J38" s="219"/>
    </row>
    <row r="39" spans="2:10">
      <c r="B39" s="108" t="s">
        <v>33</v>
      </c>
      <c r="C39" s="11" t="s">
        <v>34</v>
      </c>
      <c r="D39" s="362">
        <v>178413.52</v>
      </c>
      <c r="E39" s="278">
        <v>82723</v>
      </c>
      <c r="F39" s="73"/>
      <c r="G39" s="156"/>
      <c r="H39" s="293"/>
      <c r="I39" s="293"/>
      <c r="J39" s="219"/>
    </row>
    <row r="40" spans="2:10" ht="13.5" thickBot="1">
      <c r="B40" s="100" t="s">
        <v>35</v>
      </c>
      <c r="C40" s="101" t="s">
        <v>36</v>
      </c>
      <c r="D40" s="363">
        <v>2288946.9500000002</v>
      </c>
      <c r="E40" s="279">
        <v>2044240.15</v>
      </c>
      <c r="G40" s="156"/>
      <c r="H40" s="183"/>
      <c r="I40" s="183"/>
      <c r="J40" s="183"/>
    </row>
    <row r="41" spans="2:10" ht="13.5" thickBot="1">
      <c r="B41" s="102" t="s">
        <v>37</v>
      </c>
      <c r="C41" s="103" t="s">
        <v>38</v>
      </c>
      <c r="D41" s="364">
        <v>10939811.559999999</v>
      </c>
      <c r="E41" s="151">
        <f>E26+E27+E40</f>
        <v>11850046.550000003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7.2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80988.870500000005</v>
      </c>
      <c r="E47" s="309">
        <v>69520.419000000009</v>
      </c>
      <c r="G47" s="73"/>
    </row>
    <row r="48" spans="2:10">
      <c r="B48" s="126" t="s">
        <v>6</v>
      </c>
      <c r="C48" s="21" t="s">
        <v>41</v>
      </c>
      <c r="D48" s="371">
        <v>69520.419000000009</v>
      </c>
      <c r="E48" s="380">
        <v>63124.953099999999</v>
      </c>
      <c r="G48" s="206"/>
      <c r="I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125.65770000000001</v>
      </c>
      <c r="E50" s="309">
        <v>157.36110000000002</v>
      </c>
      <c r="G50" s="183"/>
    </row>
    <row r="51" spans="2:7">
      <c r="B51" s="105" t="s">
        <v>6</v>
      </c>
      <c r="C51" s="14" t="s">
        <v>114</v>
      </c>
      <c r="D51" s="371">
        <v>94.142799999999994</v>
      </c>
      <c r="E51" s="281">
        <v>157.36109999999999</v>
      </c>
      <c r="G51" s="183"/>
    </row>
    <row r="52" spans="2:7" ht="12.75" customHeight="1">
      <c r="B52" s="105" t="s">
        <v>8</v>
      </c>
      <c r="C52" s="14" t="s">
        <v>115</v>
      </c>
      <c r="D52" s="371">
        <v>157.5462</v>
      </c>
      <c r="E52" s="281">
        <v>194.02709999999999</v>
      </c>
    </row>
    <row r="53" spans="2:7" ht="13" thickBot="1">
      <c r="B53" s="106" t="s">
        <v>9</v>
      </c>
      <c r="C53" s="16" t="s">
        <v>41</v>
      </c>
      <c r="D53" s="369">
        <v>157.36110000000002</v>
      </c>
      <c r="E53" s="280">
        <v>187.7236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11850982.42</v>
      </c>
      <c r="E58" s="30">
        <f>D58/E21</f>
        <v>1.0000789760610687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4" customHeight="1">
      <c r="B60" s="13" t="s">
        <v>6</v>
      </c>
      <c r="C60" s="14" t="s">
        <v>45</v>
      </c>
      <c r="D60" s="80">
        <v>0</v>
      </c>
      <c r="E60" s="81">
        <v>0</v>
      </c>
    </row>
    <row r="61" spans="2:7">
      <c r="B61" s="13" t="s">
        <v>8</v>
      </c>
      <c r="C61" s="14" t="s">
        <v>46</v>
      </c>
      <c r="D61" s="80">
        <v>0</v>
      </c>
      <c r="E61" s="81">
        <v>0</v>
      </c>
    </row>
    <row r="62" spans="2:7">
      <c r="B62" s="13" t="s">
        <v>9</v>
      </c>
      <c r="C62" s="14" t="s">
        <v>47</v>
      </c>
      <c r="D62" s="80">
        <v>0</v>
      </c>
      <c r="E62" s="81">
        <v>0</v>
      </c>
    </row>
    <row r="63" spans="2:7">
      <c r="B63" s="13" t="s">
        <v>29</v>
      </c>
      <c r="C63" s="14" t="s">
        <v>48</v>
      </c>
      <c r="D63" s="80">
        <v>0</v>
      </c>
      <c r="E63" s="81">
        <v>0</v>
      </c>
    </row>
    <row r="64" spans="2:7">
      <c r="B64" s="20" t="s">
        <v>31</v>
      </c>
      <c r="C64" s="21" t="s">
        <v>49</v>
      </c>
      <c r="D64" s="377">
        <f>11528824.26-118.72</f>
        <v>11528705.539999999</v>
      </c>
      <c r="E64" s="83">
        <f>D64/E21</f>
        <v>0.97288272171386525</v>
      </c>
    </row>
    <row r="65" spans="2:7">
      <c r="B65" s="20" t="s">
        <v>33</v>
      </c>
      <c r="C65" s="21" t="s">
        <v>118</v>
      </c>
      <c r="D65" s="82">
        <v>0</v>
      </c>
      <c r="E65" s="83">
        <v>0</v>
      </c>
      <c r="G65" s="73"/>
    </row>
    <row r="66" spans="2:7">
      <c r="B66" s="20" t="s">
        <v>50</v>
      </c>
      <c r="C66" s="21" t="s">
        <v>51</v>
      </c>
      <c r="D66" s="82">
        <v>0</v>
      </c>
      <c r="E66" s="83">
        <v>0</v>
      </c>
    </row>
    <row r="67" spans="2:7">
      <c r="B67" s="13" t="s">
        <v>52</v>
      </c>
      <c r="C67" s="14" t="s">
        <v>53</v>
      </c>
      <c r="D67" s="80">
        <v>0</v>
      </c>
      <c r="E67" s="81">
        <v>0</v>
      </c>
    </row>
    <row r="68" spans="2:7">
      <c r="B68" s="13" t="s">
        <v>54</v>
      </c>
      <c r="C68" s="14" t="s">
        <v>55</v>
      </c>
      <c r="D68" s="80">
        <v>0</v>
      </c>
      <c r="E68" s="81">
        <v>0</v>
      </c>
    </row>
    <row r="69" spans="2:7">
      <c r="B69" s="13" t="s">
        <v>56</v>
      </c>
      <c r="C69" s="14" t="s">
        <v>57</v>
      </c>
      <c r="D69" s="370">
        <v>322276.88</v>
      </c>
      <c r="E69" s="81">
        <f>D69/E21</f>
        <v>2.7196254347203387E-2</v>
      </c>
    </row>
    <row r="70" spans="2:7">
      <c r="B70" s="115" t="s">
        <v>58</v>
      </c>
      <c r="C70" s="116" t="s">
        <v>59</v>
      </c>
      <c r="D70" s="117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12.02</v>
      </c>
      <c r="E71" s="66">
        <f>D71/E21</f>
        <v>1.0143420069518629E-6</v>
      </c>
    </row>
    <row r="72" spans="2:7" ht="13">
      <c r="B72" s="119" t="s">
        <v>60</v>
      </c>
      <c r="C72" s="120" t="s">
        <v>63</v>
      </c>
      <c r="D72" s="121">
        <f>E14</f>
        <v>3909.21</v>
      </c>
      <c r="E72" s="122">
        <f>D72/E21</f>
        <v>3.2988984334411745E-4</v>
      </c>
    </row>
    <row r="73" spans="2:7" ht="13">
      <c r="B73" s="22" t="s">
        <v>62</v>
      </c>
      <c r="C73" s="23" t="s">
        <v>65</v>
      </c>
      <c r="D73" s="24">
        <f>E17</f>
        <v>4857.1000000000004</v>
      </c>
      <c r="E73" s="25">
        <f>D73/E21</f>
        <v>4.0988024641979147E-4</v>
      </c>
    </row>
    <row r="74" spans="2:7" ht="13">
      <c r="B74" s="123" t="s">
        <v>64</v>
      </c>
      <c r="C74" s="124" t="s">
        <v>66</v>
      </c>
      <c r="D74" s="125">
        <f>D58+D71+D72-D73</f>
        <v>11850046.550000001</v>
      </c>
      <c r="E74" s="66">
        <f>E58+E72-E73</f>
        <v>0.99999898565799306</v>
      </c>
    </row>
    <row r="75" spans="2:7">
      <c r="B75" s="13" t="s">
        <v>4</v>
      </c>
      <c r="C75" s="14" t="s">
        <v>67</v>
      </c>
      <c r="D75" s="80">
        <f>D74</f>
        <v>11850046.550000001</v>
      </c>
      <c r="E75" s="81">
        <f>E74</f>
        <v>0.99999898565799306</v>
      </c>
    </row>
    <row r="76" spans="2:7">
      <c r="B76" s="13" t="s">
        <v>6</v>
      </c>
      <c r="C76" s="14" t="s">
        <v>119</v>
      </c>
      <c r="D76" s="80">
        <v>0</v>
      </c>
      <c r="E76" s="81">
        <v>0</v>
      </c>
    </row>
    <row r="77" spans="2:7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94488188976377963" right="0.74803149606299213" top="0.55118110236220474" bottom="0.47244094488188981" header="0.51181102362204722" footer="0.51181102362204722"/>
  <pageSetup paperSize="9" scale="70" orientation="portrait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2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245</v>
      </c>
      <c r="C6" s="403"/>
      <c r="D6" s="403"/>
      <c r="E6" s="403"/>
    </row>
    <row r="7" spans="2:12" ht="14">
      <c r="B7" s="234"/>
      <c r="C7" s="234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235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122546.98</v>
      </c>
      <c r="E11" s="245">
        <f>SUM(E12:E14)</f>
        <v>227778.77</v>
      </c>
    </row>
    <row r="12" spans="2:12">
      <c r="B12" s="184" t="s">
        <v>4</v>
      </c>
      <c r="C12" s="185" t="s">
        <v>5</v>
      </c>
      <c r="D12" s="300">
        <v>122546.98</v>
      </c>
      <c r="E12" s="250">
        <v>227778.77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122546.98</v>
      </c>
      <c r="E21" s="151">
        <f>E11-E17</f>
        <v>227778.77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3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137500.97</v>
      </c>
      <c r="E26" s="239">
        <f>D21</f>
        <v>122546.98</v>
      </c>
      <c r="G26" s="76"/>
    </row>
    <row r="27" spans="2:11" ht="13">
      <c r="B27" s="8" t="s">
        <v>17</v>
      </c>
      <c r="C27" s="9" t="s">
        <v>111</v>
      </c>
      <c r="D27" s="360">
        <v>-20907.689999999999</v>
      </c>
      <c r="E27" s="275">
        <v>123730.41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120868.37</v>
      </c>
      <c r="E28" s="276">
        <v>199951.01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120868.37</v>
      </c>
      <c r="E31" s="277">
        <v>199951.01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141776.06</v>
      </c>
      <c r="E32" s="276">
        <v>76220.600000000006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140235.37</v>
      </c>
      <c r="E33" s="277">
        <v>45902.01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250.31</v>
      </c>
      <c r="E35" s="277">
        <v>396.58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1290.3800000000001</v>
      </c>
      <c r="E37" s="277">
        <v>3268.5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>
        <v>26653.51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5953.7</v>
      </c>
      <c r="E40" s="279">
        <v>-18498.62</v>
      </c>
      <c r="G40" s="76"/>
    </row>
    <row r="41" spans="2:10" ht="13.5" thickBot="1">
      <c r="B41" s="102" t="s">
        <v>37</v>
      </c>
      <c r="C41" s="103" t="s">
        <v>38</v>
      </c>
      <c r="D41" s="364">
        <v>122546.98</v>
      </c>
      <c r="E41" s="151">
        <f>E26+E27+E40</f>
        <v>227778.77000000002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23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1146.0324000000001</v>
      </c>
      <c r="E47" s="309">
        <v>903.33910000000003</v>
      </c>
      <c r="G47" s="73"/>
    </row>
    <row r="48" spans="2:10">
      <c r="B48" s="126" t="s">
        <v>6</v>
      </c>
      <c r="C48" s="21" t="s">
        <v>41</v>
      </c>
      <c r="D48" s="371">
        <v>903.33910000000003</v>
      </c>
      <c r="E48" s="152">
        <v>1853.3667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119.98</v>
      </c>
      <c r="E50" s="77">
        <v>135.66</v>
      </c>
      <c r="G50" s="183"/>
    </row>
    <row r="51" spans="2:7">
      <c r="B51" s="105" t="s">
        <v>6</v>
      </c>
      <c r="C51" s="14" t="s">
        <v>114</v>
      </c>
      <c r="D51" s="371">
        <v>111.37</v>
      </c>
      <c r="E51" s="77">
        <v>118.51</v>
      </c>
      <c r="G51" s="183"/>
    </row>
    <row r="52" spans="2:7">
      <c r="B52" s="105" t="s">
        <v>8</v>
      </c>
      <c r="C52" s="14" t="s">
        <v>115</v>
      </c>
      <c r="D52" s="371">
        <v>136.84</v>
      </c>
      <c r="E52" s="77">
        <v>140.65</v>
      </c>
    </row>
    <row r="53" spans="2:7" ht="12.75" customHeight="1" thickBot="1">
      <c r="B53" s="106" t="s">
        <v>9</v>
      </c>
      <c r="C53" s="16" t="s">
        <v>41</v>
      </c>
      <c r="D53" s="369">
        <v>135.66</v>
      </c>
      <c r="E53" s="280">
        <v>122.9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227778.77</v>
      </c>
      <c r="E58" s="30">
        <v>0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227778.77</v>
      </c>
      <c r="E64" s="83">
        <f>E58</f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227778.77</v>
      </c>
      <c r="E74" s="66">
        <f>E58+E72-E73</f>
        <v>0</v>
      </c>
    </row>
    <row r="75" spans="2:5">
      <c r="B75" s="105" t="s">
        <v>4</v>
      </c>
      <c r="C75" s="14" t="s">
        <v>67</v>
      </c>
      <c r="D75" s="80">
        <f>D74</f>
        <v>227778.77</v>
      </c>
      <c r="E75" s="81">
        <f>E74</f>
        <v>0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56999999999999995" right="0.75" top="0.61" bottom="0.49" header="0.5" footer="0.5"/>
  <pageSetup paperSize="9" scale="70" orientation="portrait" r:id="rId1"/>
  <headerFooter alignWithMargins="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3"/>
  <dimension ref="A1:P49"/>
  <sheetViews>
    <sheetView tabSelected="1" zoomScale="80" zoomScaleNormal="80" workbookViewId="0">
      <selection activeCell="E18" sqref="E18"/>
    </sheetView>
  </sheetViews>
  <sheetFormatPr defaultRowHeight="12.5"/>
  <cols>
    <col min="3" max="3" width="13.81640625" customWidth="1"/>
    <col min="4" max="4" width="19" customWidth="1"/>
    <col min="5" max="5" width="18.54296875" customWidth="1"/>
    <col min="6" max="6" width="11.26953125" bestFit="1" customWidth="1"/>
    <col min="7" max="8" width="18.7265625" bestFit="1" customWidth="1"/>
    <col min="9" max="9" width="20" customWidth="1"/>
    <col min="10" max="10" width="15.453125" bestFit="1" customWidth="1"/>
    <col min="11" max="11" width="18.81640625" customWidth="1"/>
    <col min="12" max="12" width="16" customWidth="1"/>
    <col min="16" max="16" width="16.453125" bestFit="1" customWidth="1"/>
  </cols>
  <sheetData>
    <row r="1" spans="1:12" ht="13">
      <c r="A1" s="31"/>
      <c r="B1" s="32"/>
      <c r="C1" s="32" t="s">
        <v>92</v>
      </c>
      <c r="D1" s="33"/>
      <c r="E1" s="33"/>
      <c r="F1" s="33"/>
      <c r="G1" s="33"/>
      <c r="H1" s="216"/>
      <c r="I1" s="32"/>
      <c r="J1" s="31"/>
    </row>
    <row r="2" spans="1:12" ht="13">
      <c r="A2" s="31"/>
      <c r="B2" s="32"/>
      <c r="C2" s="32" t="s">
        <v>93</v>
      </c>
      <c r="D2" s="33"/>
      <c r="E2" s="33"/>
      <c r="F2" s="33"/>
      <c r="G2" s="33"/>
      <c r="H2" s="216"/>
      <c r="I2" s="32"/>
      <c r="J2" s="31"/>
    </row>
    <row r="3" spans="1:12" ht="13">
      <c r="A3" s="31"/>
      <c r="B3" s="32"/>
      <c r="C3" s="32" t="s">
        <v>94</v>
      </c>
      <c r="D3" s="33"/>
      <c r="E3" s="33"/>
      <c r="F3" s="33"/>
      <c r="G3" s="33"/>
      <c r="H3" s="216"/>
      <c r="I3" s="32"/>
      <c r="J3" s="31"/>
    </row>
    <row r="4" spans="1:12" ht="13">
      <c r="A4" s="31"/>
      <c r="B4" s="32"/>
      <c r="C4" s="32" t="s">
        <v>95</v>
      </c>
      <c r="D4" s="33"/>
      <c r="E4" s="33"/>
      <c r="F4" s="33"/>
      <c r="G4" s="33"/>
      <c r="H4" s="32"/>
      <c r="I4" s="32"/>
      <c r="J4" s="31"/>
    </row>
    <row r="5" spans="1:12" ht="13">
      <c r="A5" s="31"/>
      <c r="B5" s="32"/>
      <c r="C5" s="32" t="s">
        <v>265</v>
      </c>
      <c r="D5" s="33"/>
      <c r="E5" s="33"/>
      <c r="F5" s="33"/>
      <c r="G5" s="215"/>
      <c r="H5" s="216"/>
      <c r="I5" s="228"/>
      <c r="J5" s="72"/>
      <c r="K5" s="230"/>
    </row>
    <row r="6" spans="1:12" ht="13.5" thickBot="1">
      <c r="A6" s="31"/>
      <c r="B6" s="32"/>
      <c r="C6" s="32"/>
      <c r="D6" s="33"/>
      <c r="E6" s="33"/>
      <c r="F6" s="33"/>
      <c r="G6" s="215"/>
      <c r="H6" s="216"/>
      <c r="I6" s="228"/>
      <c r="J6" s="72"/>
      <c r="K6" s="73"/>
    </row>
    <row r="7" spans="1:12">
      <c r="A7" s="31"/>
      <c r="B7" s="34"/>
      <c r="C7" s="35"/>
      <c r="D7" s="36"/>
      <c r="E7" s="37"/>
      <c r="F7" s="38"/>
      <c r="G7" s="38"/>
      <c r="H7" s="55"/>
      <c r="I7" s="39"/>
      <c r="J7" s="31"/>
    </row>
    <row r="8" spans="1:12" ht="13">
      <c r="A8" s="31"/>
      <c r="B8" s="40"/>
      <c r="C8" s="41"/>
      <c r="D8" s="42"/>
      <c r="E8" s="43"/>
      <c r="F8" s="38"/>
      <c r="G8" s="38"/>
      <c r="H8" s="76"/>
      <c r="I8" s="55"/>
      <c r="J8" s="31"/>
    </row>
    <row r="9" spans="1:12" ht="13">
      <c r="A9" s="31"/>
      <c r="B9" s="40"/>
      <c r="C9" s="41"/>
      <c r="D9" s="266">
        <v>44196</v>
      </c>
      <c r="E9" s="267">
        <v>44561</v>
      </c>
      <c r="F9" s="38"/>
      <c r="G9" s="215"/>
      <c r="H9" s="216"/>
      <c r="I9" s="55"/>
      <c r="J9" s="72"/>
    </row>
    <row r="10" spans="1:12" ht="13.5" thickBot="1">
      <c r="A10" s="31"/>
      <c r="B10" s="44"/>
      <c r="C10" s="45"/>
      <c r="D10" s="46"/>
      <c r="E10" s="47"/>
      <c r="F10" s="38"/>
      <c r="G10" s="215"/>
      <c r="H10" s="216"/>
      <c r="I10" s="55"/>
      <c r="J10" s="72"/>
    </row>
    <row r="11" spans="1:12" ht="13">
      <c r="A11" s="31"/>
      <c r="B11" s="40"/>
      <c r="C11" s="41"/>
      <c r="D11" s="42"/>
      <c r="E11" s="43"/>
      <c r="F11" s="160"/>
      <c r="G11" s="38"/>
      <c r="H11" s="39"/>
      <c r="I11" s="39"/>
      <c r="J11" s="31"/>
    </row>
    <row r="12" spans="1:12" ht="13">
      <c r="A12" s="31"/>
      <c r="B12" s="40"/>
      <c r="C12" s="41"/>
      <c r="D12" s="48"/>
      <c r="E12" s="49"/>
      <c r="F12" s="160"/>
      <c r="G12" s="226"/>
      <c r="H12" s="238"/>
      <c r="I12" s="76"/>
      <c r="J12" s="31"/>
      <c r="L12" s="73"/>
    </row>
    <row r="13" spans="1:12" ht="13">
      <c r="A13" s="31"/>
      <c r="B13" s="50" t="s">
        <v>96</v>
      </c>
      <c r="C13" s="51"/>
      <c r="D13" s="397">
        <v>156546648.74000001</v>
      </c>
      <c r="E13" s="398">
        <v>141948202.50999999</v>
      </c>
      <c r="F13" s="160"/>
      <c r="G13" s="226"/>
      <c r="H13" s="76"/>
      <c r="I13" s="76"/>
      <c r="J13" s="31"/>
      <c r="K13" s="73"/>
      <c r="L13" s="73"/>
    </row>
    <row r="14" spans="1:12" ht="13">
      <c r="A14" s="31"/>
      <c r="B14" s="50"/>
      <c r="C14" s="51"/>
      <c r="D14" s="53"/>
      <c r="E14" s="54"/>
      <c r="F14" s="160"/>
      <c r="G14" s="74"/>
      <c r="H14" s="161"/>
      <c r="I14" s="55"/>
      <c r="J14" s="31"/>
      <c r="L14" s="73"/>
    </row>
    <row r="15" spans="1:12" ht="13">
      <c r="A15" s="31"/>
      <c r="B15" s="50"/>
      <c r="C15" s="51"/>
      <c r="D15" s="53"/>
      <c r="E15" s="54"/>
      <c r="F15" s="38"/>
      <c r="G15" s="178"/>
      <c r="H15" s="76"/>
      <c r="I15" s="38"/>
      <c r="J15" s="31"/>
      <c r="L15" s="73"/>
    </row>
    <row r="16" spans="1:12" ht="13.5" thickBot="1">
      <c r="A16" s="31"/>
      <c r="B16" s="50"/>
      <c r="C16" s="51"/>
      <c r="D16" s="53"/>
      <c r="E16" s="54"/>
      <c r="F16" s="38"/>
      <c r="G16" s="178"/>
      <c r="H16" s="73"/>
      <c r="I16" s="31"/>
      <c r="J16" s="31"/>
      <c r="K16" s="236"/>
      <c r="L16" s="73"/>
    </row>
    <row r="17" spans="1:16" ht="13">
      <c r="A17" s="31"/>
      <c r="B17" s="56"/>
      <c r="C17" s="57"/>
      <c r="D17" s="58"/>
      <c r="E17" s="59"/>
      <c r="F17" s="31"/>
      <c r="G17" s="179"/>
      <c r="H17" s="76"/>
      <c r="I17" s="31"/>
      <c r="J17" s="31"/>
      <c r="K17" s="236"/>
      <c r="L17" s="73"/>
    </row>
    <row r="18" spans="1:16" ht="13">
      <c r="A18" s="31"/>
      <c r="B18" s="50" t="s">
        <v>97</v>
      </c>
      <c r="C18" s="51"/>
      <c r="D18" s="75">
        <v>22018976.649999991</v>
      </c>
      <c r="E18" s="52">
        <f>SUM('Fundusz Gwarantowany:Generali Z'!E35)</f>
        <v>21057224.110000011</v>
      </c>
      <c r="F18" s="31"/>
      <c r="G18" s="179"/>
      <c r="H18" s="71"/>
      <c r="I18" s="72"/>
      <c r="J18" s="71"/>
      <c r="K18" s="236"/>
      <c r="L18" s="73"/>
    </row>
    <row r="19" spans="1:16" ht="13">
      <c r="A19" s="31"/>
      <c r="B19" s="50"/>
      <c r="C19" s="51"/>
      <c r="D19" s="53"/>
      <c r="E19" s="54"/>
      <c r="F19" s="31"/>
      <c r="G19" s="179"/>
      <c r="H19" s="76"/>
      <c r="I19" s="72"/>
      <c r="J19" s="31"/>
      <c r="K19" s="237"/>
      <c r="L19" s="73"/>
    </row>
    <row r="20" spans="1:16" ht="13.5" thickBot="1">
      <c r="A20" s="31"/>
      <c r="B20" s="60"/>
      <c r="C20" s="61"/>
      <c r="D20" s="62"/>
      <c r="E20" s="63"/>
      <c r="F20" s="31"/>
      <c r="G20" s="31"/>
      <c r="H20" s="216"/>
      <c r="I20" s="31"/>
      <c r="J20" s="72"/>
      <c r="K20" s="295"/>
      <c r="L20" s="156"/>
      <c r="M20" s="73"/>
      <c r="N20" s="73"/>
      <c r="O20" s="73"/>
      <c r="P20" s="255"/>
    </row>
    <row r="21" spans="1:16" ht="13">
      <c r="A21" s="31"/>
      <c r="B21" s="50"/>
      <c r="C21" s="51"/>
      <c r="D21" s="53"/>
      <c r="E21" s="54"/>
      <c r="F21" s="31"/>
      <c r="G21" s="31"/>
      <c r="H21" s="39"/>
      <c r="I21" s="261"/>
      <c r="J21" s="262"/>
      <c r="K21" s="156"/>
      <c r="L21" s="156"/>
      <c r="M21" s="73"/>
      <c r="N21" s="73"/>
      <c r="O21" s="73"/>
      <c r="P21" s="255"/>
    </row>
    <row r="22" spans="1:16" ht="13">
      <c r="A22" s="31"/>
      <c r="B22" s="50"/>
      <c r="C22" s="51"/>
      <c r="D22" s="53"/>
      <c r="E22" s="54"/>
      <c r="F22" s="31"/>
      <c r="G22" s="31"/>
      <c r="H22" s="238"/>
      <c r="I22" s="262"/>
      <c r="J22" s="262"/>
      <c r="K22" s="156"/>
      <c r="L22" s="156"/>
      <c r="M22" s="73"/>
      <c r="N22" s="73"/>
      <c r="O22" s="73"/>
      <c r="P22" s="255"/>
    </row>
    <row r="23" spans="1:16" ht="13">
      <c r="A23" s="31"/>
      <c r="B23" s="50" t="s">
        <v>98</v>
      </c>
      <c r="C23" s="51"/>
      <c r="D23" s="53">
        <f>D13-D18</f>
        <v>134527672.09000003</v>
      </c>
      <c r="E23" s="54">
        <f>E13-E18</f>
        <v>120890978.39999998</v>
      </c>
      <c r="F23" s="31"/>
      <c r="G23" s="74"/>
      <c r="H23" s="76"/>
      <c r="I23" s="261"/>
      <c r="J23" s="261"/>
      <c r="K23" s="156"/>
      <c r="L23" s="156"/>
      <c r="M23" s="73"/>
      <c r="N23" s="73"/>
      <c r="O23" s="73"/>
      <c r="P23" s="255"/>
    </row>
    <row r="24" spans="1:16">
      <c r="A24" s="31"/>
      <c r="B24" s="40"/>
      <c r="C24" s="41"/>
      <c r="D24" s="48"/>
      <c r="E24" s="49"/>
      <c r="F24" s="31"/>
      <c r="G24" s="31"/>
      <c r="H24" s="161"/>
      <c r="I24" s="261"/>
      <c r="J24" s="261"/>
      <c r="K24" s="156"/>
      <c r="L24" s="156"/>
      <c r="M24" s="73"/>
      <c r="N24" s="73"/>
      <c r="O24" s="73"/>
      <c r="P24" s="255"/>
    </row>
    <row r="25" spans="1:16" ht="13">
      <c r="A25" s="31"/>
      <c r="B25" s="40"/>
      <c r="C25" s="41"/>
      <c r="D25" s="48"/>
      <c r="E25" s="49"/>
      <c r="F25" s="31"/>
      <c r="G25" s="31"/>
      <c r="H25" s="76"/>
      <c r="I25" s="262"/>
      <c r="J25" s="262"/>
      <c r="K25" s="156"/>
      <c r="L25" s="156"/>
      <c r="M25" s="73"/>
      <c r="N25" s="73"/>
      <c r="O25" s="73"/>
      <c r="P25" s="73"/>
    </row>
    <row r="26" spans="1:16" ht="13" thickBot="1">
      <c r="A26" s="31"/>
      <c r="B26" s="44"/>
      <c r="C26" s="45"/>
      <c r="D26" s="64"/>
      <c r="E26" s="65"/>
      <c r="F26" s="31"/>
      <c r="G26" s="74"/>
      <c r="H26" s="73"/>
      <c r="I26" s="262"/>
      <c r="J26" s="262"/>
      <c r="K26" s="156"/>
      <c r="L26" s="156"/>
    </row>
    <row r="27" spans="1:16" ht="13">
      <c r="G27" s="31"/>
      <c r="H27" s="216"/>
      <c r="I27" s="396"/>
      <c r="K27" s="73"/>
    </row>
    <row r="28" spans="1:16">
      <c r="E28" s="67"/>
      <c r="G28" s="31"/>
      <c r="H28" s="39"/>
    </row>
    <row r="29" spans="1:16">
      <c r="H29" s="73"/>
      <c r="I29" s="73"/>
    </row>
    <row r="30" spans="1:16">
      <c r="D30" s="73"/>
      <c r="E30" s="73"/>
      <c r="G30" s="73"/>
      <c r="H30" s="73"/>
      <c r="I30" s="73"/>
      <c r="J30" s="67"/>
    </row>
    <row r="31" spans="1:16">
      <c r="D31" s="73"/>
      <c r="E31" s="73"/>
      <c r="G31" s="73"/>
      <c r="H31" s="73"/>
      <c r="I31" s="156"/>
      <c r="J31" s="183"/>
    </row>
    <row r="32" spans="1:16">
      <c r="D32" s="73"/>
      <c r="E32" s="73"/>
      <c r="G32" s="73"/>
      <c r="H32" s="73"/>
      <c r="I32" s="73"/>
    </row>
    <row r="33" spans="4:9">
      <c r="D33" s="73"/>
      <c r="E33" s="73"/>
      <c r="G33" s="73"/>
      <c r="H33" s="171"/>
    </row>
    <row r="34" spans="4:9">
      <c r="D34" s="73"/>
      <c r="E34" s="73"/>
      <c r="G34" s="73"/>
      <c r="H34" s="73"/>
      <c r="I34" s="183"/>
    </row>
    <row r="35" spans="4:9">
      <c r="D35" s="73"/>
      <c r="E35" s="73"/>
      <c r="G35" s="73"/>
      <c r="H35" s="73"/>
    </row>
    <row r="36" spans="4:9">
      <c r="G36" s="73"/>
      <c r="H36" s="73"/>
    </row>
    <row r="37" spans="4:9">
      <c r="G37" s="73"/>
      <c r="H37" s="73"/>
    </row>
    <row r="38" spans="4:9">
      <c r="E38" s="73"/>
      <c r="G38" s="73"/>
      <c r="H38" s="73"/>
      <c r="I38" s="183"/>
    </row>
    <row r="39" spans="4:9">
      <c r="E39" s="73"/>
      <c r="G39" s="73"/>
    </row>
    <row r="40" spans="4:9">
      <c r="E40" s="73"/>
      <c r="G40" s="73"/>
    </row>
    <row r="41" spans="4:9">
      <c r="E41" s="73"/>
      <c r="G41" s="73"/>
    </row>
    <row r="42" spans="4:9">
      <c r="E42" s="73"/>
      <c r="G42" s="73"/>
    </row>
    <row r="43" spans="4:9">
      <c r="E43" s="73"/>
      <c r="G43" s="73"/>
    </row>
    <row r="44" spans="4:9">
      <c r="E44" s="73"/>
    </row>
    <row r="45" spans="4:9">
      <c r="D45" s="73"/>
      <c r="E45" s="73"/>
    </row>
    <row r="46" spans="4:9">
      <c r="E46" s="73"/>
    </row>
    <row r="48" spans="4:9">
      <c r="E48" s="73"/>
    </row>
    <row r="49" spans="5:5">
      <c r="E49" s="73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Q81"/>
  <sheetViews>
    <sheetView zoomScale="80" zoomScaleNormal="80" workbookViewId="0">
      <selection activeCell="A16" sqref="A1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20.26953125" customWidth="1"/>
    <col min="12" max="12" width="12.45312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125</v>
      </c>
      <c r="C5" s="402"/>
      <c r="D5" s="402"/>
      <c r="E5" s="402"/>
    </row>
    <row r="6" spans="2:12" ht="14">
      <c r="B6" s="403" t="s">
        <v>142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126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89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127</v>
      </c>
      <c r="C11" s="207" t="s">
        <v>109</v>
      </c>
      <c r="D11" s="299">
        <f>SUM(D12:D14)</f>
        <v>17740206.459999997</v>
      </c>
      <c r="E11" s="245">
        <f>SUM(E12:E14)</f>
        <v>16751189.939999999</v>
      </c>
    </row>
    <row r="12" spans="2:12">
      <c r="B12" s="109">
        <v>1</v>
      </c>
      <c r="C12" s="208" t="s">
        <v>5</v>
      </c>
      <c r="D12" s="300">
        <f>17299323.24+468212.15-36853.61</f>
        <v>17730681.779999997</v>
      </c>
      <c r="E12" s="250">
        <f>16386839.27+359910.95-151.5</f>
        <v>16746598.719999999</v>
      </c>
      <c r="H12" s="73"/>
    </row>
    <row r="13" spans="2:12">
      <c r="B13" s="109">
        <v>2</v>
      </c>
      <c r="C13" s="208" t="s">
        <v>7</v>
      </c>
      <c r="D13" s="301"/>
      <c r="E13" s="251">
        <v>11.16</v>
      </c>
      <c r="H13" s="73"/>
    </row>
    <row r="14" spans="2:12">
      <c r="B14" s="109">
        <v>3</v>
      </c>
      <c r="C14" s="208" t="s">
        <v>10</v>
      </c>
      <c r="D14" s="301">
        <f>D15</f>
        <v>9524.68</v>
      </c>
      <c r="E14" s="251">
        <f>E15</f>
        <v>4580.0600000000004</v>
      </c>
      <c r="H14" s="73"/>
    </row>
    <row r="15" spans="2:12">
      <c r="B15" s="109">
        <v>31</v>
      </c>
      <c r="C15" s="208" t="s">
        <v>11</v>
      </c>
      <c r="D15" s="301">
        <v>9524.68</v>
      </c>
      <c r="E15" s="251">
        <v>4580.0600000000004</v>
      </c>
      <c r="H15" s="73"/>
    </row>
    <row r="16" spans="2:12">
      <c r="B16" s="110">
        <v>32</v>
      </c>
      <c r="C16" s="209" t="s">
        <v>12</v>
      </c>
      <c r="D16" s="302"/>
      <c r="E16" s="252"/>
      <c r="H16" s="73"/>
    </row>
    <row r="17" spans="2:17" ht="13">
      <c r="B17" s="8" t="s">
        <v>128</v>
      </c>
      <c r="C17" s="210" t="s">
        <v>65</v>
      </c>
      <c r="D17" s="303">
        <f>D18</f>
        <v>59201.29</v>
      </c>
      <c r="E17" s="253">
        <f>E18</f>
        <v>8357.35</v>
      </c>
      <c r="H17" s="73"/>
    </row>
    <row r="18" spans="2:17">
      <c r="B18" s="109">
        <v>1</v>
      </c>
      <c r="C18" s="208" t="s">
        <v>11</v>
      </c>
      <c r="D18" s="302">
        <v>59201.29</v>
      </c>
      <c r="E18" s="252">
        <v>8357.35</v>
      </c>
    </row>
    <row r="19" spans="2:17" ht="15" customHeight="1">
      <c r="B19" s="109">
        <v>2</v>
      </c>
      <c r="C19" s="208" t="s">
        <v>108</v>
      </c>
      <c r="D19" s="301"/>
      <c r="E19" s="251"/>
    </row>
    <row r="20" spans="2:17" ht="13" thickBot="1">
      <c r="B20" s="111">
        <v>3</v>
      </c>
      <c r="C20" s="69" t="s">
        <v>14</v>
      </c>
      <c r="D20" s="304"/>
      <c r="E20" s="246"/>
    </row>
    <row r="21" spans="2:17" ht="13.5" thickBot="1">
      <c r="B21" s="412" t="s">
        <v>129</v>
      </c>
      <c r="C21" s="413"/>
      <c r="D21" s="305">
        <f>D11-D17</f>
        <v>17681005.169999998</v>
      </c>
      <c r="E21" s="151">
        <f>E11-E17</f>
        <v>16742832.59</v>
      </c>
      <c r="F21" s="79"/>
      <c r="G21" s="79"/>
      <c r="H21" s="171"/>
      <c r="J21" s="232"/>
      <c r="K21" s="171"/>
    </row>
    <row r="22" spans="2:17">
      <c r="B22" s="3"/>
      <c r="C22" s="6"/>
      <c r="D22" s="7"/>
      <c r="E22" s="282"/>
      <c r="G22" s="73"/>
      <c r="Q22" s="183"/>
    </row>
    <row r="23" spans="2:17" ht="13.5">
      <c r="B23" s="405" t="s">
        <v>130</v>
      </c>
      <c r="C23" s="417"/>
      <c r="D23" s="417"/>
      <c r="E23" s="417"/>
      <c r="G23" s="73"/>
    </row>
    <row r="24" spans="2:17" ht="15.75" customHeight="1" thickBot="1">
      <c r="B24" s="404" t="s">
        <v>105</v>
      </c>
      <c r="C24" s="418"/>
      <c r="D24" s="418"/>
      <c r="E24" s="418"/>
      <c r="K24" s="183"/>
    </row>
    <row r="25" spans="2:17" ht="13.5" thickBot="1">
      <c r="B25" s="89"/>
      <c r="C25" s="4" t="s">
        <v>2</v>
      </c>
      <c r="D25" s="291" t="s">
        <v>246</v>
      </c>
      <c r="E25" s="258" t="s">
        <v>262</v>
      </c>
    </row>
    <row r="26" spans="2:17" ht="13">
      <c r="B26" s="98" t="s">
        <v>131</v>
      </c>
      <c r="C26" s="99" t="s">
        <v>16</v>
      </c>
      <c r="D26" s="383">
        <v>17063024.950000003</v>
      </c>
      <c r="E26" s="239">
        <f>D21</f>
        <v>17681005.169999998</v>
      </c>
      <c r="G26" s="76"/>
    </row>
    <row r="27" spans="2:17" ht="13">
      <c r="B27" s="8" t="s">
        <v>132</v>
      </c>
      <c r="C27" s="9" t="s">
        <v>111</v>
      </c>
      <c r="D27" s="384">
        <v>-1510628.4500000004</v>
      </c>
      <c r="E27" s="275">
        <v>-1881601.91</v>
      </c>
      <c r="F27" s="73"/>
      <c r="G27" s="156"/>
      <c r="H27" s="293"/>
      <c r="I27" s="293"/>
      <c r="J27" s="219"/>
    </row>
    <row r="28" spans="2:17" ht="13">
      <c r="B28" s="8" t="s">
        <v>126</v>
      </c>
      <c r="C28" s="9" t="s">
        <v>19</v>
      </c>
      <c r="D28" s="384">
        <v>1183744.8</v>
      </c>
      <c r="E28" s="276">
        <v>1196709.57</v>
      </c>
      <c r="F28" s="73"/>
      <c r="G28" s="156"/>
      <c r="H28" s="293"/>
      <c r="I28" s="293"/>
      <c r="J28" s="219"/>
    </row>
    <row r="29" spans="2:17">
      <c r="B29" s="107">
        <v>1</v>
      </c>
      <c r="C29" s="5" t="s">
        <v>20</v>
      </c>
      <c r="D29" s="300">
        <v>1131390.7</v>
      </c>
      <c r="E29" s="277">
        <v>1178060.29</v>
      </c>
      <c r="F29" s="73"/>
      <c r="G29" s="156"/>
      <c r="H29" s="293"/>
      <c r="I29" s="293"/>
      <c r="J29" s="219"/>
    </row>
    <row r="30" spans="2:17">
      <c r="B30" s="107">
        <v>2</v>
      </c>
      <c r="C30" s="5" t="s">
        <v>21</v>
      </c>
      <c r="D30" s="300"/>
      <c r="E30" s="277"/>
      <c r="F30" s="73"/>
      <c r="G30" s="156"/>
      <c r="H30" s="293"/>
      <c r="I30" s="293"/>
      <c r="J30" s="219"/>
    </row>
    <row r="31" spans="2:17">
      <c r="B31" s="107">
        <v>3</v>
      </c>
      <c r="C31" s="5" t="s">
        <v>22</v>
      </c>
      <c r="D31" s="300">
        <v>52354.1</v>
      </c>
      <c r="E31" s="277">
        <v>18649.28</v>
      </c>
      <c r="F31" s="73"/>
      <c r="G31" s="156"/>
      <c r="H31" s="293"/>
      <c r="I31" s="293"/>
      <c r="J31" s="219"/>
    </row>
    <row r="32" spans="2:17" ht="13">
      <c r="B32" s="95" t="s">
        <v>133</v>
      </c>
      <c r="C32" s="10" t="s">
        <v>24</v>
      </c>
      <c r="D32" s="384">
        <v>2694373.2500000005</v>
      </c>
      <c r="E32" s="276">
        <v>3078311.48</v>
      </c>
      <c r="F32" s="73"/>
      <c r="G32" s="156"/>
      <c r="H32" s="293"/>
      <c r="I32" s="293"/>
      <c r="J32" s="219"/>
    </row>
    <row r="33" spans="2:10">
      <c r="B33" s="107">
        <v>1</v>
      </c>
      <c r="C33" s="5" t="s">
        <v>25</v>
      </c>
      <c r="D33" s="300">
        <v>2222424.89</v>
      </c>
      <c r="E33" s="277">
        <v>2619297.69</v>
      </c>
      <c r="F33" s="73"/>
      <c r="G33" s="156"/>
      <c r="H33" s="293"/>
      <c r="I33" s="293"/>
      <c r="J33" s="219"/>
    </row>
    <row r="34" spans="2:10">
      <c r="B34" s="107">
        <v>2</v>
      </c>
      <c r="C34" s="5" t="s">
        <v>26</v>
      </c>
      <c r="D34" s="300"/>
      <c r="E34" s="277"/>
      <c r="F34" s="73"/>
      <c r="G34" s="156"/>
      <c r="H34" s="293"/>
      <c r="I34" s="293"/>
      <c r="J34" s="219"/>
    </row>
    <row r="35" spans="2:10">
      <c r="B35" s="107">
        <v>3</v>
      </c>
      <c r="C35" s="5" t="s">
        <v>27</v>
      </c>
      <c r="D35" s="300">
        <v>117337.72</v>
      </c>
      <c r="E35" s="277">
        <v>76898.400000000009</v>
      </c>
      <c r="F35" s="73"/>
      <c r="G35" s="156"/>
      <c r="H35" s="293"/>
      <c r="I35" s="293"/>
      <c r="J35" s="219"/>
    </row>
    <row r="36" spans="2:10">
      <c r="B36" s="107">
        <v>4</v>
      </c>
      <c r="C36" s="5" t="s">
        <v>28</v>
      </c>
      <c r="D36" s="300"/>
      <c r="E36" s="277"/>
      <c r="F36" s="73"/>
      <c r="G36" s="156"/>
      <c r="H36" s="293"/>
      <c r="I36" s="293"/>
      <c r="J36" s="219"/>
    </row>
    <row r="37" spans="2:10" ht="25">
      <c r="B37" s="107">
        <v>5</v>
      </c>
      <c r="C37" s="5" t="s">
        <v>30</v>
      </c>
      <c r="D37" s="300">
        <v>256452.81</v>
      </c>
      <c r="E37" s="277">
        <v>260258.06</v>
      </c>
      <c r="F37" s="73"/>
      <c r="G37" s="156"/>
      <c r="H37" s="293"/>
      <c r="I37" s="293"/>
      <c r="J37" s="219"/>
    </row>
    <row r="38" spans="2:10">
      <c r="B38" s="107">
        <v>6</v>
      </c>
      <c r="C38" s="5" t="s">
        <v>32</v>
      </c>
      <c r="D38" s="300"/>
      <c r="E38" s="277"/>
      <c r="F38" s="73"/>
      <c r="G38" s="156"/>
      <c r="H38" s="293"/>
      <c r="I38" s="293"/>
      <c r="J38" s="219"/>
    </row>
    <row r="39" spans="2:10">
      <c r="B39" s="108">
        <v>7</v>
      </c>
      <c r="C39" s="11" t="s">
        <v>34</v>
      </c>
      <c r="D39" s="385">
        <v>98157.83</v>
      </c>
      <c r="E39" s="278">
        <v>121857.33</v>
      </c>
      <c r="F39" s="73"/>
      <c r="G39" s="156"/>
      <c r="H39" s="293"/>
      <c r="I39" s="293"/>
      <c r="J39" s="219"/>
    </row>
    <row r="40" spans="2:10" ht="13.5" thickBot="1">
      <c r="B40" s="100" t="s">
        <v>134</v>
      </c>
      <c r="C40" s="101" t="s">
        <v>36</v>
      </c>
      <c r="D40" s="386">
        <v>2128608.67</v>
      </c>
      <c r="E40" s="279">
        <v>943429.33</v>
      </c>
      <c r="G40" s="76"/>
      <c r="H40" s="163"/>
      <c r="I40" s="163"/>
      <c r="J40" s="163"/>
    </row>
    <row r="41" spans="2:10" ht="13.5" thickBot="1">
      <c r="B41" s="102" t="s">
        <v>135</v>
      </c>
      <c r="C41" s="103" t="s">
        <v>38</v>
      </c>
      <c r="D41" s="305">
        <v>17681005.170000002</v>
      </c>
      <c r="E41" s="151">
        <f>E26+E27+E40</f>
        <v>16742832.589999998</v>
      </c>
      <c r="F41" s="79"/>
      <c r="G41" s="76"/>
      <c r="H41" s="163"/>
      <c r="I41" s="163"/>
      <c r="J41" s="163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136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126</v>
      </c>
      <c r="C46" s="29" t="s">
        <v>112</v>
      </c>
      <c r="D46" s="104"/>
      <c r="E46" s="27"/>
      <c r="G46" s="73"/>
    </row>
    <row r="47" spans="2:10">
      <c r="B47" s="105">
        <v>1</v>
      </c>
      <c r="C47" s="14" t="s">
        <v>40</v>
      </c>
      <c r="D47" s="365">
        <v>124326.6963</v>
      </c>
      <c r="E47" s="309">
        <v>113872.3907</v>
      </c>
      <c r="G47" s="73"/>
    </row>
    <row r="48" spans="2:10">
      <c r="B48" s="126">
        <v>2</v>
      </c>
      <c r="C48" s="21" t="s">
        <v>41</v>
      </c>
      <c r="D48" s="365">
        <v>113872.3907</v>
      </c>
      <c r="E48" s="366">
        <v>102248.519</v>
      </c>
      <c r="G48" s="206"/>
      <c r="I48" s="162"/>
    </row>
    <row r="49" spans="2:7" ht="13">
      <c r="B49" s="123" t="s">
        <v>133</v>
      </c>
      <c r="C49" s="127" t="s">
        <v>113</v>
      </c>
      <c r="D49" s="367"/>
      <c r="E49" s="128"/>
    </row>
    <row r="50" spans="2:7">
      <c r="B50" s="105">
        <v>1</v>
      </c>
      <c r="C50" s="14" t="s">
        <v>40</v>
      </c>
      <c r="D50" s="365">
        <v>137.24350000000001</v>
      </c>
      <c r="E50" s="309">
        <v>155.27030000000002</v>
      </c>
      <c r="G50" s="183"/>
    </row>
    <row r="51" spans="2:7">
      <c r="B51" s="105">
        <v>2</v>
      </c>
      <c r="C51" s="14" t="s">
        <v>114</v>
      </c>
      <c r="D51" s="365">
        <v>120.5645</v>
      </c>
      <c r="E51" s="281">
        <v>155.27029999999999</v>
      </c>
      <c r="G51" s="183"/>
    </row>
    <row r="52" spans="2:7" ht="12.75" customHeight="1">
      <c r="B52" s="105">
        <v>3</v>
      </c>
      <c r="C52" s="14" t="s">
        <v>115</v>
      </c>
      <c r="D52" s="365">
        <v>155.4855</v>
      </c>
      <c r="E52" s="281">
        <v>169.39529999999999</v>
      </c>
    </row>
    <row r="53" spans="2:7" ht="13" thickBot="1">
      <c r="B53" s="106">
        <v>4</v>
      </c>
      <c r="C53" s="16" t="s">
        <v>41</v>
      </c>
      <c r="D53" s="369">
        <v>155.27030000000002</v>
      </c>
      <c r="E53" s="280">
        <v>163.7465</v>
      </c>
    </row>
    <row r="54" spans="2:7">
      <c r="B54" s="112"/>
      <c r="C54" s="113"/>
      <c r="D54" s="114"/>
      <c r="E54" s="114"/>
    </row>
    <row r="55" spans="2:7" ht="13.5">
      <c r="B55" s="406" t="s">
        <v>137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126</v>
      </c>
      <c r="C58" s="129" t="s">
        <v>43</v>
      </c>
      <c r="D58" s="130">
        <f>SUM(D59:D70)</f>
        <v>16746598.719999999</v>
      </c>
      <c r="E58" s="30">
        <f>D58/E21</f>
        <v>1.0002249398349863</v>
      </c>
    </row>
    <row r="59" spans="2:7" ht="25">
      <c r="B59" s="20">
        <v>1</v>
      </c>
      <c r="C59" s="21" t="s">
        <v>44</v>
      </c>
      <c r="D59" s="82">
        <v>0</v>
      </c>
      <c r="E59" s="83">
        <v>0</v>
      </c>
    </row>
    <row r="60" spans="2:7" ht="24" customHeight="1">
      <c r="B60" s="13">
        <v>2</v>
      </c>
      <c r="C60" s="14" t="s">
        <v>45</v>
      </c>
      <c r="D60" s="80">
        <v>0</v>
      </c>
      <c r="E60" s="81">
        <v>0</v>
      </c>
    </row>
    <row r="61" spans="2:7">
      <c r="B61" s="13">
        <v>3</v>
      </c>
      <c r="C61" s="14" t="s">
        <v>46</v>
      </c>
      <c r="D61" s="80">
        <v>0</v>
      </c>
      <c r="E61" s="81">
        <v>0</v>
      </c>
    </row>
    <row r="62" spans="2:7">
      <c r="B62" s="13">
        <v>4</v>
      </c>
      <c r="C62" s="14" t="s">
        <v>47</v>
      </c>
      <c r="D62" s="80">
        <v>0</v>
      </c>
      <c r="E62" s="81">
        <v>0</v>
      </c>
    </row>
    <row r="63" spans="2:7">
      <c r="B63" s="13">
        <v>5</v>
      </c>
      <c r="C63" s="14" t="s">
        <v>48</v>
      </c>
      <c r="D63" s="80">
        <v>0</v>
      </c>
      <c r="E63" s="81">
        <v>0</v>
      </c>
    </row>
    <row r="64" spans="2:7">
      <c r="B64" s="20">
        <v>6</v>
      </c>
      <c r="C64" s="21" t="s">
        <v>49</v>
      </c>
      <c r="D64" s="377">
        <f>16386839.27-151.5</f>
        <v>16386687.77</v>
      </c>
      <c r="E64" s="83">
        <f>D64/E21</f>
        <v>0.97872852051254966</v>
      </c>
    </row>
    <row r="65" spans="2:7">
      <c r="B65" s="20">
        <v>7</v>
      </c>
      <c r="C65" s="21" t="s">
        <v>118</v>
      </c>
      <c r="D65" s="82">
        <v>0</v>
      </c>
      <c r="E65" s="83">
        <v>0</v>
      </c>
    </row>
    <row r="66" spans="2:7">
      <c r="B66" s="20">
        <v>8</v>
      </c>
      <c r="C66" s="21" t="s">
        <v>51</v>
      </c>
      <c r="D66" s="82">
        <v>0</v>
      </c>
      <c r="E66" s="83">
        <v>0</v>
      </c>
    </row>
    <row r="67" spans="2:7">
      <c r="B67" s="13">
        <v>9</v>
      </c>
      <c r="C67" s="14" t="s">
        <v>53</v>
      </c>
      <c r="D67" s="80">
        <v>0</v>
      </c>
      <c r="E67" s="81">
        <v>0</v>
      </c>
      <c r="G67" s="73"/>
    </row>
    <row r="68" spans="2:7">
      <c r="B68" s="13">
        <v>10</v>
      </c>
      <c r="C68" s="14" t="s">
        <v>55</v>
      </c>
      <c r="D68" s="80">
        <v>0</v>
      </c>
      <c r="E68" s="81">
        <v>0</v>
      </c>
    </row>
    <row r="69" spans="2:7">
      <c r="B69" s="13">
        <v>11</v>
      </c>
      <c r="C69" s="14" t="s">
        <v>57</v>
      </c>
      <c r="D69" s="370">
        <v>359910.95</v>
      </c>
      <c r="E69" s="81">
        <f>D69/E21</f>
        <v>2.1496419322436768E-2</v>
      </c>
    </row>
    <row r="70" spans="2:7">
      <c r="B70" s="115">
        <v>12</v>
      </c>
      <c r="C70" s="116" t="s">
        <v>59</v>
      </c>
      <c r="D70" s="117">
        <v>0</v>
      </c>
      <c r="E70" s="118">
        <v>0</v>
      </c>
    </row>
    <row r="71" spans="2:7" ht="13">
      <c r="B71" s="123" t="s">
        <v>133</v>
      </c>
      <c r="C71" s="124" t="s">
        <v>61</v>
      </c>
      <c r="D71" s="125">
        <f>E13</f>
        <v>11.16</v>
      </c>
      <c r="E71" s="66">
        <f>D71/E21</f>
        <v>6.665538785035418E-7</v>
      </c>
    </row>
    <row r="72" spans="2:7" ht="13">
      <c r="B72" s="119" t="s">
        <v>136</v>
      </c>
      <c r="C72" s="120" t="s">
        <v>63</v>
      </c>
      <c r="D72" s="121">
        <f>E14</f>
        <v>4580.0600000000004</v>
      </c>
      <c r="E72" s="122">
        <f>D72/E21</f>
        <v>2.7355347282965342E-4</v>
      </c>
    </row>
    <row r="73" spans="2:7" ht="13">
      <c r="B73" s="22" t="s">
        <v>137</v>
      </c>
      <c r="C73" s="23" t="s">
        <v>65</v>
      </c>
      <c r="D73" s="24">
        <f>E17</f>
        <v>8357.35</v>
      </c>
      <c r="E73" s="25">
        <f>D73/E21</f>
        <v>4.9915986169458558E-4</v>
      </c>
    </row>
    <row r="74" spans="2:7" ht="13">
      <c r="B74" s="123" t="s">
        <v>138</v>
      </c>
      <c r="C74" s="124" t="s">
        <v>66</v>
      </c>
      <c r="D74" s="125">
        <f>D58+D71+D72-D73</f>
        <v>16742832.59</v>
      </c>
      <c r="E74" s="66">
        <f>E58+E72-E73</f>
        <v>0.99999933344612146</v>
      </c>
    </row>
    <row r="75" spans="2:7">
      <c r="B75" s="13">
        <v>1</v>
      </c>
      <c r="C75" s="14" t="s">
        <v>67</v>
      </c>
      <c r="D75" s="80">
        <f>D74</f>
        <v>16742832.59</v>
      </c>
      <c r="E75" s="81">
        <f>E74</f>
        <v>0.99999933344612146</v>
      </c>
    </row>
    <row r="76" spans="2:7">
      <c r="B76" s="13">
        <v>2</v>
      </c>
      <c r="C76" s="14" t="s">
        <v>119</v>
      </c>
      <c r="D76" s="80">
        <v>0</v>
      </c>
      <c r="E76" s="81">
        <v>0</v>
      </c>
    </row>
    <row r="77" spans="2:7" ht="13" thickBot="1">
      <c r="B77" s="15">
        <v>3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1.03" right="0.75" top="0.6" bottom="0.19" header="0.5" footer="0.5"/>
  <pageSetup paperSize="9" scale="7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7.453125" customWidth="1"/>
    <col min="11" max="11" width="16.269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143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11649196.120000001</v>
      </c>
      <c r="E11" s="245">
        <f>SUM(E12:E14)</f>
        <v>10895798.84</v>
      </c>
      <c r="H11" s="73"/>
    </row>
    <row r="12" spans="2:12">
      <c r="B12" s="109" t="s">
        <v>4</v>
      </c>
      <c r="C12" s="208" t="s">
        <v>5</v>
      </c>
      <c r="D12" s="300">
        <f>10976195.56+673000.56</f>
        <v>11649196.120000001</v>
      </c>
      <c r="E12" s="250">
        <f>10507418.34+388373.08</f>
        <v>10895791.42</v>
      </c>
      <c r="H12" s="73"/>
    </row>
    <row r="13" spans="2:12">
      <c r="B13" s="109" t="s">
        <v>6</v>
      </c>
      <c r="C13" s="208" t="s">
        <v>7</v>
      </c>
      <c r="D13" s="301"/>
      <c r="E13" s="251">
        <v>7.42</v>
      </c>
      <c r="H13" s="73"/>
    </row>
    <row r="14" spans="2:12">
      <c r="B14" s="109" t="s">
        <v>8</v>
      </c>
      <c r="C14" s="208" t="s">
        <v>10</v>
      </c>
      <c r="D14" s="301"/>
      <c r="E14" s="251"/>
      <c r="H14" s="73"/>
    </row>
    <row r="15" spans="2:12">
      <c r="B15" s="109" t="s">
        <v>106</v>
      </c>
      <c r="C15" s="208" t="s">
        <v>11</v>
      </c>
      <c r="D15" s="301"/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3" ht="13">
      <c r="B17" s="8" t="s">
        <v>13</v>
      </c>
      <c r="C17" s="210" t="s">
        <v>65</v>
      </c>
      <c r="D17" s="303">
        <f>D18</f>
        <v>375.22</v>
      </c>
      <c r="E17" s="253">
        <f>E18</f>
        <v>346.87</v>
      </c>
    </row>
    <row r="18" spans="2:13">
      <c r="B18" s="109" t="s">
        <v>4</v>
      </c>
      <c r="C18" s="208" t="s">
        <v>11</v>
      </c>
      <c r="D18" s="302">
        <v>375.22</v>
      </c>
      <c r="E18" s="252">
        <v>346.87</v>
      </c>
    </row>
    <row r="19" spans="2:13" ht="15" customHeight="1">
      <c r="B19" s="109" t="s">
        <v>6</v>
      </c>
      <c r="C19" s="208" t="s">
        <v>108</v>
      </c>
      <c r="D19" s="301"/>
      <c r="E19" s="251"/>
    </row>
    <row r="20" spans="2:13" ht="13" thickBot="1">
      <c r="B20" s="111" t="s">
        <v>8</v>
      </c>
      <c r="C20" s="69" t="s">
        <v>14</v>
      </c>
      <c r="D20" s="304"/>
      <c r="E20" s="246"/>
      <c r="G20" s="183"/>
    </row>
    <row r="21" spans="2:13" ht="13.5" thickBot="1">
      <c r="B21" s="412" t="s">
        <v>110</v>
      </c>
      <c r="C21" s="413"/>
      <c r="D21" s="305">
        <f>D11-D17</f>
        <v>11648820.9</v>
      </c>
      <c r="E21" s="151">
        <f>E11-E17</f>
        <v>10895451.970000001</v>
      </c>
      <c r="F21" s="79"/>
      <c r="G21" s="79"/>
      <c r="H21" s="171"/>
      <c r="J21" s="232"/>
      <c r="K21" s="171"/>
      <c r="M21" s="183"/>
    </row>
    <row r="22" spans="2:13">
      <c r="B22" s="3"/>
      <c r="C22" s="6"/>
      <c r="D22" s="7"/>
      <c r="E22" s="7"/>
      <c r="G22" s="73"/>
    </row>
    <row r="23" spans="2:13" ht="13.5">
      <c r="B23" s="405" t="s">
        <v>104</v>
      </c>
      <c r="C23" s="417"/>
      <c r="D23" s="417"/>
      <c r="E23" s="417"/>
      <c r="G23" s="73"/>
    </row>
    <row r="24" spans="2:13" ht="15.75" customHeight="1" thickBot="1">
      <c r="B24" s="404" t="s">
        <v>105</v>
      </c>
      <c r="C24" s="418"/>
      <c r="D24" s="418"/>
      <c r="E24" s="418"/>
    </row>
    <row r="25" spans="2:13" ht="13.5" thickBot="1">
      <c r="B25" s="91"/>
      <c r="C25" s="4" t="s">
        <v>2</v>
      </c>
      <c r="D25" s="291" t="s">
        <v>246</v>
      </c>
      <c r="E25" s="258" t="s">
        <v>262</v>
      </c>
      <c r="I25" s="183"/>
    </row>
    <row r="26" spans="2:13" ht="13">
      <c r="B26" s="98" t="s">
        <v>15</v>
      </c>
      <c r="C26" s="99" t="s">
        <v>16</v>
      </c>
      <c r="D26" s="359">
        <v>12871536.52</v>
      </c>
      <c r="E26" s="239">
        <f>D21</f>
        <v>11648820.9</v>
      </c>
      <c r="G26" s="76"/>
    </row>
    <row r="27" spans="2:13" ht="13">
      <c r="B27" s="8" t="s">
        <v>17</v>
      </c>
      <c r="C27" s="9" t="s">
        <v>111</v>
      </c>
      <c r="D27" s="360">
        <v>-2925572.42</v>
      </c>
      <c r="E27" s="275">
        <v>-2588221.56</v>
      </c>
      <c r="F27" s="73"/>
      <c r="G27" s="255"/>
      <c r="H27" s="255"/>
      <c r="I27" s="73"/>
      <c r="J27" s="76"/>
    </row>
    <row r="28" spans="2:13" ht="13">
      <c r="B28" s="8" t="s">
        <v>18</v>
      </c>
      <c r="C28" s="9" t="s">
        <v>19</v>
      </c>
      <c r="D28" s="360">
        <v>83749.69</v>
      </c>
      <c r="E28" s="276">
        <v>84682.44</v>
      </c>
      <c r="F28" s="73"/>
      <c r="G28" s="255"/>
      <c r="H28" s="255"/>
      <c r="I28" s="73"/>
      <c r="J28" s="76"/>
    </row>
    <row r="29" spans="2:13" ht="13">
      <c r="B29" s="107" t="s">
        <v>4</v>
      </c>
      <c r="C29" s="5" t="s">
        <v>20</v>
      </c>
      <c r="D29" s="361"/>
      <c r="E29" s="277">
        <v>374.85</v>
      </c>
      <c r="F29" s="73"/>
      <c r="G29" s="255"/>
      <c r="H29" s="255"/>
      <c r="I29" s="73"/>
      <c r="J29" s="76"/>
    </row>
    <row r="30" spans="2:13" ht="13">
      <c r="B30" s="107" t="s">
        <v>6</v>
      </c>
      <c r="C30" s="5" t="s">
        <v>21</v>
      </c>
      <c r="D30" s="361"/>
      <c r="E30" s="277">
        <v>0</v>
      </c>
      <c r="F30" s="73"/>
      <c r="G30" s="255"/>
      <c r="H30" s="255"/>
      <c r="I30" s="73"/>
      <c r="J30" s="76"/>
    </row>
    <row r="31" spans="2:13" ht="13">
      <c r="B31" s="107" t="s">
        <v>8</v>
      </c>
      <c r="C31" s="5" t="s">
        <v>22</v>
      </c>
      <c r="D31" s="361">
        <v>83749.69</v>
      </c>
      <c r="E31" s="277">
        <v>84307.59</v>
      </c>
      <c r="F31" s="73"/>
      <c r="G31" s="255"/>
      <c r="H31" s="255"/>
      <c r="I31" s="73"/>
      <c r="J31" s="76"/>
    </row>
    <row r="32" spans="2:13" ht="13">
      <c r="B32" s="95" t="s">
        <v>23</v>
      </c>
      <c r="C32" s="10" t="s">
        <v>24</v>
      </c>
      <c r="D32" s="360">
        <v>3009322.11</v>
      </c>
      <c r="E32" s="276">
        <v>2672904</v>
      </c>
      <c r="F32" s="73"/>
      <c r="G32" s="255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2677894</v>
      </c>
      <c r="E33" s="277">
        <v>2321330.12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>
        <v>0</v>
      </c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77574.42</v>
      </c>
      <c r="E35" s="277">
        <v>69603.02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>
        <v>0</v>
      </c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205725.77</v>
      </c>
      <c r="E37" s="277">
        <v>222486.59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>
        <v>0</v>
      </c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48127.92</v>
      </c>
      <c r="E39" s="278">
        <v>59484.27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1702856.8</v>
      </c>
      <c r="E40" s="279">
        <v>1834852.63</v>
      </c>
      <c r="G40" s="76"/>
    </row>
    <row r="41" spans="2:10" ht="13.5" thickBot="1">
      <c r="B41" s="102" t="s">
        <v>37</v>
      </c>
      <c r="C41" s="103" t="s">
        <v>38</v>
      </c>
      <c r="D41" s="364">
        <v>11648820.9</v>
      </c>
      <c r="E41" s="151">
        <f>E26+E27+E40</f>
        <v>10895451.969999999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84057.901100000003</v>
      </c>
      <c r="E47" s="309">
        <v>64648.942900000002</v>
      </c>
      <c r="G47" s="73"/>
    </row>
    <row r="48" spans="2:10">
      <c r="B48" s="126" t="s">
        <v>6</v>
      </c>
      <c r="C48" s="21" t="s">
        <v>41</v>
      </c>
      <c r="D48" s="371">
        <v>64648.942900000002</v>
      </c>
      <c r="E48" s="380">
        <v>51794.339</v>
      </c>
      <c r="G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153.12700000000001</v>
      </c>
      <c r="E50" s="309">
        <v>180.1858</v>
      </c>
      <c r="G50" s="183"/>
    </row>
    <row r="51" spans="2:7">
      <c r="B51" s="105" t="s">
        <v>6</v>
      </c>
      <c r="C51" s="14" t="s">
        <v>114</v>
      </c>
      <c r="D51" s="371">
        <v>108.3224</v>
      </c>
      <c r="E51" s="281">
        <v>180.1858</v>
      </c>
      <c r="G51" s="183"/>
    </row>
    <row r="52" spans="2:7" ht="12" customHeight="1">
      <c r="B52" s="105" t="s">
        <v>8</v>
      </c>
      <c r="C52" s="14" t="s">
        <v>115</v>
      </c>
      <c r="D52" s="371">
        <v>180.1858</v>
      </c>
      <c r="E52" s="281">
        <v>215.78980000000001</v>
      </c>
    </row>
    <row r="53" spans="2:7" ht="13" thickBot="1">
      <c r="B53" s="106" t="s">
        <v>9</v>
      </c>
      <c r="C53" s="16" t="s">
        <v>41</v>
      </c>
      <c r="D53" s="369">
        <v>180.1858</v>
      </c>
      <c r="E53" s="280">
        <v>210.35990000000001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10895791.42</v>
      </c>
      <c r="E58" s="30">
        <f>D58/E21</f>
        <v>1.0000311552013568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4" customHeight="1">
      <c r="B60" s="13" t="s">
        <v>6</v>
      </c>
      <c r="C60" s="14" t="s">
        <v>45</v>
      </c>
      <c r="D60" s="80">
        <v>0</v>
      </c>
      <c r="E60" s="81">
        <v>0</v>
      </c>
    </row>
    <row r="61" spans="2:7">
      <c r="B61" s="13" t="s">
        <v>8</v>
      </c>
      <c r="C61" s="14" t="s">
        <v>46</v>
      </c>
      <c r="D61" s="80">
        <v>0</v>
      </c>
      <c r="E61" s="81">
        <v>0</v>
      </c>
    </row>
    <row r="62" spans="2:7">
      <c r="B62" s="13" t="s">
        <v>9</v>
      </c>
      <c r="C62" s="14" t="s">
        <v>47</v>
      </c>
      <c r="D62" s="80">
        <v>0</v>
      </c>
      <c r="E62" s="81">
        <v>0</v>
      </c>
    </row>
    <row r="63" spans="2:7">
      <c r="B63" s="13" t="s">
        <v>29</v>
      </c>
      <c r="C63" s="14" t="s">
        <v>48</v>
      </c>
      <c r="D63" s="80">
        <v>0</v>
      </c>
      <c r="E63" s="81">
        <v>0</v>
      </c>
    </row>
    <row r="64" spans="2:7">
      <c r="B64" s="20" t="s">
        <v>31</v>
      </c>
      <c r="C64" s="21" t="s">
        <v>49</v>
      </c>
      <c r="D64" s="377">
        <v>10507418.34</v>
      </c>
      <c r="E64" s="83">
        <f>D64/E21</f>
        <v>0.96438572433080982</v>
      </c>
    </row>
    <row r="65" spans="2:7">
      <c r="B65" s="20" t="s">
        <v>33</v>
      </c>
      <c r="C65" s="21" t="s">
        <v>118</v>
      </c>
      <c r="D65" s="82">
        <v>0</v>
      </c>
      <c r="E65" s="83">
        <v>0</v>
      </c>
    </row>
    <row r="66" spans="2:7">
      <c r="B66" s="20" t="s">
        <v>50</v>
      </c>
      <c r="C66" s="21" t="s">
        <v>51</v>
      </c>
      <c r="D66" s="82">
        <v>0</v>
      </c>
      <c r="E66" s="83">
        <v>0</v>
      </c>
    </row>
    <row r="67" spans="2:7">
      <c r="B67" s="13" t="s">
        <v>52</v>
      </c>
      <c r="C67" s="14" t="s">
        <v>53</v>
      </c>
      <c r="D67" s="80">
        <v>0</v>
      </c>
      <c r="E67" s="81">
        <v>0</v>
      </c>
      <c r="G67" s="73"/>
    </row>
    <row r="68" spans="2:7">
      <c r="B68" s="13" t="s">
        <v>54</v>
      </c>
      <c r="C68" s="14" t="s">
        <v>55</v>
      </c>
      <c r="D68" s="80">
        <v>0</v>
      </c>
      <c r="E68" s="81">
        <v>0</v>
      </c>
    </row>
    <row r="69" spans="2:7">
      <c r="B69" s="13" t="s">
        <v>56</v>
      </c>
      <c r="C69" s="14" t="s">
        <v>57</v>
      </c>
      <c r="D69" s="387">
        <v>388373.08</v>
      </c>
      <c r="E69" s="81">
        <f>D69/E21</f>
        <v>3.5645430870546987E-2</v>
      </c>
    </row>
    <row r="70" spans="2:7">
      <c r="B70" s="115" t="s">
        <v>58</v>
      </c>
      <c r="C70" s="116" t="s">
        <v>59</v>
      </c>
      <c r="D70" s="80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7.42</v>
      </c>
      <c r="E71" s="66">
        <v>0</v>
      </c>
    </row>
    <row r="72" spans="2:7" ht="13">
      <c r="B72" s="119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22" t="s">
        <v>62</v>
      </c>
      <c r="C73" s="23" t="s">
        <v>65</v>
      </c>
      <c r="D73" s="24">
        <f>E17</f>
        <v>346.87</v>
      </c>
      <c r="E73" s="25">
        <f>D73/E21</f>
        <v>3.1836219456988712E-5</v>
      </c>
    </row>
    <row r="74" spans="2:7" ht="13">
      <c r="B74" s="123" t="s">
        <v>64</v>
      </c>
      <c r="C74" s="124" t="s">
        <v>66</v>
      </c>
      <c r="D74" s="125">
        <f>D58+D71+D72-D73</f>
        <v>10895451.970000001</v>
      </c>
      <c r="E74" s="66">
        <f>E58+E72-E73</f>
        <v>0.99999931898189975</v>
      </c>
    </row>
    <row r="75" spans="2:7">
      <c r="B75" s="13" t="s">
        <v>4</v>
      </c>
      <c r="C75" s="14" t="s">
        <v>67</v>
      </c>
      <c r="D75" s="80">
        <f>D74-D76</f>
        <v>8982895.5199999996</v>
      </c>
      <c r="E75" s="81">
        <f>D75/E21</f>
        <v>0.8244628625534659</v>
      </c>
      <c r="G75" s="183"/>
    </row>
    <row r="76" spans="2:7">
      <c r="B76" s="13" t="s">
        <v>6</v>
      </c>
      <c r="C76" s="14" t="s">
        <v>119</v>
      </c>
      <c r="D76" s="80">
        <v>1912556.4500000002</v>
      </c>
      <c r="E76" s="81">
        <f>D76/E21</f>
        <v>0.17553713744653404</v>
      </c>
    </row>
    <row r="77" spans="2:7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97" right="0.75" top="0.6" bottom="0.32" header="0.5" footer="0.5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5.81640625" customWidth="1"/>
    <col min="11" max="11" width="16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144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1549151.09</v>
      </c>
      <c r="E11" s="245">
        <f>SUM(E12:E14)</f>
        <v>1189536.01</v>
      </c>
      <c r="H11" s="73"/>
    </row>
    <row r="12" spans="2:12">
      <c r="B12" s="109" t="s">
        <v>4</v>
      </c>
      <c r="C12" s="208" t="s">
        <v>5</v>
      </c>
      <c r="D12" s="300">
        <f>1522776.77+26374.32</f>
        <v>1549151.09</v>
      </c>
      <c r="E12" s="250">
        <f>1090981.27+98552.13</f>
        <v>1189533.3999999999</v>
      </c>
      <c r="H12" s="73"/>
    </row>
    <row r="13" spans="2:12">
      <c r="B13" s="109" t="s">
        <v>6</v>
      </c>
      <c r="C13" s="208" t="s">
        <v>7</v>
      </c>
      <c r="D13" s="301"/>
      <c r="E13" s="251">
        <v>2.61</v>
      </c>
      <c r="H13" s="73"/>
    </row>
    <row r="14" spans="2:12">
      <c r="B14" s="109" t="s">
        <v>8</v>
      </c>
      <c r="C14" s="208" t="s">
        <v>10</v>
      </c>
      <c r="D14" s="301"/>
      <c r="E14" s="251"/>
      <c r="H14" s="73"/>
    </row>
    <row r="15" spans="2:12">
      <c r="B15" s="109" t="s">
        <v>106</v>
      </c>
      <c r="C15" s="208" t="s">
        <v>11</v>
      </c>
      <c r="D15" s="301"/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85.24</v>
      </c>
      <c r="E17" s="253">
        <f>E18</f>
        <v>66.459999999999994</v>
      </c>
    </row>
    <row r="18" spans="2:11">
      <c r="B18" s="109" t="s">
        <v>4</v>
      </c>
      <c r="C18" s="208" t="s">
        <v>11</v>
      </c>
      <c r="D18" s="302">
        <v>85.24</v>
      </c>
      <c r="E18" s="252">
        <v>66.459999999999994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1549065.85</v>
      </c>
      <c r="E21" s="151">
        <f>E11-E17</f>
        <v>1189469.55</v>
      </c>
      <c r="F21" s="79"/>
      <c r="G21" s="79"/>
      <c r="H21" s="171"/>
      <c r="J21" s="233"/>
      <c r="K21" s="67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83">
        <v>1748732.6400000001</v>
      </c>
      <c r="E26" s="239">
        <f>D21</f>
        <v>1549065.85</v>
      </c>
      <c r="G26" s="76"/>
    </row>
    <row r="27" spans="2:11" ht="13">
      <c r="B27" s="8" t="s">
        <v>17</v>
      </c>
      <c r="C27" s="9" t="s">
        <v>111</v>
      </c>
      <c r="D27" s="384">
        <v>-319333.45</v>
      </c>
      <c r="E27" s="275">
        <v>-418273.48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84">
        <v>15719.92</v>
      </c>
      <c r="E28" s="276">
        <v>905.32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00"/>
      <c r="E29" s="277">
        <v>905.32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00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00">
        <v>15719.92</v>
      </c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84">
        <v>335053.37</v>
      </c>
      <c r="E32" s="276">
        <v>419178.8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00">
        <v>291775.35999999999</v>
      </c>
      <c r="E33" s="277">
        <v>366580.63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00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00">
        <v>15595.96</v>
      </c>
      <c r="E35" s="277">
        <v>3636.2400000000002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00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00">
        <v>27682.05</v>
      </c>
      <c r="E37" s="277">
        <v>25398.83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00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85"/>
      <c r="E39" s="278">
        <v>23563.1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86">
        <v>119666.66</v>
      </c>
      <c r="E40" s="279">
        <v>58677.18</v>
      </c>
      <c r="G40" s="76"/>
      <c r="H40" s="289"/>
    </row>
    <row r="41" spans="2:10" ht="13.5" thickBot="1">
      <c r="B41" s="102" t="s">
        <v>37</v>
      </c>
      <c r="C41" s="103" t="s">
        <v>38</v>
      </c>
      <c r="D41" s="305">
        <v>1549065.85</v>
      </c>
      <c r="E41" s="151">
        <f>E26+E27+E40</f>
        <v>1189469.55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65">
        <v>14932.1675</v>
      </c>
      <c r="E47" s="309">
        <v>12018.281300000001</v>
      </c>
      <c r="G47" s="73"/>
    </row>
    <row r="48" spans="2:10">
      <c r="B48" s="126" t="s">
        <v>6</v>
      </c>
      <c r="C48" s="21" t="s">
        <v>41</v>
      </c>
      <c r="D48" s="365">
        <v>12018.281300000001</v>
      </c>
      <c r="E48" s="380">
        <v>8903.0152999999991</v>
      </c>
      <c r="G48" s="162"/>
    </row>
    <row r="49" spans="2:7" ht="13">
      <c r="B49" s="123" t="s">
        <v>23</v>
      </c>
      <c r="C49" s="127" t="s">
        <v>113</v>
      </c>
      <c r="D49" s="367"/>
      <c r="E49" s="128"/>
    </row>
    <row r="50" spans="2:7">
      <c r="B50" s="105" t="s">
        <v>4</v>
      </c>
      <c r="C50" s="14" t="s">
        <v>40</v>
      </c>
      <c r="D50" s="365">
        <v>117.1118</v>
      </c>
      <c r="E50" s="309">
        <v>128.89250000000001</v>
      </c>
      <c r="G50" s="183"/>
    </row>
    <row r="51" spans="2:7">
      <c r="B51" s="105" t="s">
        <v>6</v>
      </c>
      <c r="C51" s="14" t="s">
        <v>114</v>
      </c>
      <c r="D51" s="365">
        <v>79.812299999999993</v>
      </c>
      <c r="E51" s="281">
        <v>127.547</v>
      </c>
      <c r="G51" s="183"/>
    </row>
    <row r="52" spans="2:7">
      <c r="B52" s="105" t="s">
        <v>8</v>
      </c>
      <c r="C52" s="14" t="s">
        <v>115</v>
      </c>
      <c r="D52" s="365">
        <v>129.01</v>
      </c>
      <c r="E52" s="281">
        <v>141.7037</v>
      </c>
    </row>
    <row r="53" spans="2:7" ht="12.75" customHeight="1" thickBot="1">
      <c r="B53" s="106" t="s">
        <v>9</v>
      </c>
      <c r="C53" s="16" t="s">
        <v>41</v>
      </c>
      <c r="D53" s="369">
        <v>128.89250000000001</v>
      </c>
      <c r="E53" s="280">
        <v>133.60300000000001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1189533.3999999999</v>
      </c>
      <c r="E58" s="30">
        <f>D58/E21</f>
        <v>1.0000536793901111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5">
      <c r="B60" s="13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3" t="s">
        <v>8</v>
      </c>
      <c r="C61" s="14" t="s">
        <v>46</v>
      </c>
      <c r="D61" s="80">
        <v>0</v>
      </c>
      <c r="E61" s="81">
        <v>0</v>
      </c>
    </row>
    <row r="62" spans="2:7">
      <c r="B62" s="13" t="s">
        <v>9</v>
      </c>
      <c r="C62" s="14" t="s">
        <v>47</v>
      </c>
      <c r="D62" s="80">
        <v>0</v>
      </c>
      <c r="E62" s="81">
        <v>0</v>
      </c>
    </row>
    <row r="63" spans="2:7">
      <c r="B63" s="13" t="s">
        <v>29</v>
      </c>
      <c r="C63" s="14" t="s">
        <v>48</v>
      </c>
      <c r="D63" s="80">
        <v>0</v>
      </c>
      <c r="E63" s="81">
        <v>0</v>
      </c>
    </row>
    <row r="64" spans="2:7">
      <c r="B64" s="20" t="s">
        <v>31</v>
      </c>
      <c r="C64" s="21" t="s">
        <v>49</v>
      </c>
      <c r="D64" s="377">
        <v>1090981.27</v>
      </c>
      <c r="E64" s="83">
        <f>D64/E21</f>
        <v>0.91719983079852696</v>
      </c>
    </row>
    <row r="65" spans="2:7">
      <c r="B65" s="20" t="s">
        <v>33</v>
      </c>
      <c r="C65" s="21" t="s">
        <v>118</v>
      </c>
      <c r="D65" s="82"/>
      <c r="E65" s="83">
        <v>0</v>
      </c>
    </row>
    <row r="66" spans="2:7">
      <c r="B66" s="20" t="s">
        <v>50</v>
      </c>
      <c r="C66" s="21" t="s">
        <v>51</v>
      </c>
      <c r="D66" s="82">
        <v>0</v>
      </c>
      <c r="E66" s="83">
        <v>0</v>
      </c>
    </row>
    <row r="67" spans="2:7">
      <c r="B67" s="13" t="s">
        <v>52</v>
      </c>
      <c r="C67" s="14" t="s">
        <v>53</v>
      </c>
      <c r="D67" s="80">
        <v>0</v>
      </c>
      <c r="E67" s="81">
        <v>0</v>
      </c>
    </row>
    <row r="68" spans="2:7">
      <c r="B68" s="13" t="s">
        <v>54</v>
      </c>
      <c r="C68" s="14" t="s">
        <v>55</v>
      </c>
      <c r="D68" s="80">
        <v>0</v>
      </c>
      <c r="E68" s="81">
        <v>0</v>
      </c>
    </row>
    <row r="69" spans="2:7">
      <c r="B69" s="13" t="s">
        <v>56</v>
      </c>
      <c r="C69" s="14" t="s">
        <v>57</v>
      </c>
      <c r="D69" s="387">
        <v>98552.13</v>
      </c>
      <c r="E69" s="81">
        <f>D69/E21</f>
        <v>8.2853848591584373E-2</v>
      </c>
    </row>
    <row r="70" spans="2:7">
      <c r="B70" s="115" t="s">
        <v>58</v>
      </c>
      <c r="C70" s="116" t="s">
        <v>59</v>
      </c>
      <c r="D70" s="117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2.61</v>
      </c>
      <c r="E71" s="66">
        <f>D71/E21</f>
        <v>2.1942554141045473E-6</v>
      </c>
      <c r="G71" s="73"/>
    </row>
    <row r="72" spans="2:7" ht="13">
      <c r="B72" s="119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22" t="s">
        <v>62</v>
      </c>
      <c r="C73" s="23" t="s">
        <v>65</v>
      </c>
      <c r="D73" s="24">
        <f>E17</f>
        <v>66.459999999999994</v>
      </c>
      <c r="E73" s="25">
        <f>D73/E21</f>
        <v>5.5873645525436102E-5</v>
      </c>
    </row>
    <row r="74" spans="2:7" ht="13">
      <c r="B74" s="123" t="s">
        <v>64</v>
      </c>
      <c r="C74" s="124" t="s">
        <v>66</v>
      </c>
      <c r="D74" s="125">
        <f>D58-D73+D71+D72</f>
        <v>1189469.55</v>
      </c>
      <c r="E74" s="66">
        <f>E58+E72-E73</f>
        <v>0.99999780574458574</v>
      </c>
    </row>
    <row r="75" spans="2:7">
      <c r="B75" s="13" t="s">
        <v>4</v>
      </c>
      <c r="C75" s="14" t="s">
        <v>67</v>
      </c>
      <c r="D75" s="80">
        <f>D74-D76</f>
        <v>801386.21000000008</v>
      </c>
      <c r="E75" s="81">
        <f>D75/E21</f>
        <v>0.67373411114223147</v>
      </c>
      <c r="G75" s="183"/>
    </row>
    <row r="76" spans="2:7">
      <c r="B76" s="13" t="s">
        <v>6</v>
      </c>
      <c r="C76" s="14" t="s">
        <v>119</v>
      </c>
      <c r="D76" s="80">
        <v>388083.33999999997</v>
      </c>
      <c r="E76" s="81">
        <f>D76/E21</f>
        <v>0.32626588885776853</v>
      </c>
    </row>
    <row r="77" spans="2:7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N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26953125" customWidth="1"/>
    <col min="9" max="9" width="13.26953125" customWidth="1"/>
    <col min="10" max="10" width="13.54296875" customWidth="1"/>
    <col min="11" max="11" width="15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.25" customHeight="1">
      <c r="B6" s="403" t="s">
        <v>145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4235605.2299999995</v>
      </c>
      <c r="E11" s="245">
        <f>SUM(E12:E14)</f>
        <v>3167656.22</v>
      </c>
      <c r="H11" s="73"/>
    </row>
    <row r="12" spans="2:12">
      <c r="B12" s="109" t="s">
        <v>4</v>
      </c>
      <c r="C12" s="208" t="s">
        <v>5</v>
      </c>
      <c r="D12" s="300">
        <f>4033359.8+202245.43</f>
        <v>4235605.2299999995</v>
      </c>
      <c r="E12" s="250">
        <f>3088238.19+79415.45</f>
        <v>3167653.64</v>
      </c>
      <c r="H12" s="73"/>
    </row>
    <row r="13" spans="2:12">
      <c r="B13" s="109" t="s">
        <v>6</v>
      </c>
      <c r="C13" s="208" t="s">
        <v>7</v>
      </c>
      <c r="D13" s="301"/>
      <c r="E13" s="251">
        <v>2.58</v>
      </c>
      <c r="H13" s="73"/>
    </row>
    <row r="14" spans="2:12">
      <c r="B14" s="109" t="s">
        <v>8</v>
      </c>
      <c r="C14" s="208" t="s">
        <v>10</v>
      </c>
      <c r="D14" s="301"/>
      <c r="E14" s="251"/>
      <c r="H14" s="73"/>
    </row>
    <row r="15" spans="2:12">
      <c r="B15" s="109" t="s">
        <v>106</v>
      </c>
      <c r="C15" s="208" t="s">
        <v>11</v>
      </c>
      <c r="D15" s="301"/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4" ht="13">
      <c r="B17" s="8" t="s">
        <v>13</v>
      </c>
      <c r="C17" s="210" t="s">
        <v>65</v>
      </c>
      <c r="D17" s="303">
        <f>D18</f>
        <v>222.99</v>
      </c>
      <c r="E17" s="253">
        <f>E18</f>
        <v>80.260000000000005</v>
      </c>
    </row>
    <row r="18" spans="2:14">
      <c r="B18" s="109" t="s">
        <v>4</v>
      </c>
      <c r="C18" s="208" t="s">
        <v>11</v>
      </c>
      <c r="D18" s="302">
        <v>222.99</v>
      </c>
      <c r="E18" s="252">
        <v>80.260000000000005</v>
      </c>
    </row>
    <row r="19" spans="2:14" ht="15" customHeight="1">
      <c r="B19" s="109" t="s">
        <v>6</v>
      </c>
      <c r="C19" s="208" t="s">
        <v>108</v>
      </c>
      <c r="D19" s="301"/>
      <c r="E19" s="251"/>
    </row>
    <row r="20" spans="2:14" ht="13" thickBot="1">
      <c r="B20" s="111" t="s">
        <v>8</v>
      </c>
      <c r="C20" s="69" t="s">
        <v>14</v>
      </c>
      <c r="D20" s="304"/>
      <c r="E20" s="246"/>
    </row>
    <row r="21" spans="2:14" ht="13.5" thickBot="1">
      <c r="B21" s="412" t="s">
        <v>110</v>
      </c>
      <c r="C21" s="413"/>
      <c r="D21" s="305">
        <f>D11-D17</f>
        <v>4235382.2399999993</v>
      </c>
      <c r="E21" s="151">
        <f>E11-E17</f>
        <v>3167575.9600000004</v>
      </c>
      <c r="F21" s="79"/>
      <c r="G21" s="79"/>
      <c r="H21" s="171"/>
      <c r="J21" s="232"/>
      <c r="K21" s="171"/>
      <c r="N21" s="183"/>
    </row>
    <row r="22" spans="2:14">
      <c r="B22" s="3"/>
      <c r="C22" s="6"/>
      <c r="D22" s="7"/>
      <c r="E22" s="7"/>
      <c r="G22" s="73"/>
    </row>
    <row r="23" spans="2:14" ht="13.5">
      <c r="B23" s="405" t="s">
        <v>104</v>
      </c>
      <c r="C23" s="417"/>
      <c r="D23" s="417"/>
      <c r="E23" s="417"/>
      <c r="G23" s="73"/>
    </row>
    <row r="24" spans="2:14" ht="15.75" customHeight="1" thickBot="1">
      <c r="B24" s="404" t="s">
        <v>105</v>
      </c>
      <c r="C24" s="418"/>
      <c r="D24" s="418"/>
      <c r="E24" s="418"/>
    </row>
    <row r="25" spans="2:14" ht="13.5" thickBot="1">
      <c r="B25" s="91"/>
      <c r="C25" s="4" t="s">
        <v>2</v>
      </c>
      <c r="D25" s="291" t="s">
        <v>246</v>
      </c>
      <c r="E25" s="258" t="s">
        <v>262</v>
      </c>
    </row>
    <row r="26" spans="2:14" ht="13">
      <c r="B26" s="98" t="s">
        <v>15</v>
      </c>
      <c r="C26" s="99" t="s">
        <v>16</v>
      </c>
      <c r="D26" s="359">
        <v>6713037.2700000005</v>
      </c>
      <c r="E26" s="239">
        <f>D21</f>
        <v>4235382.2399999993</v>
      </c>
      <c r="G26" s="76"/>
    </row>
    <row r="27" spans="2:14" ht="13">
      <c r="B27" s="8" t="s">
        <v>17</v>
      </c>
      <c r="C27" s="9" t="s">
        <v>111</v>
      </c>
      <c r="D27" s="360">
        <v>-2242774.94</v>
      </c>
      <c r="E27" s="275">
        <v>-969313.59</v>
      </c>
      <c r="F27" s="73"/>
      <c r="G27" s="255"/>
      <c r="H27" s="255"/>
      <c r="I27" s="73"/>
      <c r="J27" s="76"/>
    </row>
    <row r="28" spans="2:14" ht="13">
      <c r="B28" s="8" t="s">
        <v>18</v>
      </c>
      <c r="C28" s="9" t="s">
        <v>19</v>
      </c>
      <c r="D28" s="360"/>
      <c r="E28" s="276">
        <v>131.6</v>
      </c>
      <c r="F28" s="73"/>
      <c r="G28" s="255"/>
      <c r="H28" s="255"/>
      <c r="I28" s="73"/>
      <c r="J28" s="76"/>
    </row>
    <row r="29" spans="2:14" ht="13">
      <c r="B29" s="107" t="s">
        <v>4</v>
      </c>
      <c r="C29" s="5" t="s">
        <v>20</v>
      </c>
      <c r="D29" s="361"/>
      <c r="E29" s="277">
        <v>131.6</v>
      </c>
      <c r="F29" s="73"/>
      <c r="G29" s="255"/>
      <c r="H29" s="255"/>
      <c r="I29" s="73"/>
      <c r="J29" s="76"/>
    </row>
    <row r="30" spans="2:14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4" ht="13">
      <c r="B31" s="107" t="s">
        <v>8</v>
      </c>
      <c r="C31" s="5" t="s">
        <v>22</v>
      </c>
      <c r="D31" s="361"/>
      <c r="E31" s="277"/>
      <c r="F31" s="73"/>
      <c r="G31" s="255"/>
      <c r="H31" s="255"/>
      <c r="I31" s="73"/>
      <c r="J31" s="76"/>
    </row>
    <row r="32" spans="2:14" ht="13">
      <c r="B32" s="95" t="s">
        <v>23</v>
      </c>
      <c r="C32" s="10" t="s">
        <v>24</v>
      </c>
      <c r="D32" s="360">
        <v>2242774.94</v>
      </c>
      <c r="E32" s="276">
        <v>969445.19</v>
      </c>
      <c r="F32" s="73"/>
      <c r="G32" s="255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2096907.7</v>
      </c>
      <c r="E33" s="277">
        <v>811501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29438.45</v>
      </c>
      <c r="E35" s="277">
        <v>23553.850000000002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94231.64</v>
      </c>
      <c r="E37" s="277">
        <v>67272.55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22197.15</v>
      </c>
      <c r="E39" s="278">
        <v>67117.789999999994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-234880.09</v>
      </c>
      <c r="E40" s="279">
        <v>-98492.69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4235382.24</v>
      </c>
      <c r="E41" s="151">
        <f>E26+E27+E40</f>
        <v>3167575.9599999995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57812.837899999999</v>
      </c>
      <c r="E47" s="309">
        <v>37397.4015</v>
      </c>
      <c r="G47" s="73"/>
    </row>
    <row r="48" spans="2:10">
      <c r="B48" s="126" t="s">
        <v>6</v>
      </c>
      <c r="C48" s="21" t="s">
        <v>41</v>
      </c>
      <c r="D48" s="371">
        <v>37397.4015</v>
      </c>
      <c r="E48" s="380">
        <v>28697.553199999998</v>
      </c>
      <c r="G48" s="162"/>
      <c r="I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116.11669999999999</v>
      </c>
      <c r="E50" s="309">
        <v>113.2534</v>
      </c>
      <c r="G50" s="183"/>
    </row>
    <row r="51" spans="2:7">
      <c r="B51" s="105" t="s">
        <v>6</v>
      </c>
      <c r="C51" s="14" t="s">
        <v>114</v>
      </c>
      <c r="D51" s="371">
        <v>96.997500000000002</v>
      </c>
      <c r="E51" s="281">
        <v>109.6503</v>
      </c>
      <c r="G51" s="183"/>
    </row>
    <row r="52" spans="2:7">
      <c r="B52" s="105" t="s">
        <v>8</v>
      </c>
      <c r="C52" s="14" t="s">
        <v>115</v>
      </c>
      <c r="D52" s="371">
        <v>116.8227</v>
      </c>
      <c r="E52" s="281">
        <v>113.5086</v>
      </c>
    </row>
    <row r="53" spans="2:7" ht="13.5" customHeight="1" thickBot="1">
      <c r="B53" s="106" t="s">
        <v>9</v>
      </c>
      <c r="C53" s="16" t="s">
        <v>41</v>
      </c>
      <c r="D53" s="369">
        <v>113.2534</v>
      </c>
      <c r="E53" s="280">
        <v>110.3779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3167653.64</v>
      </c>
      <c r="E58" s="30">
        <f>D58/E21</f>
        <v>1.0000245234845133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377">
        <v>3088238.19</v>
      </c>
      <c r="E64" s="83">
        <f>D64/E21</f>
        <v>0.97495315945004191</v>
      </c>
    </row>
    <row r="65" spans="2:7">
      <c r="B65" s="126" t="s">
        <v>33</v>
      </c>
      <c r="C65" s="21" t="s">
        <v>118</v>
      </c>
      <c r="D65" s="82">
        <v>0</v>
      </c>
      <c r="E65" s="83">
        <v>0</v>
      </c>
      <c r="G65" s="73"/>
    </row>
    <row r="66" spans="2:7">
      <c r="B66" s="126" t="s">
        <v>50</v>
      </c>
      <c r="C66" s="21" t="s">
        <v>51</v>
      </c>
      <c r="D66" s="82">
        <v>0</v>
      </c>
      <c r="E66" s="83">
        <v>0</v>
      </c>
    </row>
    <row r="67" spans="2:7">
      <c r="B67" s="105" t="s">
        <v>52</v>
      </c>
      <c r="C67" s="14" t="s">
        <v>53</v>
      </c>
      <c r="D67" s="80">
        <v>0</v>
      </c>
      <c r="E67" s="81">
        <v>0</v>
      </c>
    </row>
    <row r="68" spans="2:7">
      <c r="B68" s="105" t="s">
        <v>54</v>
      </c>
      <c r="C68" s="14" t="s">
        <v>55</v>
      </c>
      <c r="D68" s="80">
        <v>0</v>
      </c>
      <c r="E68" s="81">
        <v>0</v>
      </c>
    </row>
    <row r="69" spans="2:7">
      <c r="B69" s="105" t="s">
        <v>56</v>
      </c>
      <c r="C69" s="14" t="s">
        <v>57</v>
      </c>
      <c r="D69" s="387">
        <v>79415.45</v>
      </c>
      <c r="E69" s="81">
        <f>D69/E21</f>
        <v>2.5071364034471327E-2</v>
      </c>
    </row>
    <row r="70" spans="2:7">
      <c r="B70" s="132" t="s">
        <v>58</v>
      </c>
      <c r="C70" s="116" t="s">
        <v>59</v>
      </c>
      <c r="D70" s="247">
        <v>0</v>
      </c>
      <c r="E70" s="118">
        <v>0</v>
      </c>
    </row>
    <row r="71" spans="2:7" ht="13">
      <c r="B71" s="133" t="s">
        <v>23</v>
      </c>
      <c r="C71" s="124" t="s">
        <v>61</v>
      </c>
      <c r="D71" s="125">
        <f>E13</f>
        <v>2.58</v>
      </c>
      <c r="E71" s="66">
        <f>D71/E21</f>
        <v>8.1450296143805806E-7</v>
      </c>
    </row>
    <row r="72" spans="2:7" ht="13">
      <c r="B72" s="134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135" t="s">
        <v>62</v>
      </c>
      <c r="C73" s="23" t="s">
        <v>65</v>
      </c>
      <c r="D73" s="24">
        <f>E17</f>
        <v>80.260000000000005</v>
      </c>
      <c r="E73" s="25">
        <f>D73/E21</f>
        <v>2.5337987474813387E-5</v>
      </c>
    </row>
    <row r="74" spans="2:7" ht="13">
      <c r="B74" s="133" t="s">
        <v>64</v>
      </c>
      <c r="C74" s="124" t="s">
        <v>66</v>
      </c>
      <c r="D74" s="125">
        <f>D58-D73+D71+D72</f>
        <v>3167575.9600000004</v>
      </c>
      <c r="E74" s="66">
        <f>E58+E72-E73+E71</f>
        <v>0.99999999999999989</v>
      </c>
    </row>
    <row r="75" spans="2:7">
      <c r="B75" s="105" t="s">
        <v>4</v>
      </c>
      <c r="C75" s="14" t="s">
        <v>67</v>
      </c>
      <c r="D75" s="80">
        <f>D74</f>
        <v>3167575.9600000004</v>
      </c>
      <c r="E75" s="81">
        <f>D75/E21</f>
        <v>1</v>
      </c>
    </row>
    <row r="76" spans="2:7">
      <c r="B76" s="105" t="s">
        <v>6</v>
      </c>
      <c r="C76" s="14" t="s">
        <v>119</v>
      </c>
      <c r="D76" s="80">
        <v>0</v>
      </c>
      <c r="E76" s="81">
        <f>D76/E21</f>
        <v>0</v>
      </c>
    </row>
    <row r="77" spans="2:7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81"/>
  <sheetViews>
    <sheetView zoomScale="80" zoomScaleNormal="80" workbookViewId="0">
      <selection activeCell="G21" sqref="G21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8" width="17.81640625" customWidth="1"/>
    <col min="9" max="9" width="13.26953125" customWidth="1"/>
    <col min="10" max="10" width="16.81640625" customWidth="1"/>
    <col min="11" max="11" width="18.7265625" customWidth="1"/>
    <col min="12" max="12" width="15.2695312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14">
      <c r="B5" s="402" t="s">
        <v>1</v>
      </c>
      <c r="C5" s="402"/>
      <c r="D5" s="402"/>
      <c r="E5" s="402"/>
    </row>
    <row r="6" spans="2:12" ht="14">
      <c r="B6" s="403" t="s">
        <v>85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  <c r="G9" s="211"/>
    </row>
    <row r="10" spans="2:12" ht="13.5" thickBot="1">
      <c r="B10" s="297"/>
      <c r="C10" s="227" t="s">
        <v>2</v>
      </c>
      <c r="D10" s="269" t="s">
        <v>246</v>
      </c>
      <c r="E10" s="268" t="s">
        <v>262</v>
      </c>
      <c r="G10" s="73"/>
    </row>
    <row r="11" spans="2:12" ht="13">
      <c r="B11" s="93" t="s">
        <v>3</v>
      </c>
      <c r="C11" s="207" t="s">
        <v>109</v>
      </c>
      <c r="D11" s="299">
        <v>194154936.51000002</v>
      </c>
      <c r="E11" s="245">
        <f>SUM(E12:E14)</f>
        <v>198086216.81000003</v>
      </c>
    </row>
    <row r="12" spans="2:12">
      <c r="B12" s="184" t="s">
        <v>4</v>
      </c>
      <c r="C12" s="248" t="s">
        <v>5</v>
      </c>
      <c r="D12" s="300">
        <v>193543748.86000001</v>
      </c>
      <c r="E12" s="250">
        <f>203247118.16+908823.4-6136294.32</f>
        <v>198019647.24000001</v>
      </c>
      <c r="G12" s="73"/>
      <c r="H12" s="73"/>
    </row>
    <row r="13" spans="2:12">
      <c r="B13" s="184" t="s">
        <v>6</v>
      </c>
      <c r="C13" s="248" t="s">
        <v>7</v>
      </c>
      <c r="D13" s="301"/>
      <c r="E13" s="251">
        <v>17.3</v>
      </c>
      <c r="H13" s="73"/>
    </row>
    <row r="14" spans="2:12">
      <c r="B14" s="184" t="s">
        <v>8</v>
      </c>
      <c r="C14" s="248" t="s">
        <v>10</v>
      </c>
      <c r="D14" s="301">
        <v>611187.65</v>
      </c>
      <c r="E14" s="251">
        <f>E15</f>
        <v>66552.27</v>
      </c>
    </row>
    <row r="15" spans="2:12">
      <c r="B15" s="184" t="s">
        <v>106</v>
      </c>
      <c r="C15" s="248" t="s">
        <v>11</v>
      </c>
      <c r="D15" s="301">
        <v>611187.65</v>
      </c>
      <c r="E15" s="251">
        <v>66552.27</v>
      </c>
    </row>
    <row r="16" spans="2:12">
      <c r="B16" s="187" t="s">
        <v>107</v>
      </c>
      <c r="C16" s="249" t="s">
        <v>12</v>
      </c>
      <c r="D16" s="302"/>
      <c r="E16" s="252"/>
    </row>
    <row r="17" spans="2:11" ht="13">
      <c r="B17" s="8" t="s">
        <v>13</v>
      </c>
      <c r="C17" s="210" t="s">
        <v>65</v>
      </c>
      <c r="D17" s="303">
        <v>250914.4</v>
      </c>
      <c r="E17" s="253">
        <f>E18</f>
        <v>259662.68</v>
      </c>
    </row>
    <row r="18" spans="2:11">
      <c r="B18" s="184" t="s">
        <v>4</v>
      </c>
      <c r="C18" s="248" t="s">
        <v>11</v>
      </c>
      <c r="D18" s="302">
        <v>250914.4</v>
      </c>
      <c r="E18" s="252">
        <v>259662.68</v>
      </c>
    </row>
    <row r="19" spans="2:11" ht="15" customHeight="1">
      <c r="B19" s="184" t="s">
        <v>6</v>
      </c>
      <c r="C19" s="248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193904022.11000001</v>
      </c>
      <c r="E21" s="151">
        <f>E11-E17</f>
        <v>197826554.13000003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97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170248622.74000001</v>
      </c>
      <c r="E26" s="239">
        <f>D21</f>
        <v>193904022.11000001</v>
      </c>
      <c r="I26" s="163"/>
    </row>
    <row r="27" spans="2:11" ht="13">
      <c r="B27" s="8" t="s">
        <v>17</v>
      </c>
      <c r="C27" s="9" t="s">
        <v>111</v>
      </c>
      <c r="D27" s="360">
        <v>-5870894.6900000051</v>
      </c>
      <c r="E27" s="275">
        <v>1070072.05</v>
      </c>
      <c r="F27" s="73"/>
      <c r="G27" s="255"/>
      <c r="H27" s="255"/>
      <c r="I27" s="219"/>
    </row>
    <row r="28" spans="2:11" ht="13">
      <c r="B28" s="8" t="s">
        <v>18</v>
      </c>
      <c r="C28" s="9" t="s">
        <v>19</v>
      </c>
      <c r="D28" s="360">
        <v>21200439.889999997</v>
      </c>
      <c r="E28" s="276">
        <v>24671837.710000001</v>
      </c>
      <c r="F28" s="73"/>
      <c r="G28" s="255"/>
      <c r="H28" s="255"/>
      <c r="I28" s="219"/>
    </row>
    <row r="29" spans="2:11">
      <c r="B29" s="192" t="s">
        <v>4</v>
      </c>
      <c r="C29" s="185" t="s">
        <v>20</v>
      </c>
      <c r="D29" s="361">
        <v>19759571.960000001</v>
      </c>
      <c r="E29" s="277">
        <v>20848230.129999999</v>
      </c>
      <c r="F29" s="73"/>
      <c r="G29" s="255"/>
      <c r="H29" s="255"/>
      <c r="I29" s="219"/>
    </row>
    <row r="30" spans="2:11">
      <c r="B30" s="192" t="s">
        <v>6</v>
      </c>
      <c r="C30" s="185" t="s">
        <v>21</v>
      </c>
      <c r="D30" s="361"/>
      <c r="E30" s="277">
        <v>0</v>
      </c>
      <c r="F30" s="73"/>
      <c r="G30" s="255"/>
      <c r="H30" s="255"/>
      <c r="I30" s="219"/>
    </row>
    <row r="31" spans="2:11">
      <c r="B31" s="192" t="s">
        <v>8</v>
      </c>
      <c r="C31" s="185" t="s">
        <v>22</v>
      </c>
      <c r="D31" s="361">
        <v>1440867.9300000002</v>
      </c>
      <c r="E31" s="277">
        <v>3823607.58</v>
      </c>
      <c r="F31" s="73"/>
      <c r="G31" s="255"/>
      <c r="H31" s="255"/>
      <c r="I31" s="219"/>
    </row>
    <row r="32" spans="2:11" ht="13">
      <c r="B32" s="95" t="s">
        <v>23</v>
      </c>
      <c r="C32" s="10" t="s">
        <v>24</v>
      </c>
      <c r="D32" s="360">
        <v>27071334.580000002</v>
      </c>
      <c r="E32" s="276">
        <v>23601765.66</v>
      </c>
      <c r="F32" s="73"/>
      <c r="G32" s="255"/>
      <c r="H32" s="255"/>
      <c r="I32" s="219"/>
    </row>
    <row r="33" spans="2:10">
      <c r="B33" s="192" t="s">
        <v>4</v>
      </c>
      <c r="C33" s="185" t="s">
        <v>25</v>
      </c>
      <c r="D33" s="361">
        <v>18481960.57</v>
      </c>
      <c r="E33" s="277">
        <v>18410832.25</v>
      </c>
      <c r="F33" s="73"/>
      <c r="G33" s="255"/>
      <c r="H33" s="255"/>
      <c r="I33" s="219"/>
    </row>
    <row r="34" spans="2:10">
      <c r="B34" s="192" t="s">
        <v>6</v>
      </c>
      <c r="C34" s="185" t="s">
        <v>26</v>
      </c>
      <c r="D34" s="361"/>
      <c r="E34" s="277">
        <v>0</v>
      </c>
      <c r="F34" s="73"/>
      <c r="G34" s="255"/>
      <c r="H34" s="255"/>
      <c r="I34" s="219"/>
    </row>
    <row r="35" spans="2:10">
      <c r="B35" s="192" t="s">
        <v>8</v>
      </c>
      <c r="C35" s="185" t="s">
        <v>27</v>
      </c>
      <c r="D35" s="361">
        <v>3735510.42</v>
      </c>
      <c r="E35" s="277">
        <v>3517885.98</v>
      </c>
      <c r="F35" s="73"/>
      <c r="G35" s="255"/>
      <c r="H35" s="255"/>
      <c r="I35" s="219"/>
    </row>
    <row r="36" spans="2:10">
      <c r="B36" s="192" t="s">
        <v>9</v>
      </c>
      <c r="C36" s="185" t="s">
        <v>28</v>
      </c>
      <c r="D36" s="361"/>
      <c r="E36" s="277">
        <v>0</v>
      </c>
      <c r="F36" s="73"/>
      <c r="G36" s="255"/>
      <c r="H36" s="255"/>
      <c r="I36" s="219"/>
    </row>
    <row r="37" spans="2:10" ht="25">
      <c r="B37" s="192" t="s">
        <v>29</v>
      </c>
      <c r="C37" s="185" t="s">
        <v>30</v>
      </c>
      <c r="D37" s="361"/>
      <c r="E37" s="277">
        <v>0</v>
      </c>
      <c r="F37" s="73"/>
      <c r="G37" s="255"/>
      <c r="H37" s="255"/>
      <c r="I37" s="219"/>
    </row>
    <row r="38" spans="2:10">
      <c r="B38" s="192" t="s">
        <v>31</v>
      </c>
      <c r="C38" s="185" t="s">
        <v>32</v>
      </c>
      <c r="D38" s="361"/>
      <c r="E38" s="277">
        <v>0</v>
      </c>
      <c r="F38" s="73"/>
      <c r="G38" s="255"/>
      <c r="H38" s="255"/>
      <c r="I38" s="219"/>
    </row>
    <row r="39" spans="2:10">
      <c r="B39" s="193" t="s">
        <v>33</v>
      </c>
      <c r="C39" s="194" t="s">
        <v>34</v>
      </c>
      <c r="D39" s="362">
        <v>4853863.59</v>
      </c>
      <c r="E39" s="278">
        <v>1673047.4300000002</v>
      </c>
      <c r="F39" s="73"/>
      <c r="G39" s="255"/>
      <c r="H39" s="255"/>
      <c r="I39" s="219"/>
    </row>
    <row r="40" spans="2:10" ht="13.5" thickBot="1">
      <c r="B40" s="100" t="s">
        <v>35</v>
      </c>
      <c r="C40" s="101" t="s">
        <v>36</v>
      </c>
      <c r="D40" s="363">
        <v>29526294.059999999</v>
      </c>
      <c r="E40" s="279">
        <v>2852459.97</v>
      </c>
      <c r="I40" s="163"/>
    </row>
    <row r="41" spans="2:10" ht="13.5" thickBot="1">
      <c r="B41" s="102" t="s">
        <v>37</v>
      </c>
      <c r="C41" s="103" t="s">
        <v>38</v>
      </c>
      <c r="D41" s="364">
        <v>193904022.11000001</v>
      </c>
      <c r="E41" s="151">
        <f>E26+E27+E40</f>
        <v>197826554.13000003</v>
      </c>
      <c r="F41" s="79"/>
      <c r="G41" s="67"/>
      <c r="I41" s="163"/>
    </row>
    <row r="42" spans="2:10" ht="13">
      <c r="B42" s="96"/>
      <c r="C42" s="96"/>
      <c r="D42" s="97"/>
      <c r="E42" s="97"/>
      <c r="F42" s="79"/>
    </row>
    <row r="43" spans="2:10" ht="13.5">
      <c r="B43" s="406" t="s">
        <v>60</v>
      </c>
      <c r="C43" s="407"/>
      <c r="D43" s="407"/>
      <c r="E43" s="407"/>
    </row>
    <row r="44" spans="2:10" ht="15.75" customHeight="1" thickBot="1">
      <c r="B44" s="404" t="s">
        <v>121</v>
      </c>
      <c r="C44" s="408"/>
      <c r="D44" s="408"/>
      <c r="E44" s="408"/>
    </row>
    <row r="45" spans="2:10" ht="13.5" thickBot="1">
      <c r="B45" s="284"/>
      <c r="C45" s="28" t="s">
        <v>39</v>
      </c>
      <c r="D45" s="291" t="s">
        <v>246</v>
      </c>
      <c r="E45" s="258" t="s">
        <v>262</v>
      </c>
    </row>
    <row r="46" spans="2:10" ht="13">
      <c r="B46" s="12" t="s">
        <v>18</v>
      </c>
      <c r="C46" s="29" t="s">
        <v>112</v>
      </c>
      <c r="D46" s="104"/>
      <c r="E46" s="27"/>
    </row>
    <row r="47" spans="2:10">
      <c r="B47" s="195" t="s">
        <v>4</v>
      </c>
      <c r="C47" s="196" t="s">
        <v>40</v>
      </c>
      <c r="D47" s="365">
        <v>8775867.4966000002</v>
      </c>
      <c r="E47" s="366">
        <v>8524112.8409000002</v>
      </c>
      <c r="G47" s="155"/>
    </row>
    <row r="48" spans="2:10">
      <c r="B48" s="197" t="s">
        <v>6</v>
      </c>
      <c r="C48" s="198" t="s">
        <v>41</v>
      </c>
      <c r="D48" s="365">
        <v>8524112.8409000002</v>
      </c>
      <c r="E48" s="366">
        <v>8574667.7223000005</v>
      </c>
      <c r="J48" s="162"/>
    </row>
    <row r="49" spans="2:7" ht="13">
      <c r="B49" s="123" t="s">
        <v>23</v>
      </c>
      <c r="C49" s="127" t="s">
        <v>113</v>
      </c>
      <c r="D49" s="367"/>
      <c r="E49" s="306"/>
    </row>
    <row r="50" spans="2:7">
      <c r="B50" s="195" t="s">
        <v>4</v>
      </c>
      <c r="C50" s="196" t="s">
        <v>40</v>
      </c>
      <c r="D50" s="365">
        <v>19.3996</v>
      </c>
      <c r="E50" s="307">
        <v>22.747700000000002</v>
      </c>
      <c r="G50" s="183"/>
    </row>
    <row r="51" spans="2:7">
      <c r="B51" s="195" t="s">
        <v>6</v>
      </c>
      <c r="C51" s="196" t="s">
        <v>114</v>
      </c>
      <c r="D51" s="365">
        <v>17.285799999999998</v>
      </c>
      <c r="E51" s="308">
        <v>22.747699999999998</v>
      </c>
      <c r="G51" s="183"/>
    </row>
    <row r="52" spans="2:7">
      <c r="B52" s="195" t="s">
        <v>8</v>
      </c>
      <c r="C52" s="196" t="s">
        <v>115</v>
      </c>
      <c r="D52" s="365">
        <v>22.788699999999999</v>
      </c>
      <c r="E52" s="368">
        <v>24.802299999999999</v>
      </c>
    </row>
    <row r="53" spans="2:7" ht="13" thickBot="1">
      <c r="B53" s="199" t="s">
        <v>9</v>
      </c>
      <c r="C53" s="200" t="s">
        <v>41</v>
      </c>
      <c r="D53" s="369">
        <v>22.747700000000002</v>
      </c>
      <c r="E53" s="280">
        <v>23.071000000000002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D64+D69</f>
        <v>198019647.24000001</v>
      </c>
      <c r="E58" s="30">
        <f>D58/E21</f>
        <v>1.0009760727565071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5">
      <c r="B60" s="13" t="s">
        <v>6</v>
      </c>
      <c r="C60" s="14" t="s">
        <v>45</v>
      </c>
      <c r="D60" s="80">
        <v>0</v>
      </c>
      <c r="E60" s="81">
        <v>0</v>
      </c>
    </row>
    <row r="61" spans="2:7">
      <c r="B61" s="13" t="s">
        <v>8</v>
      </c>
      <c r="C61" s="14" t="s">
        <v>46</v>
      </c>
      <c r="D61" s="80">
        <v>0</v>
      </c>
      <c r="E61" s="81">
        <v>0</v>
      </c>
    </row>
    <row r="62" spans="2:7">
      <c r="B62" s="13" t="s">
        <v>9</v>
      </c>
      <c r="C62" s="14" t="s">
        <v>47</v>
      </c>
      <c r="D62" s="80">
        <v>0</v>
      </c>
      <c r="E62" s="81">
        <v>0</v>
      </c>
    </row>
    <row r="63" spans="2:7">
      <c r="B63" s="13" t="s">
        <v>29</v>
      </c>
      <c r="C63" s="14" t="s">
        <v>48</v>
      </c>
      <c r="D63" s="80">
        <v>0</v>
      </c>
      <c r="E63" s="81">
        <v>0</v>
      </c>
    </row>
    <row r="64" spans="2:7">
      <c r="B64" s="20" t="s">
        <v>31</v>
      </c>
      <c r="C64" s="21" t="s">
        <v>49</v>
      </c>
      <c r="D64" s="82">
        <f>203247118.16-6136294.32</f>
        <v>197110823.84</v>
      </c>
      <c r="E64" s="83">
        <f>D64/E21</f>
        <v>0.99638203125385438</v>
      </c>
      <c r="G64" s="73"/>
    </row>
    <row r="65" spans="2:7">
      <c r="B65" s="20" t="s">
        <v>33</v>
      </c>
      <c r="C65" s="21" t="s">
        <v>118</v>
      </c>
      <c r="D65" s="82">
        <v>0</v>
      </c>
      <c r="E65" s="83">
        <v>0</v>
      </c>
      <c r="G65" s="73"/>
    </row>
    <row r="66" spans="2:7">
      <c r="B66" s="20" t="s">
        <v>50</v>
      </c>
      <c r="C66" s="21" t="s">
        <v>51</v>
      </c>
      <c r="D66" s="82">
        <v>0</v>
      </c>
      <c r="E66" s="83">
        <v>0</v>
      </c>
    </row>
    <row r="67" spans="2:7">
      <c r="B67" s="13" t="s">
        <v>52</v>
      </c>
      <c r="C67" s="14" t="s">
        <v>53</v>
      </c>
      <c r="D67" s="80">
        <v>0</v>
      </c>
      <c r="E67" s="81">
        <v>0</v>
      </c>
    </row>
    <row r="68" spans="2:7">
      <c r="B68" s="13" t="s">
        <v>54</v>
      </c>
      <c r="C68" s="14" t="s">
        <v>55</v>
      </c>
      <c r="D68" s="80">
        <v>0</v>
      </c>
      <c r="E68" s="81">
        <v>0</v>
      </c>
    </row>
    <row r="69" spans="2:7">
      <c r="B69" s="13" t="s">
        <v>56</v>
      </c>
      <c r="C69" s="14" t="s">
        <v>57</v>
      </c>
      <c r="D69" s="370">
        <v>908823.4</v>
      </c>
      <c r="E69" s="81">
        <f>D69/E21</f>
        <v>4.5940415026527459E-3</v>
      </c>
    </row>
    <row r="70" spans="2:7">
      <c r="B70" s="115" t="s">
        <v>58</v>
      </c>
      <c r="C70" s="116" t="s">
        <v>59</v>
      </c>
      <c r="D70" s="117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17.3</v>
      </c>
      <c r="E71" s="66">
        <v>0</v>
      </c>
    </row>
    <row r="72" spans="2:7" ht="13">
      <c r="B72" s="119" t="s">
        <v>60</v>
      </c>
      <c r="C72" s="120" t="s">
        <v>63</v>
      </c>
      <c r="D72" s="121">
        <f>E14</f>
        <v>66552.27</v>
      </c>
      <c r="E72" s="122">
        <f>D72/E21</f>
        <v>3.3641727367027659E-4</v>
      </c>
    </row>
    <row r="73" spans="2:7" ht="13">
      <c r="B73" s="22" t="s">
        <v>62</v>
      </c>
      <c r="C73" s="23" t="s">
        <v>65</v>
      </c>
      <c r="D73" s="24">
        <f>E17</f>
        <v>259662.68</v>
      </c>
      <c r="E73" s="25">
        <f>D73/E21</f>
        <v>1.3125774805204608E-3</v>
      </c>
    </row>
    <row r="74" spans="2:7" ht="13">
      <c r="B74" s="123" t="s">
        <v>64</v>
      </c>
      <c r="C74" s="124" t="s">
        <v>66</v>
      </c>
      <c r="D74" s="125">
        <f>D58+D71+D72-D73</f>
        <v>197826554.13000003</v>
      </c>
      <c r="E74" s="66">
        <f>E58+E72-E73</f>
        <v>0.99999991254965681</v>
      </c>
    </row>
    <row r="75" spans="2:7">
      <c r="B75" s="13" t="s">
        <v>4</v>
      </c>
      <c r="C75" s="14" t="s">
        <v>67</v>
      </c>
      <c r="D75" s="80">
        <f>D74</f>
        <v>197826554.13000003</v>
      </c>
      <c r="E75" s="81">
        <f>E74</f>
        <v>0.99999991254965681</v>
      </c>
    </row>
    <row r="76" spans="2:7">
      <c r="B76" s="13" t="s">
        <v>6</v>
      </c>
      <c r="C76" s="14" t="s">
        <v>119</v>
      </c>
      <c r="D76" s="80">
        <v>0</v>
      </c>
      <c r="E76" s="81">
        <v>0</v>
      </c>
    </row>
    <row r="77" spans="2:7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  <pageSetup paperSize="9" orientation="portrait" horizontalDpi="90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L81"/>
  <sheetViews>
    <sheetView zoomScale="80" zoomScaleNormal="80" workbookViewId="0">
      <selection activeCell="A18" sqref="A18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1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146</v>
      </c>
      <c r="C6" s="403"/>
      <c r="D6" s="403"/>
      <c r="E6" s="403"/>
    </row>
    <row r="7" spans="2:12" ht="14">
      <c r="B7" s="153"/>
      <c r="C7" s="153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54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73532.95</v>
      </c>
      <c r="E11" s="245">
        <f>SUM(E12:E14)</f>
        <v>71457.490000000005</v>
      </c>
      <c r="G11" s="183"/>
      <c r="H11" s="73"/>
    </row>
    <row r="12" spans="2:12">
      <c r="B12" s="109" t="s">
        <v>4</v>
      </c>
      <c r="C12" s="208" t="s">
        <v>5</v>
      </c>
      <c r="D12" s="300">
        <f>68955.72+4577.23</f>
        <v>73532.95</v>
      </c>
      <c r="E12" s="250">
        <f>67366.3+4091.19</f>
        <v>71457.490000000005</v>
      </c>
      <c r="H12" s="73"/>
    </row>
    <row r="13" spans="2:12">
      <c r="B13" s="109" t="s">
        <v>6</v>
      </c>
      <c r="C13" s="208" t="s">
        <v>7</v>
      </c>
      <c r="D13" s="301"/>
      <c r="E13" s="251"/>
      <c r="H13" s="73"/>
    </row>
    <row r="14" spans="2:12">
      <c r="B14" s="109" t="s">
        <v>8</v>
      </c>
      <c r="C14" s="208" t="s">
        <v>10</v>
      </c>
      <c r="D14" s="301"/>
      <c r="E14" s="251"/>
      <c r="H14" s="73"/>
    </row>
    <row r="15" spans="2:12">
      <c r="B15" s="109" t="s">
        <v>106</v>
      </c>
      <c r="C15" s="208" t="s">
        <v>11</v>
      </c>
      <c r="D15" s="301"/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/>
      <c r="E17" s="253"/>
    </row>
    <row r="18" spans="2:11">
      <c r="B18" s="109" t="s">
        <v>4</v>
      </c>
      <c r="C18" s="208" t="s">
        <v>11</v>
      </c>
      <c r="D18" s="302"/>
      <c r="E18" s="252"/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73532.95</v>
      </c>
      <c r="E21" s="151">
        <f>E11-E17</f>
        <v>71457.490000000005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54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74478.210000000006</v>
      </c>
      <c r="E26" s="239">
        <f>D21</f>
        <v>73532.95</v>
      </c>
      <c r="G26" s="76"/>
    </row>
    <row r="27" spans="2:11" ht="13">
      <c r="B27" s="8" t="s">
        <v>17</v>
      </c>
      <c r="C27" s="9" t="s">
        <v>111</v>
      </c>
      <c r="D27" s="360">
        <v>-1993.97</v>
      </c>
      <c r="E27" s="275">
        <v>-487.13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>
        <v>1562.33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>
        <v>1562.33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1993.97</v>
      </c>
      <c r="E32" s="276">
        <v>2049.46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/>
      <c r="E33" s="277"/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739.02</v>
      </c>
      <c r="E35" s="277">
        <v>795.22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1254.95</v>
      </c>
      <c r="E37" s="277">
        <v>1254.24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/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1048.71</v>
      </c>
      <c r="E40" s="279">
        <v>-1588.33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73532.950000000012</v>
      </c>
      <c r="E41" s="151">
        <f>E26+E27+E40</f>
        <v>71457.489999999991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54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687.54060000000004</v>
      </c>
      <c r="E47" s="309">
        <v>669.14580000000001</v>
      </c>
      <c r="G47" s="73"/>
    </row>
    <row r="48" spans="2:10">
      <c r="B48" s="126" t="s">
        <v>6</v>
      </c>
      <c r="C48" s="21" t="s">
        <v>41</v>
      </c>
      <c r="D48" s="371">
        <v>669.14580000000001</v>
      </c>
      <c r="E48" s="380">
        <v>664.63980000000004</v>
      </c>
      <c r="G48" s="162"/>
      <c r="H48" s="183"/>
    </row>
    <row r="49" spans="2:8" ht="13">
      <c r="B49" s="123" t="s">
        <v>23</v>
      </c>
      <c r="C49" s="127" t="s">
        <v>113</v>
      </c>
      <c r="D49" s="373"/>
      <c r="E49" s="128"/>
    </row>
    <row r="50" spans="2:8">
      <c r="B50" s="105" t="s">
        <v>4</v>
      </c>
      <c r="C50" s="14" t="s">
        <v>40</v>
      </c>
      <c r="D50" s="371">
        <v>108.32550000000001</v>
      </c>
      <c r="E50" s="309">
        <v>109.8908</v>
      </c>
      <c r="G50" s="183"/>
    </row>
    <row r="51" spans="2:8">
      <c r="B51" s="105" t="s">
        <v>6</v>
      </c>
      <c r="C51" s="14" t="s">
        <v>114</v>
      </c>
      <c r="D51" s="371">
        <v>106.20189999999999</v>
      </c>
      <c r="E51" s="281">
        <v>107.51309999999999</v>
      </c>
      <c r="G51" s="183"/>
    </row>
    <row r="52" spans="2:8">
      <c r="B52" s="105" t="s">
        <v>8</v>
      </c>
      <c r="C52" s="14" t="s">
        <v>115</v>
      </c>
      <c r="D52" s="371">
        <v>110.0001</v>
      </c>
      <c r="E52" s="281">
        <v>110.6806</v>
      </c>
    </row>
    <row r="53" spans="2:8" ht="13" thickBot="1">
      <c r="B53" s="106" t="s">
        <v>9</v>
      </c>
      <c r="C53" s="16" t="s">
        <v>41</v>
      </c>
      <c r="D53" s="369">
        <v>109.8908</v>
      </c>
      <c r="E53" s="280">
        <v>107.51309999999999</v>
      </c>
      <c r="G53" s="155"/>
    </row>
    <row r="54" spans="2:8">
      <c r="B54" s="112"/>
      <c r="C54" s="113"/>
      <c r="D54" s="114"/>
      <c r="E54" s="114"/>
      <c r="H54" s="242"/>
    </row>
    <row r="55" spans="2:8" ht="13.5">
      <c r="B55" s="406" t="s">
        <v>62</v>
      </c>
      <c r="C55" s="416"/>
      <c r="D55" s="416"/>
      <c r="E55" s="416"/>
    </row>
    <row r="56" spans="2:8" ht="14" thickBot="1">
      <c r="B56" s="404" t="s">
        <v>116</v>
      </c>
      <c r="C56" s="411"/>
      <c r="D56" s="411"/>
      <c r="E56" s="411"/>
    </row>
    <row r="57" spans="2:8" ht="21.5" thickBot="1">
      <c r="B57" s="399" t="s">
        <v>42</v>
      </c>
      <c r="C57" s="400"/>
      <c r="D57" s="17" t="s">
        <v>122</v>
      </c>
      <c r="E57" s="18" t="s">
        <v>117</v>
      </c>
    </row>
    <row r="58" spans="2:8" ht="13">
      <c r="B58" s="19" t="s">
        <v>18</v>
      </c>
      <c r="C58" s="129" t="s">
        <v>43</v>
      </c>
      <c r="D58" s="130">
        <f>SUM(D59:D70)</f>
        <v>71457.490000000005</v>
      </c>
      <c r="E58" s="30">
        <f>D58/E21</f>
        <v>1</v>
      </c>
    </row>
    <row r="59" spans="2:8" ht="25">
      <c r="B59" s="126" t="s">
        <v>4</v>
      </c>
      <c r="C59" s="198" t="s">
        <v>44</v>
      </c>
      <c r="D59" s="82">
        <v>0</v>
      </c>
      <c r="E59" s="83">
        <v>0</v>
      </c>
    </row>
    <row r="60" spans="2:8" ht="25">
      <c r="B60" s="105" t="s">
        <v>6</v>
      </c>
      <c r="C60" s="196" t="s">
        <v>45</v>
      </c>
      <c r="D60" s="80">
        <v>0</v>
      </c>
      <c r="E60" s="81">
        <v>0</v>
      </c>
    </row>
    <row r="61" spans="2:8">
      <c r="B61" s="105" t="s">
        <v>8</v>
      </c>
      <c r="C61" s="196" t="s">
        <v>46</v>
      </c>
      <c r="D61" s="80">
        <v>0</v>
      </c>
      <c r="E61" s="81">
        <v>0</v>
      </c>
    </row>
    <row r="62" spans="2:8">
      <c r="B62" s="105" t="s">
        <v>9</v>
      </c>
      <c r="C62" s="196" t="s">
        <v>47</v>
      </c>
      <c r="D62" s="80">
        <v>0</v>
      </c>
      <c r="E62" s="81">
        <v>0</v>
      </c>
    </row>
    <row r="63" spans="2:8">
      <c r="B63" s="105" t="s">
        <v>29</v>
      </c>
      <c r="C63" s="196" t="s">
        <v>48</v>
      </c>
      <c r="D63" s="80">
        <v>0</v>
      </c>
      <c r="E63" s="81">
        <v>0</v>
      </c>
      <c r="G63" s="67"/>
    </row>
    <row r="64" spans="2:8">
      <c r="B64" s="126" t="s">
        <v>31</v>
      </c>
      <c r="C64" s="198" t="s">
        <v>49</v>
      </c>
      <c r="D64" s="377">
        <v>67366.3</v>
      </c>
      <c r="E64" s="83">
        <f>D64/E21</f>
        <v>0.94274651964405687</v>
      </c>
    </row>
    <row r="65" spans="2:7">
      <c r="B65" s="126" t="s">
        <v>33</v>
      </c>
      <c r="C65" s="198" t="s">
        <v>118</v>
      </c>
      <c r="D65" s="82">
        <v>0</v>
      </c>
      <c r="E65" s="83">
        <v>0</v>
      </c>
      <c r="G65" s="73"/>
    </row>
    <row r="66" spans="2:7">
      <c r="B66" s="126" t="s">
        <v>50</v>
      </c>
      <c r="C66" s="198" t="s">
        <v>51</v>
      </c>
      <c r="D66" s="82">
        <v>0</v>
      </c>
      <c r="E66" s="83">
        <v>0</v>
      </c>
    </row>
    <row r="67" spans="2:7">
      <c r="B67" s="105" t="s">
        <v>52</v>
      </c>
      <c r="C67" s="196" t="s">
        <v>53</v>
      </c>
      <c r="D67" s="80">
        <v>0</v>
      </c>
      <c r="E67" s="81">
        <v>0</v>
      </c>
    </row>
    <row r="68" spans="2:7">
      <c r="B68" s="105" t="s">
        <v>54</v>
      </c>
      <c r="C68" s="196" t="s">
        <v>55</v>
      </c>
      <c r="D68" s="80">
        <v>0</v>
      </c>
      <c r="E68" s="81">
        <v>0</v>
      </c>
    </row>
    <row r="69" spans="2:7">
      <c r="B69" s="105" t="s">
        <v>56</v>
      </c>
      <c r="C69" s="196" t="s">
        <v>57</v>
      </c>
      <c r="D69" s="387">
        <v>4091.19</v>
      </c>
      <c r="E69" s="81">
        <f>D69/E21</f>
        <v>5.725348035594309E-2</v>
      </c>
      <c r="G69" s="67"/>
    </row>
    <row r="70" spans="2:7">
      <c r="B70" s="132" t="s">
        <v>58</v>
      </c>
      <c r="C70" s="240" t="s">
        <v>59</v>
      </c>
      <c r="D70" s="247">
        <v>0</v>
      </c>
      <c r="E70" s="118">
        <v>0</v>
      </c>
    </row>
    <row r="71" spans="2:7" ht="13">
      <c r="B71" s="133" t="s">
        <v>23</v>
      </c>
      <c r="C71" s="124" t="s">
        <v>61</v>
      </c>
      <c r="D71" s="125">
        <f>E13</f>
        <v>0</v>
      </c>
      <c r="E71" s="66">
        <v>0</v>
      </c>
    </row>
    <row r="72" spans="2:7" ht="13">
      <c r="B72" s="134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7" ht="13">
      <c r="B74" s="133" t="s">
        <v>64</v>
      </c>
      <c r="C74" s="124" t="s">
        <v>66</v>
      </c>
      <c r="D74" s="125">
        <f>D58-D73+D72</f>
        <v>71457.490000000005</v>
      </c>
      <c r="E74" s="66">
        <f>E58+E72-E73</f>
        <v>1</v>
      </c>
    </row>
    <row r="75" spans="2:7">
      <c r="B75" s="105" t="s">
        <v>4</v>
      </c>
      <c r="C75" s="196" t="s">
        <v>67</v>
      </c>
      <c r="D75" s="80">
        <f>D74</f>
        <v>71457.490000000005</v>
      </c>
      <c r="E75" s="81">
        <f>E74</f>
        <v>1</v>
      </c>
    </row>
    <row r="76" spans="2:7">
      <c r="B76" s="105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106" t="s">
        <v>8</v>
      </c>
      <c r="C77" s="200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horizontalDpi="90" verticalDpi="9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4.7265625" customWidth="1"/>
    <col min="10" max="10" width="13.54296875" customWidth="1"/>
    <col min="11" max="11" width="15.269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147</v>
      </c>
      <c r="C6" s="403"/>
      <c r="D6" s="403"/>
      <c r="E6" s="403"/>
    </row>
    <row r="7" spans="2:12" ht="14">
      <c r="B7" s="176"/>
      <c r="C7" s="17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77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17467.93</v>
      </c>
      <c r="E11" s="245">
        <f>SUM(E12:E14)</f>
        <v>18487.990000000002</v>
      </c>
    </row>
    <row r="12" spans="2:12">
      <c r="B12" s="109" t="s">
        <v>4</v>
      </c>
      <c r="C12" s="208" t="s">
        <v>5</v>
      </c>
      <c r="D12" s="300">
        <f>15789.83+1678.1</f>
        <v>17467.93</v>
      </c>
      <c r="E12" s="250">
        <f>16288.01+2199.98</f>
        <v>18487.990000000002</v>
      </c>
      <c r="G12" s="183"/>
      <c r="H12" s="73"/>
    </row>
    <row r="13" spans="2:12">
      <c r="B13" s="109" t="s">
        <v>6</v>
      </c>
      <c r="C13" s="208" t="s">
        <v>7</v>
      </c>
      <c r="D13" s="301"/>
      <c r="E13" s="251"/>
      <c r="H13" s="73"/>
    </row>
    <row r="14" spans="2:12">
      <c r="B14" s="109" t="s">
        <v>8</v>
      </c>
      <c r="C14" s="208" t="s">
        <v>10</v>
      </c>
      <c r="D14" s="301"/>
      <c r="E14" s="251"/>
      <c r="H14" s="73"/>
    </row>
    <row r="15" spans="2:12">
      <c r="B15" s="109" t="s">
        <v>106</v>
      </c>
      <c r="C15" s="208" t="s">
        <v>11</v>
      </c>
      <c r="D15" s="301"/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/>
      <c r="E17" s="253"/>
      <c r="H17" s="73"/>
    </row>
    <row r="18" spans="2:11">
      <c r="B18" s="109" t="s">
        <v>4</v>
      </c>
      <c r="C18" s="208" t="s">
        <v>11</v>
      </c>
      <c r="D18" s="302"/>
      <c r="E18" s="252"/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17467.93</v>
      </c>
      <c r="E21" s="151">
        <f>E11-E17</f>
        <v>18487.990000000002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77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16673.87</v>
      </c>
      <c r="E26" s="239">
        <f>D21</f>
        <v>17467.93</v>
      </c>
      <c r="G26" s="76"/>
    </row>
    <row r="27" spans="2:11" ht="13">
      <c r="B27" s="8" t="s">
        <v>17</v>
      </c>
      <c r="C27" s="9" t="s">
        <v>111</v>
      </c>
      <c r="D27" s="360">
        <v>-350.46</v>
      </c>
      <c r="E27" s="275">
        <v>-78.73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>
        <v>306.27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>
        <v>306.27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350.46</v>
      </c>
      <c r="E32" s="276">
        <v>385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/>
      <c r="E33" s="277"/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74.989999999999995</v>
      </c>
      <c r="E35" s="277">
        <v>78.319999999999993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275.47000000000003</v>
      </c>
      <c r="E37" s="277">
        <v>306.68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/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1144.52</v>
      </c>
      <c r="E40" s="279">
        <v>1098.79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17467.93</v>
      </c>
      <c r="E41" s="151">
        <f>E26+E27+E40</f>
        <v>18487.990000000002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77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141.619</v>
      </c>
      <c r="E47" s="309">
        <v>138.5753</v>
      </c>
      <c r="G47" s="73"/>
    </row>
    <row r="48" spans="2:10">
      <c r="B48" s="197" t="s">
        <v>6</v>
      </c>
      <c r="C48" s="198" t="s">
        <v>41</v>
      </c>
      <c r="D48" s="371">
        <v>138.5753</v>
      </c>
      <c r="E48" s="380">
        <v>137.92699999999999</v>
      </c>
      <c r="G48" s="224"/>
      <c r="H48" s="183"/>
    </row>
    <row r="49" spans="2:9" ht="13">
      <c r="B49" s="123" t="s">
        <v>23</v>
      </c>
      <c r="C49" s="127" t="s">
        <v>113</v>
      </c>
      <c r="D49" s="373"/>
      <c r="E49" s="128"/>
      <c r="I49" s="224"/>
    </row>
    <row r="50" spans="2:9">
      <c r="B50" s="195" t="s">
        <v>4</v>
      </c>
      <c r="C50" s="196" t="s">
        <v>40</v>
      </c>
      <c r="D50" s="371">
        <v>117.7375</v>
      </c>
      <c r="E50" s="309">
        <v>126.05370000000001</v>
      </c>
      <c r="G50" s="183"/>
    </row>
    <row r="51" spans="2:9">
      <c r="B51" s="195" t="s">
        <v>6</v>
      </c>
      <c r="C51" s="196" t="s">
        <v>114</v>
      </c>
      <c r="D51" s="371">
        <v>95.770600000000002</v>
      </c>
      <c r="E51" s="355">
        <v>125.0515</v>
      </c>
      <c r="G51" s="221"/>
    </row>
    <row r="52" spans="2:9">
      <c r="B52" s="195" t="s">
        <v>8</v>
      </c>
      <c r="C52" s="196" t="s">
        <v>115</v>
      </c>
      <c r="D52" s="371">
        <v>126.05370000000001</v>
      </c>
      <c r="E52" s="355">
        <v>135.2236</v>
      </c>
    </row>
    <row r="53" spans="2:9" ht="13" thickBot="1">
      <c r="B53" s="199" t="s">
        <v>9</v>
      </c>
      <c r="C53" s="200" t="s">
        <v>41</v>
      </c>
      <c r="D53" s="369">
        <v>126.05370000000001</v>
      </c>
      <c r="E53" s="388">
        <v>134.04179999999999</v>
      </c>
      <c r="G53" s="155"/>
    </row>
    <row r="54" spans="2:9">
      <c r="B54" s="201"/>
      <c r="C54" s="202"/>
      <c r="D54" s="114"/>
      <c r="E54" s="114"/>
    </row>
    <row r="55" spans="2:9" ht="13.5">
      <c r="B55" s="406" t="s">
        <v>62</v>
      </c>
      <c r="C55" s="407"/>
      <c r="D55" s="407"/>
      <c r="E55" s="407"/>
    </row>
    <row r="56" spans="2:9" ht="14" thickBot="1">
      <c r="B56" s="404" t="s">
        <v>116</v>
      </c>
      <c r="C56" s="408"/>
      <c r="D56" s="408"/>
      <c r="E56" s="408"/>
      <c r="G56" s="242"/>
    </row>
    <row r="57" spans="2:9" ht="21.5" thickBot="1">
      <c r="B57" s="399" t="s">
        <v>42</v>
      </c>
      <c r="C57" s="400"/>
      <c r="D57" s="17" t="s">
        <v>122</v>
      </c>
      <c r="E57" s="18" t="s">
        <v>117</v>
      </c>
    </row>
    <row r="58" spans="2:9" ht="13">
      <c r="B58" s="19" t="s">
        <v>18</v>
      </c>
      <c r="C58" s="129" t="s">
        <v>43</v>
      </c>
      <c r="D58" s="130">
        <f>SUM(D59:D70)</f>
        <v>18487.990000000002</v>
      </c>
      <c r="E58" s="30">
        <f>D58/E21</f>
        <v>1</v>
      </c>
    </row>
    <row r="59" spans="2:9" ht="25">
      <c r="B59" s="126" t="s">
        <v>4</v>
      </c>
      <c r="C59" s="198" t="s">
        <v>44</v>
      </c>
      <c r="D59" s="82">
        <v>0</v>
      </c>
      <c r="E59" s="83">
        <v>0</v>
      </c>
    </row>
    <row r="60" spans="2:9" ht="25">
      <c r="B60" s="105" t="s">
        <v>6</v>
      </c>
      <c r="C60" s="196" t="s">
        <v>45</v>
      </c>
      <c r="D60" s="80">
        <v>0</v>
      </c>
      <c r="E60" s="81">
        <v>0</v>
      </c>
    </row>
    <row r="61" spans="2:9">
      <c r="B61" s="105" t="s">
        <v>8</v>
      </c>
      <c r="C61" s="196" t="s">
        <v>46</v>
      </c>
      <c r="D61" s="80">
        <v>0</v>
      </c>
      <c r="E61" s="81">
        <v>0</v>
      </c>
    </row>
    <row r="62" spans="2:9">
      <c r="B62" s="105" t="s">
        <v>9</v>
      </c>
      <c r="C62" s="196" t="s">
        <v>47</v>
      </c>
      <c r="D62" s="80">
        <v>0</v>
      </c>
      <c r="E62" s="81">
        <v>0</v>
      </c>
    </row>
    <row r="63" spans="2:9">
      <c r="B63" s="105" t="s">
        <v>29</v>
      </c>
      <c r="C63" s="196" t="s">
        <v>48</v>
      </c>
      <c r="D63" s="80">
        <v>0</v>
      </c>
      <c r="E63" s="81">
        <v>0</v>
      </c>
    </row>
    <row r="64" spans="2:9">
      <c r="B64" s="126" t="s">
        <v>31</v>
      </c>
      <c r="C64" s="198" t="s">
        <v>49</v>
      </c>
      <c r="D64" s="377">
        <v>16288.01</v>
      </c>
      <c r="E64" s="83">
        <f>D64/E21</f>
        <v>0.88100491183736029</v>
      </c>
    </row>
    <row r="65" spans="2:7">
      <c r="B65" s="126" t="s">
        <v>33</v>
      </c>
      <c r="C65" s="198" t="s">
        <v>118</v>
      </c>
      <c r="D65" s="82">
        <v>0</v>
      </c>
      <c r="E65" s="83">
        <v>0</v>
      </c>
      <c r="G65" s="73"/>
    </row>
    <row r="66" spans="2:7">
      <c r="B66" s="126" t="s">
        <v>50</v>
      </c>
      <c r="C66" s="198" t="s">
        <v>51</v>
      </c>
      <c r="D66" s="82">
        <v>0</v>
      </c>
      <c r="E66" s="83">
        <v>0</v>
      </c>
    </row>
    <row r="67" spans="2:7">
      <c r="B67" s="105" t="s">
        <v>52</v>
      </c>
      <c r="C67" s="196" t="s">
        <v>53</v>
      </c>
      <c r="D67" s="80">
        <v>0</v>
      </c>
      <c r="E67" s="81">
        <v>0</v>
      </c>
    </row>
    <row r="68" spans="2:7">
      <c r="B68" s="105" t="s">
        <v>54</v>
      </c>
      <c r="C68" s="196" t="s">
        <v>55</v>
      </c>
      <c r="D68" s="80">
        <v>0</v>
      </c>
      <c r="E68" s="81">
        <v>0</v>
      </c>
    </row>
    <row r="69" spans="2:7">
      <c r="B69" s="105" t="s">
        <v>56</v>
      </c>
      <c r="C69" s="196" t="s">
        <v>57</v>
      </c>
      <c r="D69" s="387">
        <v>2199.98</v>
      </c>
      <c r="E69" s="81">
        <f>D69/E21</f>
        <v>0.11899508816263962</v>
      </c>
    </row>
    <row r="70" spans="2:7">
      <c r="B70" s="132" t="s">
        <v>58</v>
      </c>
      <c r="C70" s="240" t="s">
        <v>59</v>
      </c>
      <c r="D70" s="117">
        <v>0</v>
      </c>
      <c r="E70" s="118">
        <v>0</v>
      </c>
    </row>
    <row r="71" spans="2:7" ht="13">
      <c r="B71" s="133" t="s">
        <v>23</v>
      </c>
      <c r="C71" s="124" t="s">
        <v>61</v>
      </c>
      <c r="D71" s="125">
        <f>E13</f>
        <v>0</v>
      </c>
      <c r="E71" s="66">
        <v>0</v>
      </c>
    </row>
    <row r="72" spans="2:7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7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7" ht="13">
      <c r="B74" s="133" t="s">
        <v>64</v>
      </c>
      <c r="C74" s="124" t="s">
        <v>66</v>
      </c>
      <c r="D74" s="125">
        <f>D58-D73</f>
        <v>18487.990000000002</v>
      </c>
      <c r="E74" s="66">
        <f>E58+E72-E73</f>
        <v>1</v>
      </c>
    </row>
    <row r="75" spans="2:7">
      <c r="B75" s="105" t="s">
        <v>4</v>
      </c>
      <c r="C75" s="196" t="s">
        <v>67</v>
      </c>
      <c r="D75" s="80">
        <f>D74</f>
        <v>18487.990000000002</v>
      </c>
      <c r="E75" s="81">
        <f>E74</f>
        <v>1</v>
      </c>
    </row>
    <row r="76" spans="2:7">
      <c r="B76" s="105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106" t="s">
        <v>8</v>
      </c>
      <c r="C77" s="200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54296875" customWidth="1"/>
    <col min="9" max="9" width="13.26953125" customWidth="1"/>
    <col min="10" max="10" width="13.54296875" customWidth="1"/>
    <col min="11" max="11" width="17.81640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68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15877715.82</v>
      </c>
      <c r="E11" s="245">
        <f>SUM(E12:E14)</f>
        <v>13617932.010000002</v>
      </c>
    </row>
    <row r="12" spans="2:12">
      <c r="B12" s="109" t="s">
        <v>4</v>
      </c>
      <c r="C12" s="208" t="s">
        <v>5</v>
      </c>
      <c r="D12" s="300">
        <v>15877715.82</v>
      </c>
      <c r="E12" s="250">
        <f>13617863.74-0.45</f>
        <v>13617863.290000001</v>
      </c>
      <c r="G12" s="73"/>
    </row>
    <row r="13" spans="2:12">
      <c r="B13" s="109" t="s">
        <v>6</v>
      </c>
      <c r="C13" s="208" t="s">
        <v>7</v>
      </c>
      <c r="D13" s="301"/>
      <c r="E13" s="251">
        <v>68.72</v>
      </c>
    </row>
    <row r="14" spans="2:12">
      <c r="B14" s="109" t="s">
        <v>8</v>
      </c>
      <c r="C14" s="208" t="s">
        <v>10</v>
      </c>
      <c r="D14" s="301"/>
      <c r="E14" s="251"/>
    </row>
    <row r="15" spans="2:12">
      <c r="B15" s="109" t="s">
        <v>106</v>
      </c>
      <c r="C15" s="208" t="s">
        <v>11</v>
      </c>
      <c r="D15" s="301"/>
      <c r="E15" s="251"/>
    </row>
    <row r="16" spans="2:12">
      <c r="B16" s="110" t="s">
        <v>107</v>
      </c>
      <c r="C16" s="209" t="s">
        <v>12</v>
      </c>
      <c r="D16" s="302"/>
      <c r="E16" s="252"/>
    </row>
    <row r="17" spans="2:11" ht="13">
      <c r="B17" s="8" t="s">
        <v>13</v>
      </c>
      <c r="C17" s="210" t="s">
        <v>65</v>
      </c>
      <c r="D17" s="303">
        <f>D18</f>
        <v>55019.02</v>
      </c>
      <c r="E17" s="253">
        <f>E18</f>
        <v>22777.79</v>
      </c>
      <c r="H17" s="67"/>
    </row>
    <row r="18" spans="2:11" ht="13">
      <c r="B18" s="109" t="s">
        <v>4</v>
      </c>
      <c r="C18" s="208" t="s">
        <v>11</v>
      </c>
      <c r="D18" s="302">
        <v>55019.02</v>
      </c>
      <c r="E18" s="252">
        <v>22777.79</v>
      </c>
      <c r="H18" s="87"/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15822696.800000001</v>
      </c>
      <c r="E21" s="151">
        <f>E11-E17</f>
        <v>13595154.220000003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  <c r="G25" s="73"/>
    </row>
    <row r="26" spans="2:11" ht="13">
      <c r="B26" s="98" t="s">
        <v>15</v>
      </c>
      <c r="C26" s="99" t="s">
        <v>16</v>
      </c>
      <c r="D26" s="359">
        <v>16954164.100000001</v>
      </c>
      <c r="E26" s="239">
        <f>D21</f>
        <v>15822696.800000001</v>
      </c>
    </row>
    <row r="27" spans="2:11" ht="13">
      <c r="B27" s="8" t="s">
        <v>17</v>
      </c>
      <c r="C27" s="9" t="s">
        <v>111</v>
      </c>
      <c r="D27" s="360">
        <v>-1510075.1600000001</v>
      </c>
      <c r="E27" s="275">
        <v>-1134115.8700000001</v>
      </c>
      <c r="F27" s="73"/>
      <c r="G27" s="255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410536.57</v>
      </c>
      <c r="E28" s="276">
        <v>26699.39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10071.469999999999</v>
      </c>
      <c r="E29" s="277">
        <v>7505.38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400465.1</v>
      </c>
      <c r="E31" s="277">
        <v>19194.009999999998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1920611.7300000002</v>
      </c>
      <c r="E32" s="276">
        <v>1160815.26</v>
      </c>
      <c r="F32" s="73"/>
      <c r="G32" s="255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1755896.1</v>
      </c>
      <c r="E33" s="277">
        <v>992900.94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37012.61</v>
      </c>
      <c r="E35" s="277">
        <v>31949.33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/>
      <c r="E37" s="277"/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127703.02</v>
      </c>
      <c r="E39" s="278">
        <v>135964.99</v>
      </c>
      <c r="F39" s="73"/>
      <c r="G39" s="242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378607.86</v>
      </c>
      <c r="E40" s="279">
        <v>-1093426.71</v>
      </c>
    </row>
    <row r="41" spans="2:10" ht="13.5" thickBot="1">
      <c r="B41" s="102" t="s">
        <v>37</v>
      </c>
      <c r="C41" s="103" t="s">
        <v>38</v>
      </c>
      <c r="D41" s="364">
        <v>15822696.800000001</v>
      </c>
      <c r="E41" s="151">
        <f>E26+E27+E40</f>
        <v>13595154.219999999</v>
      </c>
      <c r="F41" s="79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1294336.0936999999</v>
      </c>
      <c r="E47" s="309">
        <v>1179559.9424000001</v>
      </c>
      <c r="G47" s="73"/>
    </row>
    <row r="48" spans="2:10">
      <c r="B48" s="126" t="s">
        <v>6</v>
      </c>
      <c r="C48" s="21" t="s">
        <v>41</v>
      </c>
      <c r="D48" s="371">
        <v>1179559.9424000001</v>
      </c>
      <c r="E48" s="309">
        <v>1093684.8781999999</v>
      </c>
      <c r="G48" s="162"/>
      <c r="I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13.098699999999999</v>
      </c>
      <c r="E50" s="309">
        <v>13.414099999999999</v>
      </c>
      <c r="G50" s="183"/>
    </row>
    <row r="51" spans="2:7">
      <c r="B51" s="105" t="s">
        <v>6</v>
      </c>
      <c r="C51" s="14" t="s">
        <v>114</v>
      </c>
      <c r="D51" s="371">
        <v>12.7288</v>
      </c>
      <c r="E51" s="77">
        <v>12.423500000000001</v>
      </c>
      <c r="G51" s="183"/>
    </row>
    <row r="52" spans="2:7">
      <c r="B52" s="105" t="s">
        <v>8</v>
      </c>
      <c r="C52" s="14" t="s">
        <v>115</v>
      </c>
      <c r="D52" s="371">
        <v>13.416399999999999</v>
      </c>
      <c r="E52" s="77">
        <v>13.4573</v>
      </c>
    </row>
    <row r="53" spans="2:7" ht="13.5" customHeight="1" thickBot="1">
      <c r="B53" s="106" t="s">
        <v>9</v>
      </c>
      <c r="C53" s="16" t="s">
        <v>41</v>
      </c>
      <c r="D53" s="369">
        <v>13.414099999999999</v>
      </c>
      <c r="E53" s="280">
        <v>12.4306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13617863.290000001</v>
      </c>
      <c r="E58" s="30">
        <f>D58/E21</f>
        <v>1.0016703797274025</v>
      </c>
    </row>
    <row r="59" spans="2:7" ht="25">
      <c r="B59" s="197" t="s">
        <v>4</v>
      </c>
      <c r="C59" s="198" t="s">
        <v>44</v>
      </c>
      <c r="D59" s="82">
        <v>0</v>
      </c>
      <c r="E59" s="83">
        <v>0</v>
      </c>
    </row>
    <row r="60" spans="2:7" ht="25">
      <c r="B60" s="195" t="s">
        <v>6</v>
      </c>
      <c r="C60" s="196" t="s">
        <v>45</v>
      </c>
      <c r="D60" s="80">
        <v>0</v>
      </c>
      <c r="E60" s="81">
        <v>0</v>
      </c>
    </row>
    <row r="61" spans="2:7" ht="12.75" customHeight="1">
      <c r="B61" s="195" t="s">
        <v>8</v>
      </c>
      <c r="C61" s="196" t="s">
        <v>46</v>
      </c>
      <c r="D61" s="80">
        <v>0</v>
      </c>
      <c r="E61" s="81">
        <v>0</v>
      </c>
    </row>
    <row r="62" spans="2:7">
      <c r="B62" s="195" t="s">
        <v>9</v>
      </c>
      <c r="C62" s="196" t="s">
        <v>47</v>
      </c>
      <c r="D62" s="80">
        <v>0</v>
      </c>
      <c r="E62" s="81">
        <v>0</v>
      </c>
    </row>
    <row r="63" spans="2:7">
      <c r="B63" s="195" t="s">
        <v>29</v>
      </c>
      <c r="C63" s="196" t="s">
        <v>48</v>
      </c>
      <c r="D63" s="80">
        <v>0</v>
      </c>
      <c r="E63" s="81">
        <v>0</v>
      </c>
    </row>
    <row r="64" spans="2:7">
      <c r="B64" s="197" t="s">
        <v>31</v>
      </c>
      <c r="C64" s="198" t="s">
        <v>49</v>
      </c>
      <c r="D64" s="82">
        <f>13617863.74-0.45</f>
        <v>13617863.290000001</v>
      </c>
      <c r="E64" s="83">
        <f>D64/E21</f>
        <v>1.0016703797274025</v>
      </c>
      <c r="G64" s="73"/>
    </row>
    <row r="65" spans="2:5">
      <c r="B65" s="197" t="s">
        <v>33</v>
      </c>
      <c r="C65" s="198" t="s">
        <v>118</v>
      </c>
      <c r="D65" s="82">
        <v>0</v>
      </c>
      <c r="E65" s="83">
        <v>0</v>
      </c>
    </row>
    <row r="66" spans="2:5">
      <c r="B66" s="197" t="s">
        <v>50</v>
      </c>
      <c r="C66" s="198" t="s">
        <v>51</v>
      </c>
      <c r="D66" s="82">
        <v>0</v>
      </c>
      <c r="E66" s="83">
        <v>0</v>
      </c>
    </row>
    <row r="67" spans="2:5">
      <c r="B67" s="195" t="s">
        <v>52</v>
      </c>
      <c r="C67" s="196" t="s">
        <v>53</v>
      </c>
      <c r="D67" s="80">
        <v>0</v>
      </c>
      <c r="E67" s="81">
        <v>0</v>
      </c>
    </row>
    <row r="68" spans="2:5">
      <c r="B68" s="195" t="s">
        <v>54</v>
      </c>
      <c r="C68" s="196" t="s">
        <v>55</v>
      </c>
      <c r="D68" s="80">
        <v>0</v>
      </c>
      <c r="E68" s="81">
        <v>0</v>
      </c>
    </row>
    <row r="69" spans="2:5">
      <c r="B69" s="195" t="s">
        <v>56</v>
      </c>
      <c r="C69" s="196" t="s">
        <v>57</v>
      </c>
      <c r="D69" s="247">
        <v>0</v>
      </c>
      <c r="E69" s="81">
        <v>0</v>
      </c>
    </row>
    <row r="70" spans="2:5">
      <c r="B70" s="241" t="s">
        <v>58</v>
      </c>
      <c r="C70" s="240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f>E13</f>
        <v>68.72</v>
      </c>
      <c r="E71" s="66">
        <f>D71/E21</f>
        <v>5.0547422182901864E-6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22777.79</v>
      </c>
      <c r="E73" s="25">
        <f>D73/E21</f>
        <v>1.6754344696208968E-3</v>
      </c>
    </row>
    <row r="74" spans="2:5" ht="13">
      <c r="B74" s="133" t="s">
        <v>64</v>
      </c>
      <c r="C74" s="124" t="s">
        <v>66</v>
      </c>
      <c r="D74" s="125">
        <f>D58+D71+D72-D73</f>
        <v>13595154.220000003</v>
      </c>
      <c r="E74" s="66">
        <f>E58+E71+E72-E73</f>
        <v>0.99999999999999989</v>
      </c>
    </row>
    <row r="75" spans="2:5">
      <c r="B75" s="195" t="s">
        <v>4</v>
      </c>
      <c r="C75" s="196" t="s">
        <v>67</v>
      </c>
      <c r="D75" s="80">
        <f>D74</f>
        <v>13595154.220000003</v>
      </c>
      <c r="E75" s="81">
        <f>E74</f>
        <v>0.99999999999999989</v>
      </c>
    </row>
    <row r="76" spans="2:5">
      <c r="B76" s="195" t="s">
        <v>6</v>
      </c>
      <c r="C76" s="196" t="s">
        <v>119</v>
      </c>
      <c r="D76" s="80">
        <v>0</v>
      </c>
      <c r="E76" s="81">
        <v>0</v>
      </c>
    </row>
    <row r="77" spans="2:5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8.453125" customWidth="1"/>
    <col min="8" max="8" width="20.54296875" customWidth="1"/>
    <col min="9" max="9" width="13.26953125" customWidth="1"/>
    <col min="10" max="10" width="13.54296875" customWidth="1"/>
    <col min="11" max="11" width="1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69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96458073.739999995</v>
      </c>
      <c r="E11" s="245">
        <f>SUM(E12:E14)</f>
        <v>95343166.650000006</v>
      </c>
    </row>
    <row r="12" spans="2:12">
      <c r="B12" s="109" t="s">
        <v>4</v>
      </c>
      <c r="C12" s="208" t="s">
        <v>5</v>
      </c>
      <c r="D12" s="300">
        <f>96553404.07-95330.33</f>
        <v>96458073.739999995</v>
      </c>
      <c r="E12" s="250">
        <f>95406416.61-63249.96</f>
        <v>95343166.650000006</v>
      </c>
      <c r="G12" s="73"/>
    </row>
    <row r="13" spans="2:12">
      <c r="B13" s="109" t="s">
        <v>6</v>
      </c>
      <c r="C13" s="208" t="s">
        <v>7</v>
      </c>
      <c r="D13" s="301"/>
      <c r="E13" s="251"/>
    </row>
    <row r="14" spans="2:12">
      <c r="B14" s="109" t="s">
        <v>8</v>
      </c>
      <c r="C14" s="208" t="s">
        <v>10</v>
      </c>
      <c r="D14" s="301"/>
      <c r="E14" s="251"/>
    </row>
    <row r="15" spans="2:12">
      <c r="B15" s="109" t="s">
        <v>106</v>
      </c>
      <c r="C15" s="208" t="s">
        <v>11</v>
      </c>
      <c r="D15" s="301"/>
      <c r="E15" s="251"/>
    </row>
    <row r="16" spans="2:12">
      <c r="B16" s="110" t="s">
        <v>107</v>
      </c>
      <c r="C16" s="209" t="s">
        <v>12</v>
      </c>
      <c r="D16" s="302"/>
      <c r="E16" s="252"/>
    </row>
    <row r="17" spans="2:11" ht="13">
      <c r="B17" s="8" t="s">
        <v>13</v>
      </c>
      <c r="C17" s="210" t="s">
        <v>65</v>
      </c>
      <c r="D17" s="303">
        <f>D18</f>
        <v>481600.52</v>
      </c>
      <c r="E17" s="253">
        <f>E18</f>
        <v>253449.11</v>
      </c>
    </row>
    <row r="18" spans="2:11">
      <c r="B18" s="109" t="s">
        <v>4</v>
      </c>
      <c r="C18" s="208" t="s">
        <v>11</v>
      </c>
      <c r="D18" s="302">
        <v>481600.52</v>
      </c>
      <c r="E18" s="252">
        <v>253449.11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95976473.219999999</v>
      </c>
      <c r="E21" s="151">
        <f>E11-E17</f>
        <v>95089717.540000007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282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105127010.03</v>
      </c>
      <c r="E26" s="239">
        <f>D21</f>
        <v>95976473.219999999</v>
      </c>
      <c r="G26" s="156"/>
    </row>
    <row r="27" spans="2:11" ht="13">
      <c r="B27" s="8" t="s">
        <v>17</v>
      </c>
      <c r="C27" s="9" t="s">
        <v>111</v>
      </c>
      <c r="D27" s="360">
        <v>-8344541.6200000001</v>
      </c>
      <c r="E27" s="275">
        <v>-7130010.9000000004</v>
      </c>
      <c r="F27" s="73"/>
      <c r="G27" s="255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50342.13</v>
      </c>
      <c r="E28" s="276">
        <v>219390.49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47370.42</v>
      </c>
      <c r="E29" s="277">
        <v>39670.9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2971.71</v>
      </c>
      <c r="E31" s="277">
        <v>179719.59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8394883.75</v>
      </c>
      <c r="E32" s="276">
        <v>7349401.3899999997</v>
      </c>
      <c r="F32" s="73"/>
      <c r="G32" s="255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7936460.7800000003</v>
      </c>
      <c r="E33" s="277">
        <v>6902675.6600000001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174539.29</v>
      </c>
      <c r="E35" s="277">
        <v>187908.30000000002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/>
      <c r="E37" s="277"/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283883.68</v>
      </c>
      <c r="E39" s="278">
        <v>258817.43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-805995.19</v>
      </c>
      <c r="E40" s="279">
        <v>6243255.2199999997</v>
      </c>
      <c r="G40" s="76"/>
    </row>
    <row r="41" spans="2:10" ht="13.5" thickBot="1">
      <c r="B41" s="102" t="s">
        <v>37</v>
      </c>
      <c r="C41" s="103" t="s">
        <v>38</v>
      </c>
      <c r="D41" s="364">
        <v>95976473.219999999</v>
      </c>
      <c r="E41" s="151">
        <f>E26+E27+E40</f>
        <v>95089717.539999992</v>
      </c>
      <c r="F41" s="79"/>
      <c r="G41" s="76"/>
      <c r="H41" s="67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10472691.497099999</v>
      </c>
      <c r="E47" s="309">
        <v>9568952.8922000006</v>
      </c>
      <c r="G47" s="73"/>
    </row>
    <row r="48" spans="2:10">
      <c r="B48" s="126" t="s">
        <v>6</v>
      </c>
      <c r="C48" s="21" t="s">
        <v>41</v>
      </c>
      <c r="D48" s="371">
        <v>9568952.8922000006</v>
      </c>
      <c r="E48" s="309">
        <v>8897546.1162999999</v>
      </c>
      <c r="G48" s="203"/>
      <c r="I48" s="162"/>
    </row>
    <row r="49" spans="2:7" ht="13">
      <c r="B49" s="123" t="s">
        <v>23</v>
      </c>
      <c r="C49" s="127" t="s">
        <v>113</v>
      </c>
      <c r="D49" s="373"/>
      <c r="E49" s="309"/>
      <c r="G49" s="155"/>
    </row>
    <row r="50" spans="2:7">
      <c r="B50" s="105" t="s">
        <v>4</v>
      </c>
      <c r="C50" s="14" t="s">
        <v>40</v>
      </c>
      <c r="D50" s="371">
        <v>10.0382</v>
      </c>
      <c r="E50" s="309">
        <v>10.029999999999999</v>
      </c>
      <c r="G50" s="183"/>
    </row>
    <row r="51" spans="2:7">
      <c r="B51" s="105" t="s">
        <v>6</v>
      </c>
      <c r="C51" s="14" t="s">
        <v>114</v>
      </c>
      <c r="D51" s="371">
        <v>7.9417</v>
      </c>
      <c r="E51" s="77">
        <v>9.9952000000000005</v>
      </c>
      <c r="G51" s="183"/>
    </row>
    <row r="52" spans="2:7" ht="12.75" customHeight="1">
      <c r="B52" s="105" t="s">
        <v>8</v>
      </c>
      <c r="C52" s="14" t="s">
        <v>115</v>
      </c>
      <c r="D52" s="371">
        <v>10.1409</v>
      </c>
      <c r="E52" s="77">
        <v>11.254200000000001</v>
      </c>
    </row>
    <row r="53" spans="2:7" ht="13" thickBot="1">
      <c r="B53" s="106" t="s">
        <v>9</v>
      </c>
      <c r="C53" s="16" t="s">
        <v>41</v>
      </c>
      <c r="D53" s="369">
        <v>10.029999999999999</v>
      </c>
      <c r="E53" s="280">
        <v>10.687200000000001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95343166.650000006</v>
      </c>
      <c r="E58" s="30">
        <f>D58/E21</f>
        <v>1.0026653682075919</v>
      </c>
    </row>
    <row r="59" spans="2:7" ht="25">
      <c r="B59" s="197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195" t="s">
        <v>6</v>
      </c>
      <c r="C60" s="196" t="s">
        <v>45</v>
      </c>
      <c r="D60" s="80">
        <v>0</v>
      </c>
      <c r="E60" s="81">
        <v>0</v>
      </c>
    </row>
    <row r="61" spans="2:7">
      <c r="B61" s="195" t="s">
        <v>8</v>
      </c>
      <c r="C61" s="196" t="s">
        <v>46</v>
      </c>
      <c r="D61" s="80">
        <v>0</v>
      </c>
      <c r="E61" s="81">
        <v>0</v>
      </c>
    </row>
    <row r="62" spans="2:7">
      <c r="B62" s="195" t="s">
        <v>9</v>
      </c>
      <c r="C62" s="196" t="s">
        <v>47</v>
      </c>
      <c r="D62" s="80">
        <v>0</v>
      </c>
      <c r="E62" s="81">
        <v>0</v>
      </c>
    </row>
    <row r="63" spans="2:7">
      <c r="B63" s="195" t="s">
        <v>29</v>
      </c>
      <c r="C63" s="196" t="s">
        <v>48</v>
      </c>
      <c r="D63" s="80">
        <v>0</v>
      </c>
      <c r="E63" s="81">
        <v>0</v>
      </c>
    </row>
    <row r="64" spans="2:7">
      <c r="B64" s="197" t="s">
        <v>31</v>
      </c>
      <c r="C64" s="198" t="s">
        <v>49</v>
      </c>
      <c r="D64" s="82">
        <f>95406416.61-63249.96</f>
        <v>95343166.650000006</v>
      </c>
      <c r="E64" s="83">
        <f>D64/E21</f>
        <v>1.0026653682075919</v>
      </c>
    </row>
    <row r="65" spans="2:5">
      <c r="B65" s="197" t="s">
        <v>33</v>
      </c>
      <c r="C65" s="198" t="s">
        <v>118</v>
      </c>
      <c r="D65" s="82">
        <v>0</v>
      </c>
      <c r="E65" s="83">
        <v>0</v>
      </c>
    </row>
    <row r="66" spans="2:5">
      <c r="B66" s="197" t="s">
        <v>50</v>
      </c>
      <c r="C66" s="198" t="s">
        <v>51</v>
      </c>
      <c r="D66" s="82">
        <v>0</v>
      </c>
      <c r="E66" s="83">
        <v>0</v>
      </c>
    </row>
    <row r="67" spans="2:5">
      <c r="B67" s="195" t="s">
        <v>52</v>
      </c>
      <c r="C67" s="196" t="s">
        <v>53</v>
      </c>
      <c r="D67" s="80">
        <v>0</v>
      </c>
      <c r="E67" s="81">
        <v>0</v>
      </c>
    </row>
    <row r="68" spans="2:5">
      <c r="B68" s="195" t="s">
        <v>54</v>
      </c>
      <c r="C68" s="196" t="s">
        <v>55</v>
      </c>
      <c r="D68" s="80">
        <v>0</v>
      </c>
      <c r="E68" s="81">
        <v>0</v>
      </c>
    </row>
    <row r="69" spans="2:5">
      <c r="B69" s="195" t="s">
        <v>56</v>
      </c>
      <c r="C69" s="196" t="s">
        <v>57</v>
      </c>
      <c r="D69" s="247">
        <v>0</v>
      </c>
      <c r="E69" s="81">
        <v>0</v>
      </c>
    </row>
    <row r="70" spans="2:5">
      <c r="B70" s="241" t="s">
        <v>58</v>
      </c>
      <c r="C70" s="240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f>E13</f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253449.11</v>
      </c>
      <c r="E73" s="25">
        <f>D73/E21</f>
        <v>2.6653682075917962E-3</v>
      </c>
    </row>
    <row r="74" spans="2:5" ht="13">
      <c r="B74" s="133" t="s">
        <v>64</v>
      </c>
      <c r="C74" s="124" t="s">
        <v>66</v>
      </c>
      <c r="D74" s="125">
        <f>D58+D71-D73</f>
        <v>95089717.540000007</v>
      </c>
      <c r="E74" s="66">
        <f>E58+E72-E73</f>
        <v>1</v>
      </c>
    </row>
    <row r="75" spans="2:5">
      <c r="B75" s="195" t="s">
        <v>4</v>
      </c>
      <c r="C75" s="196" t="s">
        <v>67</v>
      </c>
      <c r="D75" s="80">
        <f>D74</f>
        <v>95089717.540000007</v>
      </c>
      <c r="E75" s="81">
        <f>E74</f>
        <v>1</v>
      </c>
    </row>
    <row r="76" spans="2:5">
      <c r="B76" s="195" t="s">
        <v>6</v>
      </c>
      <c r="C76" s="196" t="s">
        <v>119</v>
      </c>
      <c r="D76" s="80">
        <v>0</v>
      </c>
      <c r="E76" s="81">
        <v>0</v>
      </c>
    </row>
    <row r="77" spans="2:5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3" right="0.75" top="0.56000000000000005" bottom="0.47" header="0.5" footer="0.5"/>
  <pageSetup paperSize="9" scale="7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54296875" customWidth="1"/>
    <col min="9" max="9" width="13.26953125" customWidth="1"/>
    <col min="10" max="10" width="13.54296875" customWidth="1"/>
    <col min="11" max="11" width="1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70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89496455.040000007</v>
      </c>
      <c r="E11" s="245">
        <f>SUM(E12:E14)</f>
        <v>101444418.07000001</v>
      </c>
    </row>
    <row r="12" spans="2:12">
      <c r="B12" s="109" t="s">
        <v>4</v>
      </c>
      <c r="C12" s="208" t="s">
        <v>5</v>
      </c>
      <c r="D12" s="300">
        <f>89515140.36-33829</f>
        <v>89481311.359999999</v>
      </c>
      <c r="E12" s="250">
        <f>101455142.31-10724.24</f>
        <v>101444418.07000001</v>
      </c>
      <c r="G12" s="73"/>
    </row>
    <row r="13" spans="2:12">
      <c r="B13" s="109" t="s">
        <v>6</v>
      </c>
      <c r="C13" s="208" t="s">
        <v>7</v>
      </c>
      <c r="D13" s="301"/>
      <c r="E13" s="251"/>
    </row>
    <row r="14" spans="2:12">
      <c r="B14" s="109" t="s">
        <v>8</v>
      </c>
      <c r="C14" s="208" t="s">
        <v>10</v>
      </c>
      <c r="D14" s="301">
        <v>15143.68</v>
      </c>
      <c r="E14" s="251"/>
    </row>
    <row r="15" spans="2:12">
      <c r="B15" s="109" t="s">
        <v>106</v>
      </c>
      <c r="C15" s="208" t="s">
        <v>11</v>
      </c>
      <c r="D15" s="301">
        <v>15143.68</v>
      </c>
      <c r="E15" s="251"/>
    </row>
    <row r="16" spans="2:12">
      <c r="B16" s="110" t="s">
        <v>107</v>
      </c>
      <c r="C16" s="209" t="s">
        <v>12</v>
      </c>
      <c r="D16" s="302"/>
      <c r="E16" s="252"/>
    </row>
    <row r="17" spans="2:11" ht="13">
      <c r="B17" s="8" t="s">
        <v>13</v>
      </c>
      <c r="C17" s="210" t="s">
        <v>65</v>
      </c>
      <c r="D17" s="303">
        <f>D18</f>
        <v>574287.12</v>
      </c>
      <c r="E17" s="253">
        <f>E18</f>
        <v>298649.46000000002</v>
      </c>
    </row>
    <row r="18" spans="2:11">
      <c r="B18" s="109" t="s">
        <v>4</v>
      </c>
      <c r="C18" s="208" t="s">
        <v>11</v>
      </c>
      <c r="D18" s="302">
        <v>574287.12</v>
      </c>
      <c r="E18" s="252">
        <v>298649.46000000002</v>
      </c>
    </row>
    <row r="19" spans="2:11" ht="15" customHeight="1">
      <c r="B19" s="109" t="s">
        <v>6</v>
      </c>
      <c r="C19" s="208" t="s">
        <v>108</v>
      </c>
      <c r="D19" s="301"/>
      <c r="E19" s="251"/>
      <c r="G19" s="73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88922167.920000002</v>
      </c>
      <c r="E21" s="151">
        <f>E11-E17</f>
        <v>101145768.61000001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282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97301210.560000002</v>
      </c>
      <c r="E26" s="239">
        <f>D21</f>
        <v>88922167.920000002</v>
      </c>
      <c r="G26" s="156"/>
      <c r="I26" s="67"/>
    </row>
    <row r="27" spans="2:11" ht="13">
      <c r="B27" s="8" t="s">
        <v>17</v>
      </c>
      <c r="C27" s="9" t="s">
        <v>111</v>
      </c>
      <c r="D27" s="360">
        <v>-7932780.9299999997</v>
      </c>
      <c r="E27" s="275">
        <v>-7044032.1500000004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77742.600000000006</v>
      </c>
      <c r="E28" s="276">
        <v>195976.01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52707.49</v>
      </c>
      <c r="E29" s="277">
        <v>46699.3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25035.11</v>
      </c>
      <c r="E31" s="277">
        <v>149276.71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8010523.5299999993</v>
      </c>
      <c r="E32" s="276">
        <v>7240008.1600000001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7618135.8499999996</v>
      </c>
      <c r="E33" s="277">
        <v>6862991.75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139127.88</v>
      </c>
      <c r="E35" s="277">
        <v>162937.1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/>
      <c r="E37" s="277"/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253259.8</v>
      </c>
      <c r="E39" s="278">
        <v>214079.31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-446261.71</v>
      </c>
      <c r="E40" s="279">
        <v>19267632.84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88922167.920000002</v>
      </c>
      <c r="E41" s="151">
        <f>E26+E27+E40</f>
        <v>101145768.61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7036308.9261999996</v>
      </c>
      <c r="E47" s="309">
        <v>6394336.3698000005</v>
      </c>
      <c r="G47" s="162"/>
    </row>
    <row r="48" spans="2:10">
      <c r="B48" s="126" t="s">
        <v>6</v>
      </c>
      <c r="C48" s="21" t="s">
        <v>41</v>
      </c>
      <c r="D48" s="371">
        <v>6394336.3698000005</v>
      </c>
      <c r="E48" s="309">
        <v>5946694.8370000003</v>
      </c>
      <c r="G48" s="204"/>
      <c r="I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13.8284</v>
      </c>
      <c r="E50" s="309">
        <v>13.9064</v>
      </c>
      <c r="G50" s="183"/>
    </row>
    <row r="51" spans="2:7">
      <c r="B51" s="105" t="s">
        <v>6</v>
      </c>
      <c r="C51" s="14" t="s">
        <v>114</v>
      </c>
      <c r="D51" s="371">
        <v>9.6153999999999993</v>
      </c>
      <c r="E51" s="77">
        <v>13.903499999999999</v>
      </c>
      <c r="G51" s="183"/>
    </row>
    <row r="52" spans="2:7" ht="12.75" customHeight="1">
      <c r="B52" s="105" t="s">
        <v>8</v>
      </c>
      <c r="C52" s="14" t="s">
        <v>115</v>
      </c>
      <c r="D52" s="371">
        <v>14.222899999999999</v>
      </c>
      <c r="E52" s="77">
        <v>17.644400000000001</v>
      </c>
    </row>
    <row r="53" spans="2:7" ht="13" thickBot="1">
      <c r="B53" s="106" t="s">
        <v>9</v>
      </c>
      <c r="C53" s="16" t="s">
        <v>41</v>
      </c>
      <c r="D53" s="369">
        <v>13.9064</v>
      </c>
      <c r="E53" s="280">
        <v>17.008700000000001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101444418.07000001</v>
      </c>
      <c r="E58" s="30">
        <f>D58/E21</f>
        <v>1.0029526639038311</v>
      </c>
    </row>
    <row r="59" spans="2:7" ht="25">
      <c r="B59" s="197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195" t="s">
        <v>6</v>
      </c>
      <c r="C60" s="196" t="s">
        <v>45</v>
      </c>
      <c r="D60" s="80">
        <v>0</v>
      </c>
      <c r="E60" s="81">
        <v>0</v>
      </c>
    </row>
    <row r="61" spans="2:7">
      <c r="B61" s="195" t="s">
        <v>8</v>
      </c>
      <c r="C61" s="196" t="s">
        <v>46</v>
      </c>
      <c r="D61" s="80">
        <v>0</v>
      </c>
      <c r="E61" s="81">
        <v>0</v>
      </c>
    </row>
    <row r="62" spans="2:7">
      <c r="B62" s="195" t="s">
        <v>9</v>
      </c>
      <c r="C62" s="196" t="s">
        <v>47</v>
      </c>
      <c r="D62" s="80">
        <v>0</v>
      </c>
      <c r="E62" s="81">
        <v>0</v>
      </c>
    </row>
    <row r="63" spans="2:7">
      <c r="B63" s="195" t="s">
        <v>29</v>
      </c>
      <c r="C63" s="196" t="s">
        <v>48</v>
      </c>
      <c r="D63" s="80">
        <v>0</v>
      </c>
      <c r="E63" s="81">
        <v>0</v>
      </c>
    </row>
    <row r="64" spans="2:7">
      <c r="B64" s="197" t="s">
        <v>31</v>
      </c>
      <c r="C64" s="198" t="s">
        <v>49</v>
      </c>
      <c r="D64" s="82">
        <f>101455142.31-10724.24</f>
        <v>101444418.07000001</v>
      </c>
      <c r="E64" s="83">
        <f>D64/E21</f>
        <v>1.0029526639038311</v>
      </c>
    </row>
    <row r="65" spans="2:5">
      <c r="B65" s="197" t="s">
        <v>33</v>
      </c>
      <c r="C65" s="198" t="s">
        <v>118</v>
      </c>
      <c r="D65" s="82">
        <v>0</v>
      </c>
      <c r="E65" s="83">
        <v>0</v>
      </c>
    </row>
    <row r="66" spans="2:5">
      <c r="B66" s="197" t="s">
        <v>50</v>
      </c>
      <c r="C66" s="198" t="s">
        <v>51</v>
      </c>
      <c r="D66" s="82">
        <v>0</v>
      </c>
      <c r="E66" s="83">
        <v>0</v>
      </c>
    </row>
    <row r="67" spans="2:5">
      <c r="B67" s="195" t="s">
        <v>52</v>
      </c>
      <c r="C67" s="196" t="s">
        <v>53</v>
      </c>
      <c r="D67" s="80">
        <v>0</v>
      </c>
      <c r="E67" s="81">
        <v>0</v>
      </c>
    </row>
    <row r="68" spans="2:5">
      <c r="B68" s="195" t="s">
        <v>54</v>
      </c>
      <c r="C68" s="196" t="s">
        <v>55</v>
      </c>
      <c r="D68" s="80">
        <v>0</v>
      </c>
      <c r="E68" s="81">
        <v>0</v>
      </c>
    </row>
    <row r="69" spans="2:5">
      <c r="B69" s="195" t="s">
        <v>56</v>
      </c>
      <c r="C69" s="196" t="s">
        <v>57</v>
      </c>
      <c r="D69" s="247">
        <v>0</v>
      </c>
      <c r="E69" s="81">
        <v>0</v>
      </c>
    </row>
    <row r="70" spans="2:5">
      <c r="B70" s="241" t="s">
        <v>58</v>
      </c>
      <c r="C70" s="240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5" ht="13">
      <c r="B73" s="135" t="s">
        <v>62</v>
      </c>
      <c r="C73" s="23" t="s">
        <v>65</v>
      </c>
      <c r="D73" s="24">
        <f>E17</f>
        <v>298649.46000000002</v>
      </c>
      <c r="E73" s="25">
        <f>D73/E21</f>
        <v>2.9526639038311023E-3</v>
      </c>
    </row>
    <row r="74" spans="2:5" ht="13">
      <c r="B74" s="133" t="s">
        <v>64</v>
      </c>
      <c r="C74" s="124" t="s">
        <v>66</v>
      </c>
      <c r="D74" s="125">
        <f>D58+D72-D73</f>
        <v>101145768.61000001</v>
      </c>
      <c r="E74" s="66">
        <f>E58+E72-E73</f>
        <v>1</v>
      </c>
    </row>
    <row r="75" spans="2:5">
      <c r="B75" s="195" t="s">
        <v>4</v>
      </c>
      <c r="C75" s="196" t="s">
        <v>67</v>
      </c>
      <c r="D75" s="80">
        <f>D74</f>
        <v>101145768.61000001</v>
      </c>
      <c r="E75" s="81">
        <f>E74</f>
        <v>1</v>
      </c>
    </row>
    <row r="76" spans="2:5">
      <c r="B76" s="195" t="s">
        <v>6</v>
      </c>
      <c r="C76" s="196" t="s">
        <v>119</v>
      </c>
      <c r="D76" s="80">
        <v>0</v>
      </c>
      <c r="E76" s="81">
        <v>0</v>
      </c>
    </row>
    <row r="77" spans="2:5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5" right="0.75" top="0.52" bottom="0.51" header="0.5" footer="0.5"/>
  <pageSetup paperSize="9" scale="7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L81"/>
  <sheetViews>
    <sheetView zoomScale="80" zoomScaleNormal="80" workbookViewId="0">
      <selection activeCell="A19" sqref="A19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1796875" customWidth="1"/>
    <col min="9" max="9" width="13.26953125" customWidth="1"/>
    <col min="10" max="10" width="13.54296875" customWidth="1"/>
    <col min="11" max="11" width="16.81640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71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11437658.059999999</v>
      </c>
      <c r="E11" s="245">
        <f>SUM(E12:E14)</f>
        <v>12817220.580000002</v>
      </c>
    </row>
    <row r="12" spans="2:12">
      <c r="B12" s="109" t="s">
        <v>4</v>
      </c>
      <c r="C12" s="208" t="s">
        <v>5</v>
      </c>
      <c r="D12" s="300">
        <v>11436054.02</v>
      </c>
      <c r="E12" s="250">
        <f>12816934.21-0.86</f>
        <v>12816933.350000001</v>
      </c>
      <c r="G12" s="73"/>
    </row>
    <row r="13" spans="2:12">
      <c r="B13" s="109" t="s">
        <v>6</v>
      </c>
      <c r="C13" s="208" t="s">
        <v>7</v>
      </c>
      <c r="D13" s="301">
        <v>1604.04</v>
      </c>
      <c r="E13" s="251">
        <v>287.23</v>
      </c>
    </row>
    <row r="14" spans="2:12">
      <c r="B14" s="109" t="s">
        <v>8</v>
      </c>
      <c r="C14" s="208" t="s">
        <v>10</v>
      </c>
      <c r="D14" s="301"/>
      <c r="E14" s="251"/>
    </row>
    <row r="15" spans="2:12">
      <c r="B15" s="109" t="s">
        <v>106</v>
      </c>
      <c r="C15" s="208" t="s">
        <v>11</v>
      </c>
      <c r="D15" s="301"/>
      <c r="E15" s="251"/>
    </row>
    <row r="16" spans="2:12">
      <c r="B16" s="110" t="s">
        <v>107</v>
      </c>
      <c r="C16" s="209" t="s">
        <v>12</v>
      </c>
      <c r="D16" s="302"/>
      <c r="E16" s="252"/>
    </row>
    <row r="17" spans="2:11" ht="13">
      <c r="B17" s="8" t="s">
        <v>13</v>
      </c>
      <c r="C17" s="210" t="s">
        <v>65</v>
      </c>
      <c r="D17" s="303">
        <f>D18</f>
        <v>18468.330000000002</v>
      </c>
      <c r="E17" s="253">
        <f>E18</f>
        <v>78873.600000000006</v>
      </c>
    </row>
    <row r="18" spans="2:11">
      <c r="B18" s="109" t="s">
        <v>4</v>
      </c>
      <c r="C18" s="208" t="s">
        <v>11</v>
      </c>
      <c r="D18" s="302">
        <v>18468.330000000002</v>
      </c>
      <c r="E18" s="252">
        <v>78873.600000000006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11419189.729999999</v>
      </c>
      <c r="E21" s="151">
        <f>E11-E17</f>
        <v>12738346.980000002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11876372.369999999</v>
      </c>
      <c r="E26" s="239">
        <f>D21</f>
        <v>11419189.729999999</v>
      </c>
      <c r="G26" s="76"/>
    </row>
    <row r="27" spans="2:11" ht="13">
      <c r="B27" s="8" t="s">
        <v>17</v>
      </c>
      <c r="C27" s="9" t="s">
        <v>111</v>
      </c>
      <c r="D27" s="360">
        <v>-977787.86999999976</v>
      </c>
      <c r="E27" s="275">
        <v>-634869.25</v>
      </c>
      <c r="F27" s="73"/>
      <c r="G27" s="255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368489.64</v>
      </c>
      <c r="E28" s="276">
        <v>516567.48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11662.2</v>
      </c>
      <c r="E29" s="277">
        <v>206206.98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356827.44</v>
      </c>
      <c r="E31" s="277">
        <v>310360.5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1346277.5099999998</v>
      </c>
      <c r="E32" s="276">
        <v>1151436.73</v>
      </c>
      <c r="F32" s="73"/>
      <c r="G32" s="255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1214390.3899999999</v>
      </c>
      <c r="E33" s="277">
        <v>952139.85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17994</v>
      </c>
      <c r="E35" s="277">
        <v>20477.89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/>
      <c r="E37" s="277"/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113893.12</v>
      </c>
      <c r="E39" s="278">
        <v>178818.99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520605.23</v>
      </c>
      <c r="E40" s="279">
        <v>1954026.5</v>
      </c>
      <c r="G40" s="76"/>
    </row>
    <row r="41" spans="2:10" ht="13.5" thickBot="1">
      <c r="B41" s="102" t="s">
        <v>37</v>
      </c>
      <c r="C41" s="103" t="s">
        <v>38</v>
      </c>
      <c r="D41" s="364">
        <v>11419189.73</v>
      </c>
      <c r="E41" s="151">
        <f>E26+E27+E40</f>
        <v>12738346.979999999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721664.47169999999</v>
      </c>
      <c r="E47" s="309">
        <v>659862.69909999997</v>
      </c>
      <c r="G47" s="73"/>
    </row>
    <row r="48" spans="2:10">
      <c r="B48" s="126" t="s">
        <v>6</v>
      </c>
      <c r="C48" s="21" t="s">
        <v>41</v>
      </c>
      <c r="D48" s="371">
        <v>659862.69909999997</v>
      </c>
      <c r="E48" s="309">
        <v>626182.80649999995</v>
      </c>
      <c r="G48" s="162"/>
      <c r="I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16.456900000000001</v>
      </c>
      <c r="E50" s="309">
        <v>17.305399999999999</v>
      </c>
      <c r="G50" s="183"/>
    </row>
    <row r="51" spans="2:7">
      <c r="B51" s="105" t="s">
        <v>6</v>
      </c>
      <c r="C51" s="14" t="s">
        <v>114</v>
      </c>
      <c r="D51" s="371">
        <v>13.7034</v>
      </c>
      <c r="E51" s="77">
        <v>17.3018</v>
      </c>
      <c r="G51" s="183"/>
    </row>
    <row r="52" spans="2:7" ht="12.75" customHeight="1">
      <c r="B52" s="105" t="s">
        <v>8</v>
      </c>
      <c r="C52" s="14" t="s">
        <v>115</v>
      </c>
      <c r="D52" s="371">
        <v>17.4588</v>
      </c>
      <c r="E52" s="77">
        <v>21.015999999999998</v>
      </c>
    </row>
    <row r="53" spans="2:7" ht="13" thickBot="1">
      <c r="B53" s="106" t="s">
        <v>9</v>
      </c>
      <c r="C53" s="16" t="s">
        <v>41</v>
      </c>
      <c r="D53" s="369">
        <v>17.305399999999999</v>
      </c>
      <c r="E53" s="280">
        <v>20.3429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12816933.350000001</v>
      </c>
      <c r="E58" s="30">
        <f>D58/E21</f>
        <v>1.0061692753481581</v>
      </c>
    </row>
    <row r="59" spans="2:7" ht="25">
      <c r="B59" s="197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195" t="s">
        <v>6</v>
      </c>
      <c r="C60" s="196" t="s">
        <v>45</v>
      </c>
      <c r="D60" s="80">
        <v>0</v>
      </c>
      <c r="E60" s="81">
        <v>0</v>
      </c>
    </row>
    <row r="61" spans="2:7">
      <c r="B61" s="195" t="s">
        <v>8</v>
      </c>
      <c r="C61" s="196" t="s">
        <v>46</v>
      </c>
      <c r="D61" s="80">
        <v>0</v>
      </c>
      <c r="E61" s="81">
        <v>0</v>
      </c>
    </row>
    <row r="62" spans="2:7">
      <c r="B62" s="195" t="s">
        <v>9</v>
      </c>
      <c r="C62" s="196" t="s">
        <v>47</v>
      </c>
      <c r="D62" s="80">
        <v>0</v>
      </c>
      <c r="E62" s="81">
        <v>0</v>
      </c>
    </row>
    <row r="63" spans="2:7">
      <c r="B63" s="195" t="s">
        <v>29</v>
      </c>
      <c r="C63" s="196" t="s">
        <v>48</v>
      </c>
      <c r="D63" s="80">
        <v>0</v>
      </c>
      <c r="E63" s="81">
        <v>0</v>
      </c>
    </row>
    <row r="64" spans="2:7">
      <c r="B64" s="197" t="s">
        <v>31</v>
      </c>
      <c r="C64" s="198" t="s">
        <v>49</v>
      </c>
      <c r="D64" s="82">
        <f>12816934.21-0.86</f>
        <v>12816933.350000001</v>
      </c>
      <c r="E64" s="83">
        <f>D64/E21</f>
        <v>1.0061692753481581</v>
      </c>
    </row>
    <row r="65" spans="2:5">
      <c r="B65" s="197" t="s">
        <v>33</v>
      </c>
      <c r="C65" s="198" t="s">
        <v>118</v>
      </c>
      <c r="D65" s="82">
        <v>0</v>
      </c>
      <c r="E65" s="83">
        <v>0</v>
      </c>
    </row>
    <row r="66" spans="2:5">
      <c r="B66" s="197" t="s">
        <v>50</v>
      </c>
      <c r="C66" s="198" t="s">
        <v>51</v>
      </c>
      <c r="D66" s="82">
        <v>0</v>
      </c>
      <c r="E66" s="83">
        <v>0</v>
      </c>
    </row>
    <row r="67" spans="2:5">
      <c r="B67" s="195" t="s">
        <v>52</v>
      </c>
      <c r="C67" s="196" t="s">
        <v>53</v>
      </c>
      <c r="D67" s="80">
        <v>0</v>
      </c>
      <c r="E67" s="81">
        <v>0</v>
      </c>
    </row>
    <row r="68" spans="2:5">
      <c r="B68" s="195" t="s">
        <v>54</v>
      </c>
      <c r="C68" s="196" t="s">
        <v>55</v>
      </c>
      <c r="D68" s="80">
        <v>0</v>
      </c>
      <c r="E68" s="81">
        <v>0</v>
      </c>
    </row>
    <row r="69" spans="2:5">
      <c r="B69" s="195" t="s">
        <v>56</v>
      </c>
      <c r="C69" s="196" t="s">
        <v>57</v>
      </c>
      <c r="D69" s="247">
        <v>0</v>
      </c>
      <c r="E69" s="81">
        <v>0</v>
      </c>
    </row>
    <row r="70" spans="2:5">
      <c r="B70" s="241" t="s">
        <v>58</v>
      </c>
      <c r="C70" s="240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f>E13</f>
        <v>287.23</v>
      </c>
      <c r="E71" s="66">
        <f>D71/E21</f>
        <v>2.254845157310984E-5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78873.600000000006</v>
      </c>
      <c r="E73" s="25">
        <f>D73/E21</f>
        <v>6.1918237997313523E-3</v>
      </c>
    </row>
    <row r="74" spans="2:5" ht="13">
      <c r="B74" s="133" t="s">
        <v>64</v>
      </c>
      <c r="C74" s="124" t="s">
        <v>66</v>
      </c>
      <c r="D74" s="125">
        <f>D58+D72-D73+D71</f>
        <v>12738346.980000002</v>
      </c>
      <c r="E74" s="66">
        <f>E58+E71+E72-E73</f>
        <v>0.99999999999999978</v>
      </c>
    </row>
    <row r="75" spans="2:5">
      <c r="B75" s="195" t="s">
        <v>4</v>
      </c>
      <c r="C75" s="196" t="s">
        <v>67</v>
      </c>
      <c r="D75" s="80">
        <f>D74</f>
        <v>12738346.980000002</v>
      </c>
      <c r="E75" s="81">
        <f>E74</f>
        <v>0.99999999999999978</v>
      </c>
    </row>
    <row r="76" spans="2:5">
      <c r="B76" s="195" t="s">
        <v>6</v>
      </c>
      <c r="C76" s="196" t="s">
        <v>119</v>
      </c>
      <c r="D76" s="80">
        <v>0</v>
      </c>
      <c r="E76" s="81">
        <v>0</v>
      </c>
    </row>
    <row r="77" spans="2:5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6999999999999995" right="0.75" top="0.56999999999999995" bottom="0.43" header="0.5" footer="0.5"/>
  <pageSetup paperSize="9" scale="7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L81"/>
  <sheetViews>
    <sheetView zoomScale="80" zoomScaleNormal="80" workbookViewId="0">
      <selection activeCell="A2" sqref="A2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3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72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11628554.66</v>
      </c>
      <c r="E11" s="245">
        <f>SUM(E12:E14)</f>
        <v>9346445.9700000007</v>
      </c>
      <c r="J11" s="67"/>
    </row>
    <row r="12" spans="2:12">
      <c r="B12" s="109" t="s">
        <v>4</v>
      </c>
      <c r="C12" s="208" t="s">
        <v>5</v>
      </c>
      <c r="D12" s="300">
        <v>11628554.66</v>
      </c>
      <c r="E12" s="250">
        <f>9346446.51-0.54</f>
        <v>9346445.9700000007</v>
      </c>
      <c r="G12" s="73"/>
    </row>
    <row r="13" spans="2:12">
      <c r="B13" s="109" t="s">
        <v>6</v>
      </c>
      <c r="C13" s="208" t="s">
        <v>7</v>
      </c>
      <c r="D13" s="301"/>
      <c r="E13" s="251"/>
    </row>
    <row r="14" spans="2:12">
      <c r="B14" s="109" t="s">
        <v>8</v>
      </c>
      <c r="C14" s="208" t="s">
        <v>10</v>
      </c>
      <c r="D14" s="301"/>
      <c r="E14" s="251"/>
    </row>
    <row r="15" spans="2:12">
      <c r="B15" s="109" t="s">
        <v>106</v>
      </c>
      <c r="C15" s="208" t="s">
        <v>11</v>
      </c>
      <c r="D15" s="301"/>
      <c r="E15" s="251"/>
    </row>
    <row r="16" spans="2:12">
      <c r="B16" s="110" t="s">
        <v>107</v>
      </c>
      <c r="C16" s="209" t="s">
        <v>12</v>
      </c>
      <c r="D16" s="302"/>
      <c r="E16" s="252"/>
    </row>
    <row r="17" spans="2:11" ht="13">
      <c r="B17" s="8" t="s">
        <v>13</v>
      </c>
      <c r="C17" s="210" t="s">
        <v>65</v>
      </c>
      <c r="D17" s="303">
        <f>D18</f>
        <v>96763.82</v>
      </c>
      <c r="E17" s="253">
        <f>E18</f>
        <v>17844.71</v>
      </c>
    </row>
    <row r="18" spans="2:11">
      <c r="B18" s="109" t="s">
        <v>4</v>
      </c>
      <c r="C18" s="208" t="s">
        <v>11</v>
      </c>
      <c r="D18" s="302">
        <v>96763.82</v>
      </c>
      <c r="E18" s="252">
        <v>17844.71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11531790.84</v>
      </c>
      <c r="E21" s="151">
        <f>E11-E17</f>
        <v>9328601.2599999998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11565329.309999999</v>
      </c>
      <c r="E26" s="239">
        <f>D21</f>
        <v>11531790.84</v>
      </c>
      <c r="G26" s="76"/>
    </row>
    <row r="27" spans="2:11" ht="13">
      <c r="B27" s="8" t="s">
        <v>17</v>
      </c>
      <c r="C27" s="9" t="s">
        <v>111</v>
      </c>
      <c r="D27" s="360">
        <v>-1307192.19</v>
      </c>
      <c r="E27" s="275">
        <v>-737870.14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39879.760000000002</v>
      </c>
      <c r="E28" s="276">
        <v>155281.41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/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39879.760000000002</v>
      </c>
      <c r="E31" s="277">
        <v>155281.41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1347071.95</v>
      </c>
      <c r="E32" s="276">
        <v>893151.55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1295404.58</v>
      </c>
      <c r="E33" s="277">
        <v>849974.83000000007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18724.689999999999</v>
      </c>
      <c r="E35" s="277">
        <v>18163.07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/>
      <c r="E37" s="277"/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32942.68</v>
      </c>
      <c r="E39" s="278">
        <v>25013.65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1273653.72</v>
      </c>
      <c r="E40" s="279">
        <v>-1465319.44</v>
      </c>
      <c r="G40" s="76"/>
    </row>
    <row r="41" spans="2:10" ht="13.5" thickBot="1">
      <c r="B41" s="102" t="s">
        <v>37</v>
      </c>
      <c r="C41" s="103" t="s">
        <v>38</v>
      </c>
      <c r="D41" s="364">
        <v>11531790.84</v>
      </c>
      <c r="E41" s="151">
        <f>E26+E27+E40</f>
        <v>9328601.2599999998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962894.64320000005</v>
      </c>
      <c r="E47" s="309">
        <v>849395.17279999994</v>
      </c>
      <c r="G47" s="73"/>
    </row>
    <row r="48" spans="2:10">
      <c r="B48" s="126" t="s">
        <v>6</v>
      </c>
      <c r="C48" s="21" t="s">
        <v>41</v>
      </c>
      <c r="D48" s="371">
        <v>849395.17279999994</v>
      </c>
      <c r="E48" s="309">
        <v>792312.96759999997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12.010999999999999</v>
      </c>
      <c r="E50" s="309">
        <v>13.576499999999999</v>
      </c>
      <c r="G50" s="183"/>
    </row>
    <row r="51" spans="2:7">
      <c r="B51" s="105" t="s">
        <v>6</v>
      </c>
      <c r="C51" s="14" t="s">
        <v>114</v>
      </c>
      <c r="D51" s="371">
        <v>9.7369000000000003</v>
      </c>
      <c r="E51" s="77">
        <v>11.59</v>
      </c>
      <c r="G51" s="183"/>
    </row>
    <row r="52" spans="2:7" ht="12.75" customHeight="1">
      <c r="B52" s="105" t="s">
        <v>8</v>
      </c>
      <c r="C52" s="14" t="s">
        <v>115</v>
      </c>
      <c r="D52" s="371">
        <v>13.576499999999999</v>
      </c>
      <c r="E52" s="77">
        <v>14.5459</v>
      </c>
    </row>
    <row r="53" spans="2:7" ht="13" thickBot="1">
      <c r="B53" s="106" t="s">
        <v>9</v>
      </c>
      <c r="C53" s="16" t="s">
        <v>41</v>
      </c>
      <c r="D53" s="369">
        <v>13.576499999999999</v>
      </c>
      <c r="E53" s="280">
        <v>11.773899999999999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9346445.9700000007</v>
      </c>
      <c r="E58" s="30">
        <f>D58/E21</f>
        <v>1.0019129030711729</v>
      </c>
    </row>
    <row r="59" spans="2:7" ht="25">
      <c r="B59" s="197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195" t="s">
        <v>6</v>
      </c>
      <c r="C60" s="196" t="s">
        <v>45</v>
      </c>
      <c r="D60" s="80">
        <v>0</v>
      </c>
      <c r="E60" s="81">
        <v>0</v>
      </c>
    </row>
    <row r="61" spans="2:7">
      <c r="B61" s="195" t="s">
        <v>8</v>
      </c>
      <c r="C61" s="196" t="s">
        <v>46</v>
      </c>
      <c r="D61" s="80">
        <v>0</v>
      </c>
      <c r="E61" s="81">
        <v>0</v>
      </c>
    </row>
    <row r="62" spans="2:7">
      <c r="B62" s="195" t="s">
        <v>9</v>
      </c>
      <c r="C62" s="196" t="s">
        <v>47</v>
      </c>
      <c r="D62" s="80">
        <v>0</v>
      </c>
      <c r="E62" s="81">
        <v>0</v>
      </c>
    </row>
    <row r="63" spans="2:7">
      <c r="B63" s="195" t="s">
        <v>29</v>
      </c>
      <c r="C63" s="196" t="s">
        <v>48</v>
      </c>
      <c r="D63" s="80">
        <v>0</v>
      </c>
      <c r="E63" s="81">
        <v>0</v>
      </c>
    </row>
    <row r="64" spans="2:7">
      <c r="B64" s="197" t="s">
        <v>31</v>
      </c>
      <c r="C64" s="198" t="s">
        <v>49</v>
      </c>
      <c r="D64" s="82">
        <f>E12</f>
        <v>9346445.9700000007</v>
      </c>
      <c r="E64" s="83">
        <f>D64/E21</f>
        <v>1.0019129030711729</v>
      </c>
    </row>
    <row r="65" spans="2:5">
      <c r="B65" s="197" t="s">
        <v>33</v>
      </c>
      <c r="C65" s="198" t="s">
        <v>118</v>
      </c>
      <c r="D65" s="82">
        <v>0</v>
      </c>
      <c r="E65" s="83">
        <v>0</v>
      </c>
    </row>
    <row r="66" spans="2:5">
      <c r="B66" s="197" t="s">
        <v>50</v>
      </c>
      <c r="C66" s="198" t="s">
        <v>51</v>
      </c>
      <c r="D66" s="82">
        <v>0</v>
      </c>
      <c r="E66" s="83">
        <v>0</v>
      </c>
    </row>
    <row r="67" spans="2:5">
      <c r="B67" s="195" t="s">
        <v>52</v>
      </c>
      <c r="C67" s="196" t="s">
        <v>53</v>
      </c>
      <c r="D67" s="80">
        <v>0</v>
      </c>
      <c r="E67" s="81">
        <v>0</v>
      </c>
    </row>
    <row r="68" spans="2:5">
      <c r="B68" s="195" t="s">
        <v>54</v>
      </c>
      <c r="C68" s="196" t="s">
        <v>55</v>
      </c>
      <c r="D68" s="80">
        <v>0</v>
      </c>
      <c r="E68" s="81">
        <v>0</v>
      </c>
    </row>
    <row r="69" spans="2:5">
      <c r="B69" s="195" t="s">
        <v>56</v>
      </c>
      <c r="C69" s="196" t="s">
        <v>57</v>
      </c>
      <c r="D69" s="247">
        <v>0</v>
      </c>
      <c r="E69" s="81">
        <v>0</v>
      </c>
    </row>
    <row r="70" spans="2:5">
      <c r="B70" s="241" t="s">
        <v>58</v>
      </c>
      <c r="C70" s="240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5" ht="13">
      <c r="B73" s="135" t="s">
        <v>62</v>
      </c>
      <c r="C73" s="23" t="s">
        <v>65</v>
      </c>
      <c r="D73" s="24">
        <f>E17</f>
        <v>17844.71</v>
      </c>
      <c r="E73" s="25">
        <f>D73/E21</f>
        <v>1.9129030711727516E-3</v>
      </c>
    </row>
    <row r="74" spans="2:5" ht="13">
      <c r="B74" s="133" t="s">
        <v>64</v>
      </c>
      <c r="C74" s="124" t="s">
        <v>66</v>
      </c>
      <c r="D74" s="125">
        <f>D58-D73+D72</f>
        <v>9328601.2599999998</v>
      </c>
      <c r="E74" s="66">
        <f>E58+E72-E73</f>
        <v>1.0000000000000002</v>
      </c>
    </row>
    <row r="75" spans="2:5">
      <c r="B75" s="195" t="s">
        <v>4</v>
      </c>
      <c r="C75" s="196" t="s">
        <v>67</v>
      </c>
      <c r="D75" s="80">
        <f>D74</f>
        <v>9328601.2599999998</v>
      </c>
      <c r="E75" s="81">
        <f>E74</f>
        <v>1.0000000000000002</v>
      </c>
    </row>
    <row r="76" spans="2:5">
      <c r="B76" s="195" t="s">
        <v>6</v>
      </c>
      <c r="C76" s="196" t="s">
        <v>119</v>
      </c>
      <c r="D76" s="80">
        <v>0</v>
      </c>
      <c r="E76" s="81">
        <v>0</v>
      </c>
    </row>
    <row r="77" spans="2:5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" right="0.75" top="0.62" bottom="0.47" header="0.5" footer="0.5"/>
  <pageSetup paperSize="9" scale="7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L81"/>
  <sheetViews>
    <sheetView zoomScale="80" zoomScaleNormal="80" workbookViewId="0">
      <selection activeCell="I12" sqref="I12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3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73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1830177.17</v>
      </c>
      <c r="E11" s="245">
        <f>SUM(E12:E14)</f>
        <v>1805374.8299999998</v>
      </c>
      <c r="H11" s="73"/>
    </row>
    <row r="12" spans="2:12">
      <c r="B12" s="109" t="s">
        <v>4</v>
      </c>
      <c r="C12" s="208" t="s">
        <v>5</v>
      </c>
      <c r="D12" s="300">
        <f>1828239.13+1938.04</f>
        <v>1830177.17</v>
      </c>
      <c r="E12" s="250">
        <v>1802377.19</v>
      </c>
      <c r="G12" s="67"/>
      <c r="H12" s="73"/>
    </row>
    <row r="13" spans="2:12">
      <c r="B13" s="109" t="s">
        <v>6</v>
      </c>
      <c r="C13" s="208" t="s">
        <v>7</v>
      </c>
      <c r="D13" s="301"/>
      <c r="E13" s="251">
        <v>2997.64</v>
      </c>
      <c r="H13" s="73"/>
    </row>
    <row r="14" spans="2:12">
      <c r="B14" s="109" t="s">
        <v>8</v>
      </c>
      <c r="C14" s="208" t="s">
        <v>10</v>
      </c>
      <c r="D14" s="301"/>
      <c r="E14" s="251"/>
      <c r="H14" s="73"/>
    </row>
    <row r="15" spans="2:12">
      <c r="B15" s="109" t="s">
        <v>106</v>
      </c>
      <c r="C15" s="208" t="s">
        <v>11</v>
      </c>
      <c r="D15" s="301"/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3004.29</v>
      </c>
      <c r="E17" s="253">
        <f>E18</f>
        <v>3001.57</v>
      </c>
    </row>
    <row r="18" spans="2:11">
      <c r="B18" s="109" t="s">
        <v>4</v>
      </c>
      <c r="C18" s="208" t="s">
        <v>11</v>
      </c>
      <c r="D18" s="302">
        <v>3004.29</v>
      </c>
      <c r="E18" s="252">
        <v>3001.57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1827172.88</v>
      </c>
      <c r="E21" s="151">
        <f>E11-E17</f>
        <v>1802373.2599999998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1948696.8</v>
      </c>
      <c r="E26" s="239">
        <f>D21</f>
        <v>1827172.88</v>
      </c>
      <c r="G26" s="76"/>
    </row>
    <row r="27" spans="2:11" ht="13">
      <c r="B27" s="8" t="s">
        <v>17</v>
      </c>
      <c r="C27" s="9" t="s">
        <v>111</v>
      </c>
      <c r="D27" s="360">
        <v>-134529.88</v>
      </c>
      <c r="E27" s="275">
        <v>-145458.04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255"/>
      <c r="H28" s="255"/>
      <c r="I28" s="73"/>
      <c r="J28" s="76"/>
    </row>
    <row r="29" spans="2:11" ht="13">
      <c r="B29" s="107" t="s">
        <v>4</v>
      </c>
      <c r="C29" s="185" t="s">
        <v>20</v>
      </c>
      <c r="D29" s="361"/>
      <c r="E29" s="277"/>
      <c r="F29" s="73"/>
      <c r="G29" s="255"/>
      <c r="H29" s="255"/>
      <c r="I29" s="73"/>
      <c r="J29" s="76"/>
    </row>
    <row r="30" spans="2:11" ht="13">
      <c r="B30" s="107" t="s">
        <v>6</v>
      </c>
      <c r="C30" s="18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18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134529.88</v>
      </c>
      <c r="E32" s="276">
        <v>145458.04</v>
      </c>
      <c r="F32" s="73"/>
      <c r="G32" s="256"/>
      <c r="H32" s="255"/>
      <c r="I32" s="73"/>
      <c r="J32" s="76"/>
    </row>
    <row r="33" spans="2:10" ht="13">
      <c r="B33" s="107" t="s">
        <v>4</v>
      </c>
      <c r="C33" s="185" t="s">
        <v>25</v>
      </c>
      <c r="D33" s="361">
        <v>107227.34</v>
      </c>
      <c r="E33" s="277">
        <v>120135.19</v>
      </c>
      <c r="F33" s="73"/>
      <c r="G33" s="255"/>
      <c r="H33" s="255"/>
      <c r="I33" s="73"/>
      <c r="J33" s="76"/>
    </row>
    <row r="34" spans="2:10" ht="13">
      <c r="B34" s="107" t="s">
        <v>6</v>
      </c>
      <c r="C34" s="18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185" t="s">
        <v>27</v>
      </c>
      <c r="D35" s="361">
        <v>27134.44</v>
      </c>
      <c r="E35" s="277">
        <v>25314.82</v>
      </c>
      <c r="F35" s="73"/>
      <c r="G35" s="255"/>
      <c r="H35" s="255"/>
      <c r="I35" s="73"/>
      <c r="J35" s="76"/>
    </row>
    <row r="36" spans="2:10" ht="13">
      <c r="B36" s="107" t="s">
        <v>9</v>
      </c>
      <c r="C36" s="18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185" t="s">
        <v>30</v>
      </c>
      <c r="D37" s="361"/>
      <c r="E37" s="277"/>
      <c r="F37" s="73"/>
      <c r="G37" s="255"/>
      <c r="H37" s="255"/>
      <c r="I37" s="73"/>
      <c r="J37" s="76"/>
    </row>
    <row r="38" spans="2:10" ht="13">
      <c r="B38" s="107" t="s">
        <v>31</v>
      </c>
      <c r="C38" s="18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94" t="s">
        <v>34</v>
      </c>
      <c r="D39" s="362">
        <v>168.1</v>
      </c>
      <c r="E39" s="278">
        <v>8.0299999999999994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13005.96</v>
      </c>
      <c r="E40" s="279">
        <v>120658.42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1827172.88</v>
      </c>
      <c r="E41" s="151">
        <f>E26+E27+E40</f>
        <v>1802373.2599999998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96" t="s">
        <v>40</v>
      </c>
      <c r="D47" s="371">
        <v>282730.88414400001</v>
      </c>
      <c r="E47" s="309">
        <v>261484.98209899999</v>
      </c>
      <c r="G47" s="73"/>
    </row>
    <row r="48" spans="2:10">
      <c r="B48" s="126" t="s">
        <v>6</v>
      </c>
      <c r="C48" s="198" t="s">
        <v>41</v>
      </c>
      <c r="D48" s="371">
        <v>261484.98209899999</v>
      </c>
      <c r="E48" s="309">
        <v>242150.52607600001</v>
      </c>
      <c r="G48" s="162"/>
      <c r="I48" s="162"/>
    </row>
    <row r="49" spans="2:7" ht="13">
      <c r="B49" s="123" t="s">
        <v>23</v>
      </c>
      <c r="C49" s="127" t="s">
        <v>113</v>
      </c>
      <c r="D49" s="373"/>
      <c r="E49" s="309"/>
    </row>
    <row r="50" spans="2:7">
      <c r="B50" s="105" t="s">
        <v>4</v>
      </c>
      <c r="C50" s="196" t="s">
        <v>40</v>
      </c>
      <c r="D50" s="371">
        <v>6.8924089999999998</v>
      </c>
      <c r="E50" s="309">
        <v>6.9876779999999998</v>
      </c>
      <c r="G50" s="183"/>
    </row>
    <row r="51" spans="2:7">
      <c r="B51" s="105" t="s">
        <v>6</v>
      </c>
      <c r="C51" s="196" t="s">
        <v>114</v>
      </c>
      <c r="D51" s="371">
        <v>5.0300070000000003</v>
      </c>
      <c r="E51" s="309">
        <v>6.9865849999999998</v>
      </c>
      <c r="G51" s="183"/>
    </row>
    <row r="52" spans="2:7" ht="12.75" customHeight="1">
      <c r="B52" s="105" t="s">
        <v>8</v>
      </c>
      <c r="C52" s="196" t="s">
        <v>115</v>
      </c>
      <c r="D52" s="371">
        <v>6.9880420000000001</v>
      </c>
      <c r="E52" s="309">
        <v>7.8708710000000002</v>
      </c>
    </row>
    <row r="53" spans="2:7" ht="13" thickBot="1">
      <c r="B53" s="106" t="s">
        <v>9</v>
      </c>
      <c r="C53" s="200" t="s">
        <v>41</v>
      </c>
      <c r="D53" s="369">
        <v>6.9876779999999998</v>
      </c>
      <c r="E53" s="280">
        <v>7.4431940000000001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D64+D69</f>
        <v>1802377.19</v>
      </c>
      <c r="E58" s="30">
        <f>D58/E21</f>
        <v>1.0000021804584474</v>
      </c>
    </row>
    <row r="59" spans="2:7" ht="25">
      <c r="B59" s="197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195" t="s">
        <v>6</v>
      </c>
      <c r="C60" s="196" t="s">
        <v>45</v>
      </c>
      <c r="D60" s="80">
        <v>0</v>
      </c>
      <c r="E60" s="81">
        <v>0</v>
      </c>
    </row>
    <row r="61" spans="2:7">
      <c r="B61" s="195" t="s">
        <v>8</v>
      </c>
      <c r="C61" s="196" t="s">
        <v>46</v>
      </c>
      <c r="D61" s="80">
        <v>0</v>
      </c>
      <c r="E61" s="81">
        <v>0</v>
      </c>
    </row>
    <row r="62" spans="2:7">
      <c r="B62" s="195" t="s">
        <v>9</v>
      </c>
      <c r="C62" s="196" t="s">
        <v>47</v>
      </c>
      <c r="D62" s="80">
        <v>0</v>
      </c>
      <c r="E62" s="81">
        <v>0</v>
      </c>
    </row>
    <row r="63" spans="2:7">
      <c r="B63" s="195" t="s">
        <v>29</v>
      </c>
      <c r="C63" s="196" t="s">
        <v>48</v>
      </c>
      <c r="D63" s="80">
        <v>0</v>
      </c>
      <c r="E63" s="81">
        <v>0</v>
      </c>
    </row>
    <row r="64" spans="2:7">
      <c r="B64" s="197" t="s">
        <v>31</v>
      </c>
      <c r="C64" s="198" t="s">
        <v>49</v>
      </c>
      <c r="D64" s="82">
        <f>E12</f>
        <v>1802377.19</v>
      </c>
      <c r="E64" s="83">
        <f>D64/E21</f>
        <v>1.0000021804584474</v>
      </c>
    </row>
    <row r="65" spans="2:7">
      <c r="B65" s="197" t="s">
        <v>33</v>
      </c>
      <c r="C65" s="198" t="s">
        <v>118</v>
      </c>
      <c r="D65" s="82">
        <v>0</v>
      </c>
      <c r="E65" s="83">
        <v>0</v>
      </c>
      <c r="G65" s="73"/>
    </row>
    <row r="66" spans="2:7">
      <c r="B66" s="197" t="s">
        <v>50</v>
      </c>
      <c r="C66" s="198" t="s">
        <v>51</v>
      </c>
      <c r="D66" s="82">
        <v>0</v>
      </c>
      <c r="E66" s="83">
        <v>0</v>
      </c>
    </row>
    <row r="67" spans="2:7">
      <c r="B67" s="195" t="s">
        <v>52</v>
      </c>
      <c r="C67" s="196" t="s">
        <v>53</v>
      </c>
      <c r="D67" s="80">
        <v>0</v>
      </c>
      <c r="E67" s="81">
        <v>0</v>
      </c>
    </row>
    <row r="68" spans="2:7">
      <c r="B68" s="195" t="s">
        <v>54</v>
      </c>
      <c r="C68" s="196" t="s">
        <v>55</v>
      </c>
      <c r="D68" s="80">
        <v>0</v>
      </c>
      <c r="E68" s="81">
        <v>0</v>
      </c>
      <c r="G68" s="67"/>
    </row>
    <row r="69" spans="2:7" ht="14.5">
      <c r="B69" s="195" t="s">
        <v>56</v>
      </c>
      <c r="C69" s="196" t="s">
        <v>57</v>
      </c>
      <c r="D69" s="389">
        <v>0</v>
      </c>
      <c r="E69" s="81">
        <f>D69/E21</f>
        <v>0</v>
      </c>
    </row>
    <row r="70" spans="2:7">
      <c r="B70" s="241" t="s">
        <v>58</v>
      </c>
      <c r="C70" s="240" t="s">
        <v>59</v>
      </c>
      <c r="D70" s="117">
        <v>0</v>
      </c>
      <c r="E70" s="118">
        <v>0</v>
      </c>
    </row>
    <row r="71" spans="2:7" ht="13">
      <c r="B71" s="133" t="s">
        <v>23</v>
      </c>
      <c r="C71" s="124" t="s">
        <v>61</v>
      </c>
      <c r="D71" s="125">
        <f>E13</f>
        <v>2997.64</v>
      </c>
      <c r="E71" s="66">
        <f>D71/E21</f>
        <v>1.6631627124783243E-3</v>
      </c>
    </row>
    <row r="72" spans="2:7" ht="13">
      <c r="B72" s="134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135" t="s">
        <v>62</v>
      </c>
      <c r="C73" s="23" t="s">
        <v>65</v>
      </c>
      <c r="D73" s="24">
        <f>E17</f>
        <v>3001.57</v>
      </c>
      <c r="E73" s="25">
        <f>D73/E21</f>
        <v>1.6653431709256498E-3</v>
      </c>
    </row>
    <row r="74" spans="2:7" ht="13">
      <c r="B74" s="133" t="s">
        <v>64</v>
      </c>
      <c r="C74" s="124" t="s">
        <v>66</v>
      </c>
      <c r="D74" s="125">
        <f>D58+D72-D73+D71</f>
        <v>1802373.2599999998</v>
      </c>
      <c r="E74" s="66">
        <f>E58+E72-E73+E71</f>
        <v>1</v>
      </c>
    </row>
    <row r="75" spans="2:7">
      <c r="B75" s="195" t="s">
        <v>4</v>
      </c>
      <c r="C75" s="196" t="s">
        <v>67</v>
      </c>
      <c r="D75" s="80">
        <f>D74</f>
        <v>1802373.2599999998</v>
      </c>
      <c r="E75" s="81">
        <f>E74</f>
        <v>1</v>
      </c>
    </row>
    <row r="76" spans="2:7">
      <c r="B76" s="195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48" right="0.75" top="0.56999999999999995" bottom="0.4" header="0.5" footer="0.5"/>
  <pageSetup paperSize="9" scale="7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2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76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2816220.92</v>
      </c>
      <c r="E11" s="245">
        <f>SUM(E12:E14)</f>
        <v>2434815.31</v>
      </c>
    </row>
    <row r="12" spans="2:12">
      <c r="B12" s="109" t="s">
        <v>4</v>
      </c>
      <c r="C12" s="208" t="s">
        <v>5</v>
      </c>
      <c r="D12" s="300">
        <f>2811262.8+4958.12</f>
        <v>2816220.92</v>
      </c>
      <c r="E12" s="250">
        <v>2430665.02</v>
      </c>
      <c r="G12" s="67"/>
      <c r="H12" s="73"/>
    </row>
    <row r="13" spans="2:12">
      <c r="B13" s="109" t="s">
        <v>6</v>
      </c>
      <c r="C13" s="208" t="s">
        <v>7</v>
      </c>
      <c r="D13" s="301"/>
      <c r="E13" s="251">
        <v>4150.29</v>
      </c>
      <c r="H13" s="73"/>
    </row>
    <row r="14" spans="2:12">
      <c r="B14" s="109" t="s">
        <v>8</v>
      </c>
      <c r="C14" s="208" t="s">
        <v>10</v>
      </c>
      <c r="D14" s="301"/>
      <c r="E14" s="251"/>
      <c r="H14" s="73"/>
    </row>
    <row r="15" spans="2:12">
      <c r="B15" s="109" t="s">
        <v>106</v>
      </c>
      <c r="C15" s="208" t="s">
        <v>11</v>
      </c>
      <c r="D15" s="301"/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4562.12</v>
      </c>
      <c r="E17" s="253">
        <f>E18</f>
        <v>3977.36</v>
      </c>
      <c r="H17" s="73"/>
    </row>
    <row r="18" spans="2:11">
      <c r="B18" s="109" t="s">
        <v>4</v>
      </c>
      <c r="C18" s="208" t="s">
        <v>11</v>
      </c>
      <c r="D18" s="302">
        <v>4562.12</v>
      </c>
      <c r="E18" s="252">
        <v>3977.36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2811658.8</v>
      </c>
      <c r="E21" s="151">
        <f>E11-E17</f>
        <v>2430837.9500000002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3022330.41</v>
      </c>
      <c r="E26" s="239">
        <f>D21</f>
        <v>2811658.8</v>
      </c>
      <c r="G26" s="76"/>
      <c r="H26" s="242"/>
    </row>
    <row r="27" spans="2:11" ht="13">
      <c r="B27" s="8" t="s">
        <v>17</v>
      </c>
      <c r="C27" s="9" t="s">
        <v>111</v>
      </c>
      <c r="D27" s="360">
        <v>-286232.66000000003</v>
      </c>
      <c r="E27" s="275">
        <v>-216797.17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0</v>
      </c>
      <c r="E28" s="276">
        <v>1932.2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/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>
        <v>1932.2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286232.66000000003</v>
      </c>
      <c r="E32" s="276">
        <v>218729.37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256519.87</v>
      </c>
      <c r="E33" s="277">
        <v>193548.49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29557.89</v>
      </c>
      <c r="E35" s="277">
        <v>25180.880000000001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/>
      <c r="E37" s="277"/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154.9</v>
      </c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75561.05</v>
      </c>
      <c r="E40" s="279">
        <v>-164023.67999999999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2811658.8</v>
      </c>
      <c r="E41" s="151">
        <f>E26+E27+E40</f>
        <v>2430837.9499999997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286019.73003599996</v>
      </c>
      <c r="E47" s="309">
        <v>258386.366056</v>
      </c>
      <c r="G47" s="73"/>
    </row>
    <row r="48" spans="2:10">
      <c r="B48" s="126" t="s">
        <v>6</v>
      </c>
      <c r="C48" s="21" t="s">
        <v>41</v>
      </c>
      <c r="D48" s="371">
        <v>258386.366056</v>
      </c>
      <c r="E48" s="309">
        <v>238212.70165100001</v>
      </c>
      <c r="G48" s="73"/>
      <c r="I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10.56686</v>
      </c>
      <c r="E50" s="309">
        <v>10.881607000000001</v>
      </c>
      <c r="G50" s="183"/>
    </row>
    <row r="51" spans="2:7">
      <c r="B51" s="105" t="s">
        <v>6</v>
      </c>
      <c r="C51" s="14" t="s">
        <v>114</v>
      </c>
      <c r="D51" s="371">
        <v>9.9116029999999995</v>
      </c>
      <c r="E51" s="77">
        <v>10.177099999999999</v>
      </c>
      <c r="G51" s="183"/>
    </row>
    <row r="52" spans="2:7" ht="12" customHeight="1">
      <c r="B52" s="105" t="s">
        <v>8</v>
      </c>
      <c r="C52" s="14" t="s">
        <v>115</v>
      </c>
      <c r="D52" s="371">
        <v>10.88217</v>
      </c>
      <c r="E52" s="77">
        <v>11.333679999999999</v>
      </c>
    </row>
    <row r="53" spans="2:7" ht="13" thickBot="1">
      <c r="B53" s="106" t="s">
        <v>9</v>
      </c>
      <c r="C53" s="16" t="s">
        <v>41</v>
      </c>
      <c r="D53" s="369">
        <v>10.881607000000001</v>
      </c>
      <c r="E53" s="280">
        <v>10.204485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D64+D69</f>
        <v>2430665.02</v>
      </c>
      <c r="E58" s="30">
        <f>D58/E21</f>
        <v>0.99992885992256286</v>
      </c>
    </row>
    <row r="59" spans="2:7" ht="25">
      <c r="B59" s="197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195" t="s">
        <v>6</v>
      </c>
      <c r="C60" s="196" t="s">
        <v>45</v>
      </c>
      <c r="D60" s="80">
        <v>0</v>
      </c>
      <c r="E60" s="81">
        <v>0</v>
      </c>
    </row>
    <row r="61" spans="2:7">
      <c r="B61" s="195" t="s">
        <v>8</v>
      </c>
      <c r="C61" s="196" t="s">
        <v>46</v>
      </c>
      <c r="D61" s="80">
        <v>0</v>
      </c>
      <c r="E61" s="81">
        <v>0</v>
      </c>
    </row>
    <row r="62" spans="2:7">
      <c r="B62" s="195" t="s">
        <v>9</v>
      </c>
      <c r="C62" s="196" t="s">
        <v>47</v>
      </c>
      <c r="D62" s="80">
        <v>0</v>
      </c>
      <c r="E62" s="81">
        <v>0</v>
      </c>
    </row>
    <row r="63" spans="2:7">
      <c r="B63" s="195" t="s">
        <v>29</v>
      </c>
      <c r="C63" s="196" t="s">
        <v>48</v>
      </c>
      <c r="D63" s="80">
        <v>0</v>
      </c>
      <c r="E63" s="81">
        <v>0</v>
      </c>
    </row>
    <row r="64" spans="2:7">
      <c r="B64" s="197" t="s">
        <v>31</v>
      </c>
      <c r="C64" s="198" t="s">
        <v>49</v>
      </c>
      <c r="D64" s="82">
        <f>E12</f>
        <v>2430665.02</v>
      </c>
      <c r="E64" s="83">
        <f>D64/E21</f>
        <v>0.99992885992256286</v>
      </c>
    </row>
    <row r="65" spans="2:7">
      <c r="B65" s="197" t="s">
        <v>33</v>
      </c>
      <c r="C65" s="198" t="s">
        <v>118</v>
      </c>
      <c r="D65" s="82">
        <v>0</v>
      </c>
      <c r="E65" s="83">
        <v>0</v>
      </c>
    </row>
    <row r="66" spans="2:7">
      <c r="B66" s="197" t="s">
        <v>50</v>
      </c>
      <c r="C66" s="198" t="s">
        <v>51</v>
      </c>
      <c r="D66" s="82">
        <v>0</v>
      </c>
      <c r="E66" s="83">
        <v>0</v>
      </c>
    </row>
    <row r="67" spans="2:7">
      <c r="B67" s="195" t="s">
        <v>52</v>
      </c>
      <c r="C67" s="196" t="s">
        <v>53</v>
      </c>
      <c r="D67" s="80">
        <v>0</v>
      </c>
      <c r="E67" s="81">
        <v>0</v>
      </c>
    </row>
    <row r="68" spans="2:7">
      <c r="B68" s="195" t="s">
        <v>54</v>
      </c>
      <c r="C68" s="196" t="s">
        <v>55</v>
      </c>
      <c r="D68" s="80">
        <v>0</v>
      </c>
      <c r="E68" s="81">
        <v>0</v>
      </c>
    </row>
    <row r="69" spans="2:7" ht="14.5">
      <c r="B69" s="195" t="s">
        <v>56</v>
      </c>
      <c r="C69" s="196" t="s">
        <v>57</v>
      </c>
      <c r="D69" s="389">
        <v>0</v>
      </c>
      <c r="E69" s="81">
        <f>D69/E21</f>
        <v>0</v>
      </c>
    </row>
    <row r="70" spans="2:7">
      <c r="B70" s="241" t="s">
        <v>58</v>
      </c>
      <c r="C70" s="240" t="s">
        <v>59</v>
      </c>
      <c r="D70" s="117">
        <v>0</v>
      </c>
      <c r="E70" s="118">
        <v>0</v>
      </c>
      <c r="G70" s="73"/>
    </row>
    <row r="71" spans="2:7" ht="13">
      <c r="B71" s="133" t="s">
        <v>23</v>
      </c>
      <c r="C71" s="124" t="s">
        <v>61</v>
      </c>
      <c r="D71" s="125">
        <f>E13</f>
        <v>4150.29</v>
      </c>
      <c r="E71" s="66">
        <f>D71/E21</f>
        <v>1.7073495170667381E-3</v>
      </c>
    </row>
    <row r="72" spans="2:7" ht="13">
      <c r="B72" s="134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135" t="s">
        <v>62</v>
      </c>
      <c r="C73" s="23" t="s">
        <v>65</v>
      </c>
      <c r="D73" s="24">
        <f>E17</f>
        <v>3977.36</v>
      </c>
      <c r="E73" s="25">
        <f>D73/E21</f>
        <v>1.6362094396296552E-3</v>
      </c>
    </row>
    <row r="74" spans="2:7" ht="13">
      <c r="B74" s="133" t="s">
        <v>64</v>
      </c>
      <c r="C74" s="124" t="s">
        <v>66</v>
      </c>
      <c r="D74" s="125">
        <f>D58+D72-D73+D71</f>
        <v>2430837.9500000002</v>
      </c>
      <c r="E74" s="66">
        <f>E58+E72-E73+E71</f>
        <v>1</v>
      </c>
    </row>
    <row r="75" spans="2:7">
      <c r="B75" s="195" t="s">
        <v>4</v>
      </c>
      <c r="C75" s="196" t="s">
        <v>67</v>
      </c>
      <c r="D75" s="80">
        <f>D74</f>
        <v>2430837.9500000002</v>
      </c>
      <c r="E75" s="81">
        <f>E74</f>
        <v>1</v>
      </c>
    </row>
    <row r="76" spans="2:7">
      <c r="B76" s="195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9055118110236227" right="0.74803149606299213" top="0.59055118110236227" bottom="0.55118110236220474" header="0.51181102362204722" footer="0.51181102362204722"/>
  <pageSetup paperSize="9" scale="7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1796875" customWidth="1"/>
    <col min="9" max="9" width="13.26953125" customWidth="1"/>
    <col min="10" max="10" width="13.54296875" customWidth="1"/>
    <col min="11" max="11" width="14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75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244"/>
      <c r="C10" s="227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3924708.78</v>
      </c>
      <c r="E11" s="245">
        <f>SUM(E12:E14)</f>
        <v>3507017.85</v>
      </c>
    </row>
    <row r="12" spans="2:12">
      <c r="B12" s="184" t="s">
        <v>4</v>
      </c>
      <c r="C12" s="248" t="s">
        <v>5</v>
      </c>
      <c r="D12" s="300">
        <f>3918318.87+6389.9</f>
        <v>3924708.77</v>
      </c>
      <c r="E12" s="250">
        <v>3501603.72</v>
      </c>
      <c r="G12" s="67"/>
    </row>
    <row r="13" spans="2:12">
      <c r="B13" s="184" t="s">
        <v>6</v>
      </c>
      <c r="C13" s="248" t="s">
        <v>7</v>
      </c>
      <c r="D13" s="301">
        <v>0.01</v>
      </c>
      <c r="E13" s="251">
        <v>5414.13</v>
      </c>
      <c r="H13" s="73"/>
    </row>
    <row r="14" spans="2:12">
      <c r="B14" s="184" t="s">
        <v>8</v>
      </c>
      <c r="C14" s="248" t="s">
        <v>10</v>
      </c>
      <c r="D14" s="301"/>
      <c r="E14" s="251"/>
      <c r="G14" s="67"/>
      <c r="H14" s="73"/>
    </row>
    <row r="15" spans="2:12">
      <c r="B15" s="184" t="s">
        <v>106</v>
      </c>
      <c r="C15" s="248" t="s">
        <v>11</v>
      </c>
      <c r="D15" s="301"/>
      <c r="E15" s="251"/>
      <c r="H15" s="73"/>
    </row>
    <row r="16" spans="2:12">
      <c r="B16" s="187" t="s">
        <v>107</v>
      </c>
      <c r="C16" s="24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6359.25</v>
      </c>
      <c r="E17" s="253">
        <f>E18</f>
        <v>5771.18</v>
      </c>
      <c r="H17" s="73"/>
    </row>
    <row r="18" spans="2:11">
      <c r="B18" s="184" t="s">
        <v>4</v>
      </c>
      <c r="C18" s="248" t="s">
        <v>11</v>
      </c>
      <c r="D18" s="302">
        <v>6359.25</v>
      </c>
      <c r="E18" s="252">
        <v>5771.18</v>
      </c>
      <c r="H18" s="73"/>
    </row>
    <row r="19" spans="2:11" ht="15" customHeight="1">
      <c r="B19" s="184" t="s">
        <v>6</v>
      </c>
      <c r="C19" s="248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3918349.53</v>
      </c>
      <c r="E21" s="151">
        <f>E11-E17</f>
        <v>3501246.67</v>
      </c>
      <c r="F21" s="79"/>
      <c r="G21" s="79"/>
      <c r="H21" s="171"/>
      <c r="J21" s="233"/>
      <c r="K21" s="67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44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4262810.3000000007</v>
      </c>
      <c r="E26" s="239">
        <f>D21</f>
        <v>3918349.53</v>
      </c>
      <c r="G26" s="76"/>
    </row>
    <row r="27" spans="2:11" ht="13">
      <c r="B27" s="8" t="s">
        <v>17</v>
      </c>
      <c r="C27" s="9" t="s">
        <v>111</v>
      </c>
      <c r="D27" s="360">
        <v>-362090.75999999995</v>
      </c>
      <c r="E27" s="275">
        <v>-279698.05</v>
      </c>
      <c r="F27" s="73"/>
      <c r="G27" s="255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>
        <v>17775.77</v>
      </c>
      <c r="F28" s="73"/>
      <c r="G28" s="255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255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>
        <v>17775.77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362090.75999999995</v>
      </c>
      <c r="E32" s="276">
        <v>297473.82</v>
      </c>
      <c r="F32" s="73"/>
      <c r="G32" s="255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313688.92</v>
      </c>
      <c r="E33" s="277">
        <v>255590.84</v>
      </c>
      <c r="F33" s="73"/>
      <c r="G33" s="255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48214.93</v>
      </c>
      <c r="E35" s="277">
        <v>41882.980000000003</v>
      </c>
      <c r="F35" s="73"/>
      <c r="G35" s="255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/>
      <c r="E37" s="277"/>
      <c r="F37" s="73"/>
      <c r="G37" s="255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186.91</v>
      </c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17629.990000000002</v>
      </c>
      <c r="E40" s="279">
        <v>-137404.81</v>
      </c>
      <c r="G40" s="76"/>
      <c r="H40" s="289"/>
    </row>
    <row r="41" spans="2:10" ht="13.5" thickBot="1">
      <c r="B41" s="102" t="s">
        <v>37</v>
      </c>
      <c r="C41" s="103" t="s">
        <v>38</v>
      </c>
      <c r="D41" s="364">
        <v>3918349.5300000012</v>
      </c>
      <c r="E41" s="151">
        <f>E26+E27+E40</f>
        <v>3501246.67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44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434875.47665999999</v>
      </c>
      <c r="E47" s="309">
        <v>396772.43435400003</v>
      </c>
      <c r="G47" s="73"/>
    </row>
    <row r="48" spans="2:10">
      <c r="B48" s="197" t="s">
        <v>6</v>
      </c>
      <c r="C48" s="198" t="s">
        <v>41</v>
      </c>
      <c r="D48" s="371">
        <v>396772.43435400003</v>
      </c>
      <c r="E48" s="309">
        <v>368338.61145500001</v>
      </c>
      <c r="G48" s="73"/>
      <c r="I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9.8023699999999998</v>
      </c>
      <c r="E50" s="309">
        <v>9.8755590000000009</v>
      </c>
      <c r="G50" s="183"/>
    </row>
    <row r="51" spans="2:7">
      <c r="B51" s="195" t="s">
        <v>6</v>
      </c>
      <c r="C51" s="196" t="s">
        <v>114</v>
      </c>
      <c r="D51" s="371">
        <v>9.0750499999999992</v>
      </c>
      <c r="E51" s="309">
        <v>8.4695739999999997</v>
      </c>
      <c r="G51" s="183"/>
    </row>
    <row r="52" spans="2:7" ht="12.75" customHeight="1">
      <c r="B52" s="195" t="s">
        <v>8</v>
      </c>
      <c r="C52" s="196" t="s">
        <v>115</v>
      </c>
      <c r="D52" s="371">
        <v>9.8760739999999991</v>
      </c>
      <c r="E52" s="77">
        <v>10.22129</v>
      </c>
    </row>
    <row r="53" spans="2:7" ht="13" thickBot="1">
      <c r="B53" s="199" t="s">
        <v>9</v>
      </c>
      <c r="C53" s="200" t="s">
        <v>41</v>
      </c>
      <c r="D53" s="369">
        <v>9.8755590000000009</v>
      </c>
      <c r="E53" s="280">
        <v>9.5055110000000003</v>
      </c>
    </row>
    <row r="54" spans="2:7">
      <c r="B54" s="201"/>
      <c r="C54" s="202"/>
      <c r="D54" s="114"/>
      <c r="E54" s="114"/>
    </row>
    <row r="55" spans="2:7" ht="13.5">
      <c r="B55" s="406" t="s">
        <v>62</v>
      </c>
      <c r="C55" s="407"/>
      <c r="D55" s="407"/>
      <c r="E55" s="407"/>
    </row>
    <row r="56" spans="2:7" ht="16.5" customHeight="1" thickBot="1">
      <c r="B56" s="404" t="s">
        <v>116</v>
      </c>
      <c r="C56" s="408"/>
      <c r="D56" s="408"/>
      <c r="E56" s="408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D64+D69</f>
        <v>3501603.72</v>
      </c>
      <c r="E58" s="30">
        <f>D58/E21</f>
        <v>1.0001019779620384</v>
      </c>
    </row>
    <row r="59" spans="2:7" ht="25">
      <c r="B59" s="197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195" t="s">
        <v>6</v>
      </c>
      <c r="C60" s="196" t="s">
        <v>45</v>
      </c>
      <c r="D60" s="80">
        <v>0</v>
      </c>
      <c r="E60" s="81">
        <v>0</v>
      </c>
    </row>
    <row r="61" spans="2:7">
      <c r="B61" s="195" t="s">
        <v>8</v>
      </c>
      <c r="C61" s="196" t="s">
        <v>46</v>
      </c>
      <c r="D61" s="80">
        <v>0</v>
      </c>
      <c r="E61" s="81">
        <v>0</v>
      </c>
    </row>
    <row r="62" spans="2:7">
      <c r="B62" s="195" t="s">
        <v>9</v>
      </c>
      <c r="C62" s="196" t="s">
        <v>47</v>
      </c>
      <c r="D62" s="80">
        <v>0</v>
      </c>
      <c r="E62" s="81">
        <v>0</v>
      </c>
    </row>
    <row r="63" spans="2:7">
      <c r="B63" s="195" t="s">
        <v>29</v>
      </c>
      <c r="C63" s="196" t="s">
        <v>48</v>
      </c>
      <c r="D63" s="80">
        <v>0</v>
      </c>
      <c r="E63" s="81">
        <v>0</v>
      </c>
    </row>
    <row r="64" spans="2:7">
      <c r="B64" s="197" t="s">
        <v>31</v>
      </c>
      <c r="C64" s="198" t="s">
        <v>49</v>
      </c>
      <c r="D64" s="82">
        <f>E12</f>
        <v>3501603.72</v>
      </c>
      <c r="E64" s="83">
        <f>D64/E21</f>
        <v>1.0001019779620384</v>
      </c>
    </row>
    <row r="65" spans="2:7">
      <c r="B65" s="197" t="s">
        <v>33</v>
      </c>
      <c r="C65" s="198" t="s">
        <v>118</v>
      </c>
      <c r="D65" s="82">
        <v>0</v>
      </c>
      <c r="E65" s="83">
        <v>0</v>
      </c>
    </row>
    <row r="66" spans="2:7">
      <c r="B66" s="197" t="s">
        <v>50</v>
      </c>
      <c r="C66" s="198" t="s">
        <v>51</v>
      </c>
      <c r="D66" s="82">
        <v>0</v>
      </c>
      <c r="E66" s="83">
        <v>0</v>
      </c>
    </row>
    <row r="67" spans="2:7">
      <c r="B67" s="195" t="s">
        <v>52</v>
      </c>
      <c r="C67" s="196" t="s">
        <v>53</v>
      </c>
      <c r="D67" s="80">
        <v>0</v>
      </c>
      <c r="E67" s="81">
        <v>0</v>
      </c>
    </row>
    <row r="68" spans="2:7">
      <c r="B68" s="195" t="s">
        <v>54</v>
      </c>
      <c r="C68" s="196" t="s">
        <v>55</v>
      </c>
      <c r="D68" s="80">
        <v>0</v>
      </c>
      <c r="E68" s="81">
        <v>0</v>
      </c>
      <c r="G68" s="73"/>
    </row>
    <row r="69" spans="2:7" ht="14.5">
      <c r="B69" s="195" t="s">
        <v>56</v>
      </c>
      <c r="C69" s="196" t="s">
        <v>57</v>
      </c>
      <c r="D69" s="389">
        <v>0</v>
      </c>
      <c r="E69" s="81">
        <f>D69/E21</f>
        <v>0</v>
      </c>
    </row>
    <row r="70" spans="2:7">
      <c r="B70" s="241" t="s">
        <v>58</v>
      </c>
      <c r="C70" s="240" t="s">
        <v>59</v>
      </c>
      <c r="D70" s="117">
        <v>0</v>
      </c>
      <c r="E70" s="118">
        <v>0</v>
      </c>
    </row>
    <row r="71" spans="2:7" ht="13">
      <c r="B71" s="133" t="s">
        <v>23</v>
      </c>
      <c r="C71" s="124" t="s">
        <v>61</v>
      </c>
      <c r="D71" s="125">
        <f>E13</f>
        <v>5414.13</v>
      </c>
      <c r="E71" s="66">
        <f>D71/E21</f>
        <v>1.5463434914170157E-3</v>
      </c>
    </row>
    <row r="72" spans="2:7" ht="13">
      <c r="B72" s="134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135" t="s">
        <v>62</v>
      </c>
      <c r="C73" s="23" t="s">
        <v>65</v>
      </c>
      <c r="D73" s="24">
        <f>E17</f>
        <v>5771.18</v>
      </c>
      <c r="E73" s="25">
        <f>D73/E21</f>
        <v>1.6483214534553203E-3</v>
      </c>
    </row>
    <row r="74" spans="2:7" ht="13">
      <c r="B74" s="133" t="s">
        <v>64</v>
      </c>
      <c r="C74" s="124" t="s">
        <v>66</v>
      </c>
      <c r="D74" s="125">
        <f>D58+D71+D72-D73</f>
        <v>3501246.67</v>
      </c>
      <c r="E74" s="66">
        <f>E58+E72-E73+E71</f>
        <v>1</v>
      </c>
    </row>
    <row r="75" spans="2:7">
      <c r="B75" s="195" t="s">
        <v>4</v>
      </c>
      <c r="C75" s="196" t="s">
        <v>67</v>
      </c>
      <c r="D75" s="80">
        <f>D74</f>
        <v>3501246.67</v>
      </c>
      <c r="E75" s="81">
        <f>E74</f>
        <v>1</v>
      </c>
    </row>
    <row r="76" spans="2:7">
      <c r="B76" s="195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5118110236220474" right="0.74803149606299213" top="0.51181102362204722" bottom="0.47244094488188981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9.1796875" customWidth="1"/>
    <col min="8" max="8" width="19" customWidth="1"/>
    <col min="9" max="9" width="15.81640625" customWidth="1"/>
    <col min="10" max="10" width="16.54296875" customWidth="1"/>
    <col min="11" max="11" width="18" customWidth="1"/>
    <col min="12" max="12" width="14.5429687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86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  <c r="G9" s="212"/>
    </row>
    <row r="10" spans="2:12" ht="13.5" thickBot="1">
      <c r="B10" s="89"/>
      <c r="C10" s="78" t="s">
        <v>2</v>
      </c>
      <c r="D10" s="269" t="s">
        <v>246</v>
      </c>
      <c r="E10" s="268" t="s">
        <v>262</v>
      </c>
      <c r="G10" s="73"/>
    </row>
    <row r="11" spans="2:12" ht="13">
      <c r="B11" s="93" t="s">
        <v>3</v>
      </c>
      <c r="C11" s="207" t="s">
        <v>109</v>
      </c>
      <c r="D11" s="299">
        <v>254358483.99000001</v>
      </c>
      <c r="E11" s="245">
        <f>SUM(E12:E14)</f>
        <v>300308484.52000004</v>
      </c>
      <c r="H11" s="73"/>
    </row>
    <row r="12" spans="2:12">
      <c r="B12" s="109" t="s">
        <v>4</v>
      </c>
      <c r="C12" s="68" t="s">
        <v>5</v>
      </c>
      <c r="D12" s="300">
        <v>254313744.51000002</v>
      </c>
      <c r="E12" s="250">
        <f>306797726.42+64232.95-6599368.96</f>
        <v>300262590.41000003</v>
      </c>
      <c r="H12" s="73"/>
    </row>
    <row r="13" spans="2:12">
      <c r="B13" s="109" t="s">
        <v>6</v>
      </c>
      <c r="C13" s="68" t="s">
        <v>7</v>
      </c>
      <c r="D13" s="301"/>
      <c r="E13" s="251">
        <v>1.55</v>
      </c>
      <c r="H13" s="73"/>
    </row>
    <row r="14" spans="2:12">
      <c r="B14" s="109" t="s">
        <v>8</v>
      </c>
      <c r="C14" s="68" t="s">
        <v>10</v>
      </c>
      <c r="D14" s="301">
        <v>44739.48</v>
      </c>
      <c r="E14" s="251">
        <f>E15</f>
        <v>45892.56</v>
      </c>
      <c r="G14" s="73"/>
      <c r="H14" s="73"/>
    </row>
    <row r="15" spans="2:12">
      <c r="B15" s="109" t="s">
        <v>106</v>
      </c>
      <c r="C15" s="68" t="s">
        <v>11</v>
      </c>
      <c r="D15" s="301">
        <v>44739.48</v>
      </c>
      <c r="E15" s="251">
        <v>45892.56</v>
      </c>
      <c r="H15" s="73"/>
    </row>
    <row r="16" spans="2:12">
      <c r="B16" s="110" t="s">
        <v>107</v>
      </c>
      <c r="C16" s="94" t="s">
        <v>12</v>
      </c>
      <c r="D16" s="302"/>
      <c r="E16" s="252"/>
      <c r="H16" s="73"/>
    </row>
    <row r="17" spans="2:11" ht="13">
      <c r="B17" s="8" t="s">
        <v>13</v>
      </c>
      <c r="C17" s="229" t="s">
        <v>65</v>
      </c>
      <c r="D17" s="303">
        <v>291039.71999999997</v>
      </c>
      <c r="E17" s="253">
        <f>E18</f>
        <v>318735.87</v>
      </c>
    </row>
    <row r="18" spans="2:11">
      <c r="B18" s="109" t="s">
        <v>4</v>
      </c>
      <c r="C18" s="68" t="s">
        <v>11</v>
      </c>
      <c r="D18" s="302">
        <v>291039.71999999997</v>
      </c>
      <c r="E18" s="252">
        <v>318735.87</v>
      </c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.5" customHeight="1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254067444.27000001</v>
      </c>
      <c r="E21" s="151">
        <f>E11-E17</f>
        <v>299989748.65000004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6.5" customHeight="1" thickBot="1">
      <c r="B24" s="404" t="s">
        <v>105</v>
      </c>
      <c r="C24" s="418"/>
      <c r="D24" s="418"/>
      <c r="E24" s="418"/>
    </row>
    <row r="25" spans="2:11" ht="13.5" thickBot="1">
      <c r="B25" s="89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210774051.41</v>
      </c>
      <c r="E26" s="239">
        <f>D21</f>
        <v>254067444.27000001</v>
      </c>
    </row>
    <row r="27" spans="2:11" ht="13">
      <c r="B27" s="8" t="s">
        <v>17</v>
      </c>
      <c r="C27" s="9" t="s">
        <v>111</v>
      </c>
      <c r="D27" s="360">
        <v>-7747532.5799999982</v>
      </c>
      <c r="E27" s="275">
        <v>-11860538.77</v>
      </c>
      <c r="F27" s="73"/>
      <c r="G27" s="73"/>
      <c r="H27" s="255"/>
      <c r="I27" s="255"/>
      <c r="J27" s="219"/>
    </row>
    <row r="28" spans="2:11" ht="13">
      <c r="B28" s="8" t="s">
        <v>18</v>
      </c>
      <c r="C28" s="9" t="s">
        <v>19</v>
      </c>
      <c r="D28" s="360">
        <v>25492374.510000002</v>
      </c>
      <c r="E28" s="276">
        <v>22951244.48</v>
      </c>
      <c r="F28" s="73"/>
      <c r="G28" s="73"/>
      <c r="H28" s="255"/>
      <c r="I28" s="255"/>
      <c r="J28" s="219"/>
    </row>
    <row r="29" spans="2:11">
      <c r="B29" s="107" t="s">
        <v>4</v>
      </c>
      <c r="C29" s="5" t="s">
        <v>20</v>
      </c>
      <c r="D29" s="361">
        <v>23954645.18</v>
      </c>
      <c r="E29" s="277">
        <v>21967432.23</v>
      </c>
      <c r="F29" s="73"/>
      <c r="G29" s="73"/>
      <c r="H29" s="255"/>
      <c r="I29" s="255"/>
      <c r="J29" s="219"/>
    </row>
    <row r="30" spans="2:11">
      <c r="B30" s="107" t="s">
        <v>6</v>
      </c>
      <c r="C30" s="5" t="s">
        <v>21</v>
      </c>
      <c r="D30" s="361"/>
      <c r="E30" s="277"/>
      <c r="F30" s="73"/>
      <c r="G30" s="73"/>
      <c r="H30" s="255"/>
      <c r="I30" s="255"/>
      <c r="J30" s="219"/>
    </row>
    <row r="31" spans="2:11">
      <c r="B31" s="107" t="s">
        <v>8</v>
      </c>
      <c r="C31" s="5" t="s">
        <v>22</v>
      </c>
      <c r="D31" s="361">
        <v>1537729.3299999998</v>
      </c>
      <c r="E31" s="277">
        <v>983812.25</v>
      </c>
      <c r="F31" s="73"/>
      <c r="G31" s="73"/>
      <c r="H31" s="255"/>
      <c r="I31" s="255"/>
      <c r="J31" s="219"/>
    </row>
    <row r="32" spans="2:11" ht="13">
      <c r="B32" s="95" t="s">
        <v>23</v>
      </c>
      <c r="C32" s="10" t="s">
        <v>24</v>
      </c>
      <c r="D32" s="360">
        <v>33239907.09</v>
      </c>
      <c r="E32" s="276">
        <v>34811783.25</v>
      </c>
      <c r="F32" s="73"/>
      <c r="G32" s="73"/>
      <c r="H32" s="255"/>
      <c r="I32" s="255"/>
      <c r="J32" s="219"/>
    </row>
    <row r="33" spans="2:10">
      <c r="B33" s="107" t="s">
        <v>4</v>
      </c>
      <c r="C33" s="5" t="s">
        <v>25</v>
      </c>
      <c r="D33" s="361">
        <v>20521285.66</v>
      </c>
      <c r="E33" s="277">
        <v>26577276.02</v>
      </c>
      <c r="F33" s="73"/>
      <c r="G33" s="73"/>
      <c r="H33" s="255"/>
      <c r="I33" s="255"/>
      <c r="J33" s="219"/>
    </row>
    <row r="34" spans="2:10">
      <c r="B34" s="107" t="s">
        <v>6</v>
      </c>
      <c r="C34" s="5" t="s">
        <v>26</v>
      </c>
      <c r="D34" s="361"/>
      <c r="E34" s="277"/>
      <c r="F34" s="73"/>
      <c r="G34" s="73"/>
      <c r="H34" s="255"/>
      <c r="I34" s="255"/>
      <c r="J34" s="219"/>
    </row>
    <row r="35" spans="2:10">
      <c r="B35" s="107" t="s">
        <v>8</v>
      </c>
      <c r="C35" s="5" t="s">
        <v>27</v>
      </c>
      <c r="D35" s="361">
        <v>5537641.8600000003</v>
      </c>
      <c r="E35" s="277">
        <v>5398419.8300000001</v>
      </c>
      <c r="F35" s="73"/>
      <c r="G35" s="73"/>
      <c r="H35" s="255"/>
      <c r="I35" s="255"/>
      <c r="J35" s="219"/>
    </row>
    <row r="36" spans="2:10">
      <c r="B36" s="107" t="s">
        <v>9</v>
      </c>
      <c r="C36" s="5" t="s">
        <v>28</v>
      </c>
      <c r="D36" s="361"/>
      <c r="E36" s="277"/>
      <c r="F36" s="73"/>
      <c r="G36" s="73"/>
      <c r="H36" s="255"/>
      <c r="I36" s="255"/>
      <c r="J36" s="219"/>
    </row>
    <row r="37" spans="2:10" ht="25">
      <c r="B37" s="107" t="s">
        <v>29</v>
      </c>
      <c r="C37" s="5" t="s">
        <v>30</v>
      </c>
      <c r="D37" s="361"/>
      <c r="E37" s="277"/>
      <c r="F37" s="73"/>
      <c r="G37" s="73"/>
      <c r="H37" s="255"/>
      <c r="I37" s="255"/>
      <c r="J37" s="219"/>
    </row>
    <row r="38" spans="2:10">
      <c r="B38" s="107" t="s">
        <v>31</v>
      </c>
      <c r="C38" s="5" t="s">
        <v>32</v>
      </c>
      <c r="D38" s="361"/>
      <c r="E38" s="277"/>
      <c r="F38" s="73"/>
      <c r="G38" s="73"/>
      <c r="H38" s="255"/>
      <c r="I38" s="255"/>
      <c r="J38" s="219"/>
    </row>
    <row r="39" spans="2:10">
      <c r="B39" s="108" t="s">
        <v>33</v>
      </c>
      <c r="C39" s="11" t="s">
        <v>34</v>
      </c>
      <c r="D39" s="362">
        <v>7180979.5700000003</v>
      </c>
      <c r="E39" s="278">
        <v>2836087.4</v>
      </c>
      <c r="F39" s="73"/>
      <c r="G39" s="73"/>
      <c r="H39" s="255"/>
      <c r="I39" s="255"/>
      <c r="J39" s="219"/>
    </row>
    <row r="40" spans="2:10" ht="13.5" thickBot="1">
      <c r="B40" s="100" t="s">
        <v>35</v>
      </c>
      <c r="C40" s="101" t="s">
        <v>36</v>
      </c>
      <c r="D40" s="363">
        <v>51040925.439999998</v>
      </c>
      <c r="E40" s="279">
        <v>57782843.149999999</v>
      </c>
    </row>
    <row r="41" spans="2:10" ht="13.5" thickBot="1">
      <c r="B41" s="102" t="s">
        <v>37</v>
      </c>
      <c r="C41" s="103" t="s">
        <v>38</v>
      </c>
      <c r="D41" s="364">
        <v>254067444.26999998</v>
      </c>
      <c r="E41" s="151">
        <f>E26+E27+E40</f>
        <v>299989748.64999998</v>
      </c>
      <c r="F41" s="79"/>
      <c r="G41" s="67"/>
    </row>
    <row r="42" spans="2:10" ht="13">
      <c r="B42" s="96"/>
      <c r="C42" s="96"/>
      <c r="D42" s="97"/>
      <c r="E42" s="97"/>
      <c r="F42" s="79"/>
    </row>
    <row r="43" spans="2:10" ht="13.5">
      <c r="B43" s="406" t="s">
        <v>60</v>
      </c>
      <c r="C43" s="416"/>
      <c r="D43" s="416"/>
      <c r="E43" s="416"/>
    </row>
    <row r="44" spans="2:10" ht="15.75" customHeight="1" thickBot="1">
      <c r="B44" s="404" t="s">
        <v>121</v>
      </c>
      <c r="C44" s="411"/>
      <c r="D44" s="411"/>
      <c r="E44" s="411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</row>
    <row r="46" spans="2:10" ht="13">
      <c r="B46" s="12" t="s">
        <v>18</v>
      </c>
      <c r="C46" s="29" t="s">
        <v>112</v>
      </c>
      <c r="D46" s="104"/>
      <c r="E46" s="27"/>
    </row>
    <row r="47" spans="2:10">
      <c r="B47" s="105" t="s">
        <v>4</v>
      </c>
      <c r="C47" s="14" t="s">
        <v>40</v>
      </c>
      <c r="D47" s="371">
        <v>11489564.341</v>
      </c>
      <c r="E47" s="309">
        <v>11153316.624499999</v>
      </c>
      <c r="G47" s="155"/>
    </row>
    <row r="48" spans="2:10">
      <c r="B48" s="126" t="s">
        <v>6</v>
      </c>
      <c r="C48" s="21" t="s">
        <v>41</v>
      </c>
      <c r="D48" s="371">
        <v>11153316.624499999</v>
      </c>
      <c r="E48" s="372">
        <v>10753475.656500001</v>
      </c>
      <c r="G48" s="265"/>
      <c r="H48" s="265"/>
      <c r="I48" s="203"/>
      <c r="J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18.344799999999999</v>
      </c>
      <c r="E50" s="310">
        <v>22.779500000000002</v>
      </c>
      <c r="G50" s="183"/>
    </row>
    <row r="51" spans="2:7">
      <c r="B51" s="105" t="s">
        <v>6</v>
      </c>
      <c r="C51" s="14" t="s">
        <v>114</v>
      </c>
      <c r="D51" s="371">
        <v>12.6134</v>
      </c>
      <c r="E51" s="311">
        <v>22.779499999999999</v>
      </c>
      <c r="G51" s="183"/>
    </row>
    <row r="52" spans="2:7">
      <c r="B52" s="105" t="s">
        <v>8</v>
      </c>
      <c r="C52" s="14" t="s">
        <v>115</v>
      </c>
      <c r="D52" s="371">
        <v>22.9209</v>
      </c>
      <c r="E52" s="311">
        <v>29.695399999999999</v>
      </c>
    </row>
    <row r="53" spans="2:7" ht="12.75" customHeight="1" thickBot="1">
      <c r="B53" s="106" t="s">
        <v>9</v>
      </c>
      <c r="C53" s="16" t="s">
        <v>41</v>
      </c>
      <c r="D53" s="369">
        <v>22.779500000000002</v>
      </c>
      <c r="E53" s="280">
        <v>27.896999999999998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D64+D69</f>
        <v>300262590.41000003</v>
      </c>
      <c r="E58" s="30">
        <f>D58/E21</f>
        <v>1.0009095036121327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5">
      <c r="B60" s="13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3" t="s">
        <v>8</v>
      </c>
      <c r="C61" s="14" t="s">
        <v>46</v>
      </c>
      <c r="D61" s="80">
        <v>0</v>
      </c>
      <c r="E61" s="81">
        <v>0</v>
      </c>
      <c r="G61" s="73"/>
    </row>
    <row r="62" spans="2:7">
      <c r="B62" s="13" t="s">
        <v>9</v>
      </c>
      <c r="C62" s="14" t="s">
        <v>47</v>
      </c>
      <c r="D62" s="80">
        <v>0</v>
      </c>
      <c r="E62" s="81">
        <v>0</v>
      </c>
      <c r="G62" s="73"/>
    </row>
    <row r="63" spans="2:7">
      <c r="B63" s="13" t="s">
        <v>29</v>
      </c>
      <c r="C63" s="14" t="s">
        <v>48</v>
      </c>
      <c r="D63" s="80">
        <v>0</v>
      </c>
      <c r="E63" s="81">
        <v>0</v>
      </c>
    </row>
    <row r="64" spans="2:7">
      <c r="B64" s="20" t="s">
        <v>31</v>
      </c>
      <c r="C64" s="21" t="s">
        <v>49</v>
      </c>
      <c r="D64" s="82">
        <f>306797726.42-6599368.96</f>
        <v>300198357.46000004</v>
      </c>
      <c r="E64" s="83">
        <f>D64/E21</f>
        <v>1.0006953864621666</v>
      </c>
      <c r="G64" s="73"/>
    </row>
    <row r="65" spans="2:5">
      <c r="B65" s="20" t="s">
        <v>33</v>
      </c>
      <c r="C65" s="21" t="s">
        <v>118</v>
      </c>
      <c r="D65" s="82">
        <v>0</v>
      </c>
      <c r="E65" s="83">
        <v>0</v>
      </c>
    </row>
    <row r="66" spans="2:5">
      <c r="B66" s="20" t="s">
        <v>50</v>
      </c>
      <c r="C66" s="21" t="s">
        <v>51</v>
      </c>
      <c r="D66" s="82">
        <v>0</v>
      </c>
      <c r="E66" s="83">
        <v>0</v>
      </c>
    </row>
    <row r="67" spans="2:5">
      <c r="B67" s="13" t="s">
        <v>52</v>
      </c>
      <c r="C67" s="14" t="s">
        <v>53</v>
      </c>
      <c r="D67" s="80">
        <v>0</v>
      </c>
      <c r="E67" s="81">
        <v>0</v>
      </c>
    </row>
    <row r="68" spans="2:5">
      <c r="B68" s="13" t="s">
        <v>54</v>
      </c>
      <c r="C68" s="14" t="s">
        <v>55</v>
      </c>
      <c r="D68" s="80">
        <v>0</v>
      </c>
      <c r="E68" s="81">
        <v>0</v>
      </c>
    </row>
    <row r="69" spans="2:5">
      <c r="B69" s="13" t="s">
        <v>56</v>
      </c>
      <c r="C69" s="14" t="s">
        <v>57</v>
      </c>
      <c r="D69" s="370">
        <v>64232.95</v>
      </c>
      <c r="E69" s="81">
        <f>D69/E21</f>
        <v>2.1411714996615098E-4</v>
      </c>
    </row>
    <row r="70" spans="2:5">
      <c r="B70" s="115" t="s">
        <v>58</v>
      </c>
      <c r="C70" s="116" t="s">
        <v>59</v>
      </c>
      <c r="D70" s="117">
        <v>0</v>
      </c>
      <c r="E70" s="118">
        <v>0</v>
      </c>
    </row>
    <row r="71" spans="2:5" ht="13">
      <c r="B71" s="123" t="s">
        <v>23</v>
      </c>
      <c r="C71" s="124" t="s">
        <v>61</v>
      </c>
      <c r="D71" s="125">
        <f>E13</f>
        <v>1.55</v>
      </c>
      <c r="E71" s="66">
        <v>0</v>
      </c>
    </row>
    <row r="72" spans="2:5" ht="13">
      <c r="B72" s="119" t="s">
        <v>60</v>
      </c>
      <c r="C72" s="120" t="s">
        <v>63</v>
      </c>
      <c r="D72" s="121">
        <f>E14</f>
        <v>45892.56</v>
      </c>
      <c r="E72" s="122">
        <f>D72/E21</f>
        <v>1.5298042751968549E-4</v>
      </c>
    </row>
    <row r="73" spans="2:5" ht="13">
      <c r="B73" s="22" t="s">
        <v>62</v>
      </c>
      <c r="C73" s="23" t="s">
        <v>65</v>
      </c>
      <c r="D73" s="24">
        <f>E17</f>
        <v>318735.87</v>
      </c>
      <c r="E73" s="25">
        <f>D73/E21</f>
        <v>1.0624892064957565E-3</v>
      </c>
    </row>
    <row r="74" spans="2:5" ht="13">
      <c r="B74" s="123" t="s">
        <v>64</v>
      </c>
      <c r="C74" s="124" t="s">
        <v>66</v>
      </c>
      <c r="D74" s="125">
        <f>D58+D71+D72-D73</f>
        <v>299989748.65000004</v>
      </c>
      <c r="E74" s="66">
        <f>E58+E72-E73</f>
        <v>0.99999999483315671</v>
      </c>
    </row>
    <row r="75" spans="2:5">
      <c r="B75" s="13" t="s">
        <v>4</v>
      </c>
      <c r="C75" s="14" t="s">
        <v>67</v>
      </c>
      <c r="D75" s="80">
        <f>D74</f>
        <v>299989748.65000004</v>
      </c>
      <c r="E75" s="81">
        <f>E74</f>
        <v>0.99999999483315671</v>
      </c>
    </row>
    <row r="76" spans="2:5">
      <c r="B76" s="13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" right="0.75" top="0.56999999999999995" bottom="0.51" header="0.5" footer="0.5"/>
  <pageSetup paperSize="9" scale="7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0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100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244"/>
      <c r="C10" s="227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7215001.2200000007</v>
      </c>
      <c r="E11" s="245">
        <f>SUM(E12:E14)</f>
        <v>6429798.3100000005</v>
      </c>
    </row>
    <row r="12" spans="2:12">
      <c r="B12" s="184" t="s">
        <v>4</v>
      </c>
      <c r="C12" s="248" t="s">
        <v>5</v>
      </c>
      <c r="D12" s="300">
        <f>7198106.24+16894.98</f>
        <v>7215001.2200000007</v>
      </c>
      <c r="E12" s="250">
        <v>6414045.4100000001</v>
      </c>
      <c r="G12" s="67"/>
      <c r="H12" s="73"/>
    </row>
    <row r="13" spans="2:12">
      <c r="B13" s="184" t="s">
        <v>6</v>
      </c>
      <c r="C13" s="248" t="s">
        <v>7</v>
      </c>
      <c r="D13" s="301"/>
      <c r="E13" s="251">
        <v>15752.9</v>
      </c>
      <c r="H13" s="73"/>
    </row>
    <row r="14" spans="2:12">
      <c r="B14" s="184" t="s">
        <v>8</v>
      </c>
      <c r="C14" s="248" t="s">
        <v>10</v>
      </c>
      <c r="D14" s="301"/>
      <c r="E14" s="251"/>
      <c r="G14" s="67"/>
      <c r="H14" s="73"/>
    </row>
    <row r="15" spans="2:12">
      <c r="B15" s="184" t="s">
        <v>106</v>
      </c>
      <c r="C15" s="248" t="s">
        <v>11</v>
      </c>
      <c r="D15" s="301"/>
      <c r="E15" s="251"/>
      <c r="H15" s="73"/>
    </row>
    <row r="16" spans="2:12">
      <c r="B16" s="187" t="s">
        <v>107</v>
      </c>
      <c r="C16" s="24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11698.87</v>
      </c>
      <c r="E17" s="253">
        <f>E18</f>
        <v>10509.49</v>
      </c>
      <c r="H17" s="73"/>
    </row>
    <row r="18" spans="2:11">
      <c r="B18" s="184" t="s">
        <v>4</v>
      </c>
      <c r="C18" s="248" t="s">
        <v>11</v>
      </c>
      <c r="D18" s="302">
        <v>11698.87</v>
      </c>
      <c r="E18" s="252">
        <v>10509.49</v>
      </c>
    </row>
    <row r="19" spans="2:11" ht="15" customHeight="1">
      <c r="B19" s="184" t="s">
        <v>6</v>
      </c>
      <c r="C19" s="248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7203302.3500000006</v>
      </c>
      <c r="E21" s="151">
        <f>E11-E17</f>
        <v>6419288.8200000003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44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8020621.7300000004</v>
      </c>
      <c r="E26" s="239">
        <f>D21</f>
        <v>7203302.3500000006</v>
      </c>
      <c r="G26" s="76"/>
    </row>
    <row r="27" spans="2:11" ht="13">
      <c r="B27" s="8" t="s">
        <v>17</v>
      </c>
      <c r="C27" s="9" t="s">
        <v>111</v>
      </c>
      <c r="D27" s="360">
        <v>-994292.22</v>
      </c>
      <c r="E27" s="275">
        <v>-271978.58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0</v>
      </c>
      <c r="E28" s="276">
        <v>13.5</v>
      </c>
      <c r="F28" s="73"/>
      <c r="G28" s="255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>
        <v>0</v>
      </c>
      <c r="F29" s="73"/>
      <c r="G29" s="255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>
        <v>0</v>
      </c>
      <c r="F30" s="73"/>
      <c r="G30" s="255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>
        <v>13.5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994292.22</v>
      </c>
      <c r="E32" s="276">
        <v>271992.08</v>
      </c>
      <c r="F32" s="73"/>
      <c r="G32" s="25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978362.57</v>
      </c>
      <c r="E33" s="277">
        <v>254920.15</v>
      </c>
      <c r="F33" s="73"/>
      <c r="G33" s="255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>
        <v>0</v>
      </c>
      <c r="F34" s="73"/>
      <c r="G34" s="255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15847.9</v>
      </c>
      <c r="E35" s="277">
        <v>15139.79</v>
      </c>
      <c r="F35" s="73"/>
      <c r="G35" s="255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>
        <v>0</v>
      </c>
      <c r="F36" s="73"/>
      <c r="G36" s="255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/>
      <c r="E37" s="277">
        <v>0</v>
      </c>
      <c r="F37" s="73"/>
      <c r="G37" s="255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>
        <v>0</v>
      </c>
      <c r="F38" s="73"/>
      <c r="G38" s="255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81.75</v>
      </c>
      <c r="E39" s="278">
        <v>1932.14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176972.84</v>
      </c>
      <c r="E40" s="279">
        <v>-512034.95</v>
      </c>
      <c r="G40" s="76"/>
    </row>
    <row r="41" spans="2:10" ht="13.5" thickBot="1">
      <c r="B41" s="102" t="s">
        <v>37</v>
      </c>
      <c r="C41" s="103" t="s">
        <v>38</v>
      </c>
      <c r="D41" s="364">
        <v>7203302.3500000006</v>
      </c>
      <c r="E41" s="151">
        <f>E26+E27+E40</f>
        <v>6419288.8200000003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740979.36313800002</v>
      </c>
      <c r="E47" s="309">
        <v>649980.76820399996</v>
      </c>
      <c r="G47" s="73"/>
    </row>
    <row r="48" spans="2:10">
      <c r="B48" s="126" t="s">
        <v>6</v>
      </c>
      <c r="C48" s="21" t="s">
        <v>41</v>
      </c>
      <c r="D48" s="371">
        <v>649980.76820399996</v>
      </c>
      <c r="E48" s="309">
        <v>625057.92188000004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10.8243519999999</v>
      </c>
      <c r="E50" s="309">
        <v>11.0823319999999</v>
      </c>
      <c r="G50" s="183"/>
    </row>
    <row r="51" spans="2:7">
      <c r="B51" s="105" t="s">
        <v>6</v>
      </c>
      <c r="C51" s="14" t="s">
        <v>114</v>
      </c>
      <c r="D51" s="371">
        <v>10.429176</v>
      </c>
      <c r="E51" s="77">
        <v>10.26563</v>
      </c>
      <c r="G51" s="183"/>
    </row>
    <row r="52" spans="2:7" ht="12.75" customHeight="1">
      <c r="B52" s="105" t="s">
        <v>8</v>
      </c>
      <c r="C52" s="14" t="s">
        <v>115</v>
      </c>
      <c r="D52" s="371">
        <v>11.08291</v>
      </c>
      <c r="E52" s="77">
        <v>11.0962</v>
      </c>
    </row>
    <row r="53" spans="2:7" ht="13" thickBot="1">
      <c r="B53" s="106" t="s">
        <v>9</v>
      </c>
      <c r="C53" s="16" t="s">
        <v>41</v>
      </c>
      <c r="D53" s="369">
        <v>11.0823319999999</v>
      </c>
      <c r="E53" s="388">
        <v>10.269909999999999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D64+D69</f>
        <v>6414045.4100000001</v>
      </c>
      <c r="E58" s="30">
        <f>D58/E21</f>
        <v>0.99918317898648468</v>
      </c>
    </row>
    <row r="59" spans="2:7" ht="25">
      <c r="B59" s="197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195" t="s">
        <v>6</v>
      </c>
      <c r="C60" s="196" t="s">
        <v>45</v>
      </c>
      <c r="D60" s="80">
        <v>0</v>
      </c>
      <c r="E60" s="81">
        <v>0</v>
      </c>
    </row>
    <row r="61" spans="2:7">
      <c r="B61" s="195" t="s">
        <v>8</v>
      </c>
      <c r="C61" s="196" t="s">
        <v>46</v>
      </c>
      <c r="D61" s="80">
        <v>0</v>
      </c>
      <c r="E61" s="81">
        <v>0</v>
      </c>
    </row>
    <row r="62" spans="2:7">
      <c r="B62" s="195" t="s">
        <v>9</v>
      </c>
      <c r="C62" s="196" t="s">
        <v>47</v>
      </c>
      <c r="D62" s="80">
        <v>0</v>
      </c>
      <c r="E62" s="81">
        <v>0</v>
      </c>
    </row>
    <row r="63" spans="2:7">
      <c r="B63" s="195" t="s">
        <v>29</v>
      </c>
      <c r="C63" s="196" t="s">
        <v>48</v>
      </c>
      <c r="D63" s="80">
        <v>0</v>
      </c>
      <c r="E63" s="81">
        <v>0</v>
      </c>
    </row>
    <row r="64" spans="2:7">
      <c r="B64" s="197" t="s">
        <v>31</v>
      </c>
      <c r="C64" s="198" t="s">
        <v>49</v>
      </c>
      <c r="D64" s="300">
        <f>E12</f>
        <v>6414045.4100000001</v>
      </c>
      <c r="E64" s="390">
        <f>D64/E21</f>
        <v>0.99918317898648468</v>
      </c>
    </row>
    <row r="65" spans="2:7">
      <c r="B65" s="197" t="s">
        <v>33</v>
      </c>
      <c r="C65" s="198" t="s">
        <v>118</v>
      </c>
      <c r="D65" s="82">
        <v>0</v>
      </c>
      <c r="E65" s="83">
        <v>0</v>
      </c>
    </row>
    <row r="66" spans="2:7">
      <c r="B66" s="197" t="s">
        <v>50</v>
      </c>
      <c r="C66" s="198" t="s">
        <v>51</v>
      </c>
      <c r="D66" s="82">
        <v>0</v>
      </c>
      <c r="E66" s="83">
        <v>0</v>
      </c>
      <c r="G66" s="73"/>
    </row>
    <row r="67" spans="2:7">
      <c r="B67" s="195" t="s">
        <v>52</v>
      </c>
      <c r="C67" s="196" t="s">
        <v>53</v>
      </c>
      <c r="D67" s="80">
        <v>0</v>
      </c>
      <c r="E67" s="81">
        <v>0</v>
      </c>
    </row>
    <row r="68" spans="2:7">
      <c r="B68" s="195" t="s">
        <v>54</v>
      </c>
      <c r="C68" s="196" t="s">
        <v>55</v>
      </c>
      <c r="D68" s="80">
        <v>0</v>
      </c>
      <c r="E68" s="81">
        <v>0</v>
      </c>
    </row>
    <row r="69" spans="2:7" ht="14.5">
      <c r="B69" s="195" t="s">
        <v>56</v>
      </c>
      <c r="C69" s="196" t="s">
        <v>57</v>
      </c>
      <c r="D69" s="389">
        <v>0</v>
      </c>
      <c r="E69" s="81">
        <f>D69/E21</f>
        <v>0</v>
      </c>
    </row>
    <row r="70" spans="2:7">
      <c r="B70" s="241" t="s">
        <v>58</v>
      </c>
      <c r="C70" s="240" t="s">
        <v>59</v>
      </c>
      <c r="D70" s="117">
        <v>0</v>
      </c>
      <c r="E70" s="118">
        <v>0</v>
      </c>
    </row>
    <row r="71" spans="2:7" ht="13">
      <c r="B71" s="133" t="s">
        <v>23</v>
      </c>
      <c r="C71" s="124" t="s">
        <v>61</v>
      </c>
      <c r="D71" s="125">
        <f>E13</f>
        <v>15752.9</v>
      </c>
      <c r="E71" s="66">
        <f>D71/E21</f>
        <v>2.4539945844031987E-3</v>
      </c>
    </row>
    <row r="72" spans="2:7" ht="13">
      <c r="B72" s="134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135" t="s">
        <v>62</v>
      </c>
      <c r="C73" s="23" t="s">
        <v>65</v>
      </c>
      <c r="D73" s="24">
        <f>E17</f>
        <v>10509.49</v>
      </c>
      <c r="E73" s="25">
        <f>D73/E21</f>
        <v>1.6371735708878728E-3</v>
      </c>
    </row>
    <row r="74" spans="2:7" ht="13">
      <c r="B74" s="133" t="s">
        <v>64</v>
      </c>
      <c r="C74" s="124" t="s">
        <v>66</v>
      </c>
      <c r="D74" s="125">
        <f>D58+D72-D73+D71</f>
        <v>6419288.8200000003</v>
      </c>
      <c r="E74" s="66">
        <f>E58+E72-E73+E71</f>
        <v>1</v>
      </c>
    </row>
    <row r="75" spans="2:7">
      <c r="B75" s="195" t="s">
        <v>4</v>
      </c>
      <c r="C75" s="196" t="s">
        <v>67</v>
      </c>
      <c r="D75" s="80">
        <f>D74</f>
        <v>6419288.8200000003</v>
      </c>
      <c r="E75" s="81">
        <f>E74</f>
        <v>1</v>
      </c>
    </row>
    <row r="76" spans="2:7">
      <c r="B76" s="195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199" t="s">
        <v>8</v>
      </c>
      <c r="C77" s="200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5118110236220474" right="0.74803149606299213" top="0.51181102362204722" bottom="0.62992125984251968" header="0.51181102362204722" footer="0.51181102362204722"/>
  <pageSetup paperSize="9" scale="7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" customWidth="1"/>
    <col min="9" max="9" width="13.26953125" customWidth="1"/>
    <col min="10" max="10" width="13.54296875" customWidth="1"/>
    <col min="11" max="11" width="18.453125" customWidth="1"/>
    <col min="12" max="12" width="12.45312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74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207" t="s">
        <v>109</v>
      </c>
      <c r="D11" s="299">
        <f>SUM(D12:D14)</f>
        <v>7165250.3200000003</v>
      </c>
      <c r="E11" s="245">
        <f>SUM(E12:E14)</f>
        <v>6872557.0200000005</v>
      </c>
      <c r="H11" s="73"/>
    </row>
    <row r="12" spans="2:12">
      <c r="B12" s="109" t="s">
        <v>4</v>
      </c>
      <c r="C12" s="208" t="s">
        <v>5</v>
      </c>
      <c r="D12" s="300">
        <f>7152715.62+12534.69</f>
        <v>7165250.3100000005</v>
      </c>
      <c r="E12" s="250">
        <v>6863067.54</v>
      </c>
      <c r="G12" s="67"/>
      <c r="H12" s="73"/>
    </row>
    <row r="13" spans="2:12">
      <c r="B13" s="109" t="s">
        <v>6</v>
      </c>
      <c r="C13" s="208" t="s">
        <v>7</v>
      </c>
      <c r="D13" s="301">
        <v>0.01</v>
      </c>
      <c r="E13" s="251">
        <v>9489.48</v>
      </c>
      <c r="H13" s="73"/>
    </row>
    <row r="14" spans="2:12">
      <c r="B14" s="109" t="s">
        <v>8</v>
      </c>
      <c r="C14" s="208" t="s">
        <v>10</v>
      </c>
      <c r="D14" s="301"/>
      <c r="E14" s="251"/>
      <c r="G14" s="67"/>
      <c r="H14" s="73"/>
    </row>
    <row r="15" spans="2:12">
      <c r="B15" s="109" t="s">
        <v>106</v>
      </c>
      <c r="C15" s="208" t="s">
        <v>11</v>
      </c>
      <c r="D15" s="301"/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12017.96</v>
      </c>
      <c r="E17" s="253">
        <f>E18</f>
        <v>11610.79</v>
      </c>
    </row>
    <row r="18" spans="2:11">
      <c r="B18" s="109" t="s">
        <v>4</v>
      </c>
      <c r="C18" s="208" t="s">
        <v>11</v>
      </c>
      <c r="D18" s="302">
        <v>12017.96</v>
      </c>
      <c r="E18" s="252">
        <v>11610.79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7153232.3600000003</v>
      </c>
      <c r="E21" s="151">
        <f>E11-E17</f>
        <v>6860946.2300000004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8342606.7199999997</v>
      </c>
      <c r="E26" s="239">
        <f>D21</f>
        <v>7153232.3600000003</v>
      </c>
      <c r="G26" s="76"/>
    </row>
    <row r="27" spans="2:11" ht="13">
      <c r="B27" s="8" t="s">
        <v>17</v>
      </c>
      <c r="C27" s="9" t="s">
        <v>111</v>
      </c>
      <c r="D27" s="360">
        <v>-745964.60999999987</v>
      </c>
      <c r="E27" s="275">
        <v>-554435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0</v>
      </c>
      <c r="E28" s="276">
        <v>19564.490000000002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/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>
        <v>19564.490000000002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745964.60999999987</v>
      </c>
      <c r="E32" s="276">
        <v>573999.49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637107.85</v>
      </c>
      <c r="E33" s="277">
        <v>479219.93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108251.57</v>
      </c>
      <c r="E35" s="277">
        <v>92626.33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/>
      <c r="E37" s="277"/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605.19000000000005</v>
      </c>
      <c r="E39" s="278">
        <v>2153.23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-443409.75</v>
      </c>
      <c r="E40" s="279">
        <v>262148.87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7153232.3599999994</v>
      </c>
      <c r="E41" s="151">
        <f>E26+E27+E40</f>
        <v>6860946.2300000004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906379.75520200003</v>
      </c>
      <c r="E47" s="309">
        <v>819700.54994599998</v>
      </c>
      <c r="G47" s="73"/>
    </row>
    <row r="48" spans="2:10">
      <c r="B48" s="126" t="s">
        <v>6</v>
      </c>
      <c r="C48" s="21" t="s">
        <v>41</v>
      </c>
      <c r="D48" s="371">
        <v>819700.54994599998</v>
      </c>
      <c r="E48" s="309">
        <v>758699.21763700002</v>
      </c>
      <c r="G48" s="73"/>
      <c r="I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9.2043169999999996</v>
      </c>
      <c r="E50" s="307">
        <v>8.7266410000000008</v>
      </c>
      <c r="G50" s="183"/>
    </row>
    <row r="51" spans="2:7">
      <c r="B51" s="105" t="s">
        <v>6</v>
      </c>
      <c r="C51" s="14" t="s">
        <v>114</v>
      </c>
      <c r="D51" s="371">
        <v>8.3255490000000005</v>
      </c>
      <c r="E51" s="317">
        <v>8.7180160000000004</v>
      </c>
      <c r="G51" s="183"/>
    </row>
    <row r="52" spans="2:7" ht="12.75" customHeight="1">
      <c r="B52" s="105" t="s">
        <v>8</v>
      </c>
      <c r="C52" s="14" t="s">
        <v>115</v>
      </c>
      <c r="D52" s="371">
        <v>9.2568850000000005</v>
      </c>
      <c r="E52" s="77">
        <v>9.3060430000000007</v>
      </c>
    </row>
    <row r="53" spans="2:7" ht="13" thickBot="1">
      <c r="B53" s="106" t="s">
        <v>9</v>
      </c>
      <c r="C53" s="16" t="s">
        <v>41</v>
      </c>
      <c r="D53" s="369">
        <v>8.7266410000000008</v>
      </c>
      <c r="E53" s="280">
        <v>9.0430379999999992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D64+D69</f>
        <v>6863067.54</v>
      </c>
      <c r="E58" s="30">
        <f>D58/E21</f>
        <v>1.0003091862155578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4" customHeight="1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300">
        <f>E12</f>
        <v>6863067.54</v>
      </c>
      <c r="E64" s="390">
        <f>D64/E21</f>
        <v>1.0003091862155578</v>
      </c>
    </row>
    <row r="65" spans="2:7">
      <c r="B65" s="126" t="s">
        <v>33</v>
      </c>
      <c r="C65" s="21" t="s">
        <v>118</v>
      </c>
      <c r="D65" s="82">
        <v>0</v>
      </c>
      <c r="E65" s="83">
        <v>0</v>
      </c>
    </row>
    <row r="66" spans="2:7">
      <c r="B66" s="126" t="s">
        <v>50</v>
      </c>
      <c r="C66" s="21" t="s">
        <v>51</v>
      </c>
      <c r="D66" s="82">
        <v>0</v>
      </c>
      <c r="E66" s="83">
        <v>0</v>
      </c>
      <c r="G66" s="73"/>
    </row>
    <row r="67" spans="2:7">
      <c r="B67" s="105" t="s">
        <v>52</v>
      </c>
      <c r="C67" s="14" t="s">
        <v>53</v>
      </c>
      <c r="D67" s="80">
        <v>0</v>
      </c>
      <c r="E67" s="81">
        <v>0</v>
      </c>
    </row>
    <row r="68" spans="2:7">
      <c r="B68" s="105" t="s">
        <v>54</v>
      </c>
      <c r="C68" s="14" t="s">
        <v>55</v>
      </c>
      <c r="D68" s="80">
        <v>0</v>
      </c>
      <c r="E68" s="81">
        <v>0</v>
      </c>
    </row>
    <row r="69" spans="2:7" ht="14.5">
      <c r="B69" s="105" t="s">
        <v>56</v>
      </c>
      <c r="C69" s="14" t="s">
        <v>57</v>
      </c>
      <c r="D69" s="389">
        <v>0</v>
      </c>
      <c r="E69" s="81">
        <f>D69/E21</f>
        <v>0</v>
      </c>
    </row>
    <row r="70" spans="2:7">
      <c r="B70" s="132" t="s">
        <v>58</v>
      </c>
      <c r="C70" s="116" t="s">
        <v>59</v>
      </c>
      <c r="D70" s="117">
        <v>0</v>
      </c>
      <c r="E70" s="118">
        <v>0</v>
      </c>
    </row>
    <row r="71" spans="2:7" ht="13">
      <c r="B71" s="133" t="s">
        <v>23</v>
      </c>
      <c r="C71" s="124" t="s">
        <v>61</v>
      </c>
      <c r="D71" s="125">
        <f>E13</f>
        <v>9489.48</v>
      </c>
      <c r="E71" s="66">
        <f>D71/E21</f>
        <v>1.38311534326075E-3</v>
      </c>
    </row>
    <row r="72" spans="2:7" ht="13">
      <c r="B72" s="134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135" t="s">
        <v>62</v>
      </c>
      <c r="C73" s="23" t="s">
        <v>65</v>
      </c>
      <c r="D73" s="24">
        <f>E17</f>
        <v>11610.79</v>
      </c>
      <c r="E73" s="25">
        <f>D73/E21</f>
        <v>1.6923015588186587E-3</v>
      </c>
    </row>
    <row r="74" spans="2:7" ht="13">
      <c r="B74" s="133" t="s">
        <v>64</v>
      </c>
      <c r="C74" s="124" t="s">
        <v>66</v>
      </c>
      <c r="D74" s="125">
        <f>D58+D72-D73+D71</f>
        <v>6860946.2300000004</v>
      </c>
      <c r="E74" s="66">
        <f>E58+E71+E72-E73</f>
        <v>1</v>
      </c>
    </row>
    <row r="75" spans="2:7">
      <c r="B75" s="105" t="s">
        <v>4</v>
      </c>
      <c r="C75" s="14" t="s">
        <v>67</v>
      </c>
      <c r="D75" s="80">
        <f>D74</f>
        <v>6860946.2300000004</v>
      </c>
      <c r="E75" s="81">
        <f>E74</f>
        <v>1</v>
      </c>
    </row>
    <row r="76" spans="2:7">
      <c r="B76" s="105" t="s">
        <v>6</v>
      </c>
      <c r="C76" s="14" t="s">
        <v>119</v>
      </c>
      <c r="D76" s="80">
        <v>0</v>
      </c>
      <c r="E76" s="81">
        <v>0</v>
      </c>
    </row>
    <row r="77" spans="2:7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1" manualBreakCount="1">
    <brk id="7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2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148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141810.57999999999</v>
      </c>
      <c r="E11" s="245">
        <f>SUM(E12:E14)</f>
        <v>85904.26</v>
      </c>
    </row>
    <row r="12" spans="2:12">
      <c r="B12" s="184" t="s">
        <v>4</v>
      </c>
      <c r="C12" s="185" t="s">
        <v>5</v>
      </c>
      <c r="D12" s="300">
        <v>141810.57999999999</v>
      </c>
      <c r="E12" s="250">
        <v>85904.26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141810.57999999999</v>
      </c>
      <c r="E21" s="151">
        <f>E11-E17</f>
        <v>85904.26</v>
      </c>
      <c r="F21" s="79"/>
      <c r="G21" s="79"/>
      <c r="H21" s="171"/>
      <c r="J21" s="233"/>
      <c r="K21" s="67"/>
    </row>
    <row r="22" spans="2:11" ht="12" customHeight="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17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199542.12</v>
      </c>
      <c r="E26" s="239">
        <f>D21</f>
        <v>141810.57999999999</v>
      </c>
      <c r="G26" s="76"/>
    </row>
    <row r="27" spans="2:11" ht="13">
      <c r="B27" s="8" t="s">
        <v>17</v>
      </c>
      <c r="C27" s="9" t="s">
        <v>111</v>
      </c>
      <c r="D27" s="360">
        <v>-78410.240000000005</v>
      </c>
      <c r="E27" s="275">
        <v>-58875.74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8315.59</v>
      </c>
      <c r="E28" s="276">
        <v>7271.58</v>
      </c>
      <c r="F28" s="73"/>
      <c r="G28" s="255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8315.59</v>
      </c>
      <c r="E29" s="277">
        <v>7271.58</v>
      </c>
      <c r="F29" s="73"/>
      <c r="G29" s="255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86725.83</v>
      </c>
      <c r="E32" s="276">
        <v>66147.320000000007</v>
      </c>
      <c r="F32" s="73"/>
      <c r="G32" s="25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84112.91</v>
      </c>
      <c r="E33" s="277">
        <v>63718.89</v>
      </c>
      <c r="F33" s="73"/>
      <c r="G33" s="255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231.76</v>
      </c>
      <c r="E35" s="277">
        <v>204.14000000000001</v>
      </c>
      <c r="F35" s="73"/>
      <c r="G35" s="255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2381.16</v>
      </c>
      <c r="E37" s="277">
        <v>2161.98</v>
      </c>
      <c r="F37" s="73"/>
      <c r="G37" s="255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>
        <v>62.31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20678.7</v>
      </c>
      <c r="E40" s="279">
        <v>2969.42</v>
      </c>
      <c r="G40" s="76"/>
    </row>
    <row r="41" spans="2:10" ht="13.5" thickBot="1">
      <c r="B41" s="102" t="s">
        <v>37</v>
      </c>
      <c r="C41" s="103" t="s">
        <v>38</v>
      </c>
      <c r="D41" s="364">
        <v>141810.57999999999</v>
      </c>
      <c r="E41" s="151">
        <f>E26+E27+E40</f>
        <v>85904.26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1616.3801000000001</v>
      </c>
      <c r="E47" s="309">
        <v>984.24890000000005</v>
      </c>
      <c r="G47" s="73"/>
    </row>
    <row r="48" spans="2:10">
      <c r="B48" s="126" t="s">
        <v>6</v>
      </c>
      <c r="C48" s="21" t="s">
        <v>41</v>
      </c>
      <c r="D48" s="371">
        <v>984.24890000000005</v>
      </c>
      <c r="E48" s="318">
        <v>589.39459999999997</v>
      </c>
      <c r="G48" s="162"/>
    </row>
    <row r="49" spans="2:7" ht="13">
      <c r="B49" s="123" t="s">
        <v>23</v>
      </c>
      <c r="C49" s="127" t="s">
        <v>113</v>
      </c>
      <c r="D49" s="373"/>
      <c r="E49" s="77"/>
    </row>
    <row r="50" spans="2:7">
      <c r="B50" s="105" t="s">
        <v>4</v>
      </c>
      <c r="C50" s="14" t="s">
        <v>40</v>
      </c>
      <c r="D50" s="371">
        <v>123.45</v>
      </c>
      <c r="E50" s="77">
        <v>144.08000000000001</v>
      </c>
      <c r="G50" s="183"/>
    </row>
    <row r="51" spans="2:7">
      <c r="B51" s="105" t="s">
        <v>6</v>
      </c>
      <c r="C51" s="14" t="s">
        <v>114</v>
      </c>
      <c r="D51" s="371">
        <v>109.87</v>
      </c>
      <c r="E51" s="77">
        <v>144.08000000000001</v>
      </c>
      <c r="G51" s="183"/>
    </row>
    <row r="52" spans="2:7">
      <c r="B52" s="105" t="s">
        <v>8</v>
      </c>
      <c r="C52" s="14" t="s">
        <v>115</v>
      </c>
      <c r="D52" s="371">
        <v>144.33000000000001</v>
      </c>
      <c r="E52" s="77">
        <v>156.81</v>
      </c>
    </row>
    <row r="53" spans="2:7" ht="13.5" customHeight="1" thickBot="1">
      <c r="B53" s="106" t="s">
        <v>9</v>
      </c>
      <c r="C53" s="16" t="s">
        <v>41</v>
      </c>
      <c r="D53" s="369">
        <v>144.08000000000001</v>
      </c>
      <c r="E53" s="319">
        <v>145.75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85904.26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85904.26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85904.26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85904.26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692913385826772" right="0.74803149606299213" top="0.55118110236220474" bottom="0.39370078740157483" header="0.51181102362204722" footer="0.51181102362204722"/>
  <pageSetup paperSize="9" scale="7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/>
  <dimension ref="A1:L81"/>
  <sheetViews>
    <sheetView zoomScale="80" zoomScaleNormal="80" workbookViewId="0">
      <selection activeCell="H18" sqref="H18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1.6328125" customWidth="1"/>
    <col min="10" max="10" width="12.08984375" customWidth="1"/>
    <col min="11" max="11" width="11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149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1562781.86</v>
      </c>
      <c r="E11" s="245">
        <f>SUM(E12:E14)</f>
        <v>1309866.25</v>
      </c>
    </row>
    <row r="12" spans="2:12">
      <c r="B12" s="109" t="s">
        <v>4</v>
      </c>
      <c r="C12" s="5" t="s">
        <v>5</v>
      </c>
      <c r="D12" s="300">
        <v>1562781.86</v>
      </c>
      <c r="E12" s="250">
        <v>1309866.25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1562781.86</v>
      </c>
      <c r="E21" s="151">
        <f>E11-E17</f>
        <v>1309866.25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1613814.13</v>
      </c>
      <c r="E26" s="239">
        <f>D21</f>
        <v>1562781.86</v>
      </c>
      <c r="G26" s="76"/>
      <c r="H26" s="242"/>
    </row>
    <row r="27" spans="2:11" ht="13">
      <c r="B27" s="8" t="s">
        <v>17</v>
      </c>
      <c r="C27" s="9" t="s">
        <v>111</v>
      </c>
      <c r="D27" s="360">
        <v>-58567.64</v>
      </c>
      <c r="E27" s="275">
        <v>-271748.88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89422.61</v>
      </c>
      <c r="E28" s="276">
        <v>6872.57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6525.5</v>
      </c>
      <c r="E29" s="277">
        <v>6872.57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82897.11</v>
      </c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147990.25</v>
      </c>
      <c r="E32" s="276">
        <v>278621.45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75655.100000000006</v>
      </c>
      <c r="E33" s="277">
        <v>253923.99000000002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5297.38</v>
      </c>
      <c r="E35" s="277">
        <v>662.39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25575.09</v>
      </c>
      <c r="E37" s="277">
        <v>23202.03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41462.68</v>
      </c>
      <c r="E39" s="278">
        <v>833.04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7535.37</v>
      </c>
      <c r="E40" s="279">
        <v>18833.27</v>
      </c>
      <c r="G40" s="76"/>
    </row>
    <row r="41" spans="2:10" ht="13.5" thickBot="1">
      <c r="B41" s="102" t="s">
        <v>37</v>
      </c>
      <c r="C41" s="103" t="s">
        <v>38</v>
      </c>
      <c r="D41" s="364">
        <v>1562781.86</v>
      </c>
      <c r="E41" s="151">
        <f>E26+E27+E40</f>
        <v>1309866.25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9303.1309999999994</v>
      </c>
      <c r="E47" s="152">
        <v>8963.9891000000007</v>
      </c>
      <c r="G47" s="73"/>
    </row>
    <row r="48" spans="2:10">
      <c r="B48" s="126" t="s">
        <v>6</v>
      </c>
      <c r="C48" s="21" t="s">
        <v>41</v>
      </c>
      <c r="D48" s="371">
        <v>8963.9891000000007</v>
      </c>
      <c r="E48" s="320">
        <v>7420.9180999999999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173.47</v>
      </c>
      <c r="E50" s="152">
        <v>174.34</v>
      </c>
      <c r="G50" s="183"/>
    </row>
    <row r="51" spans="2:7">
      <c r="B51" s="105" t="s">
        <v>6</v>
      </c>
      <c r="C51" s="14" t="s">
        <v>114</v>
      </c>
      <c r="D51" s="371">
        <v>168.08</v>
      </c>
      <c r="E51" s="77">
        <v>174.34</v>
      </c>
      <c r="G51" s="183"/>
    </row>
    <row r="52" spans="2:7">
      <c r="B52" s="105" t="s">
        <v>8</v>
      </c>
      <c r="C52" s="14" t="s">
        <v>115</v>
      </c>
      <c r="D52" s="371">
        <v>174.43</v>
      </c>
      <c r="E52" s="77">
        <v>177</v>
      </c>
    </row>
    <row r="53" spans="2:7" ht="13.5" customHeight="1" thickBot="1">
      <c r="B53" s="106" t="s">
        <v>9</v>
      </c>
      <c r="C53" s="16" t="s">
        <v>41</v>
      </c>
      <c r="D53" s="369">
        <v>174.34</v>
      </c>
      <c r="E53" s="321">
        <v>176.51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1309866.25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1309866.25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1309866.25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1309866.25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2" right="0.75" top="0.6" bottom="0.56000000000000005" header="0.5" footer="0.5"/>
  <pageSetup paperSize="9" scale="7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.25" customHeight="1">
      <c r="B6" s="403" t="s">
        <v>150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 customHeight="1">
      <c r="B8" s="405" t="s">
        <v>18</v>
      </c>
      <c r="C8" s="405"/>
      <c r="D8" s="405"/>
      <c r="E8" s="405"/>
    </row>
    <row r="9" spans="2:12" ht="16.5" customHeight="1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213098.23</v>
      </c>
      <c r="E11" s="245">
        <f>SUM(E12:E14)</f>
        <v>201929.27</v>
      </c>
    </row>
    <row r="12" spans="2:12">
      <c r="B12" s="184" t="s">
        <v>4</v>
      </c>
      <c r="C12" s="185" t="s">
        <v>5</v>
      </c>
      <c r="D12" s="300">
        <v>213098.23</v>
      </c>
      <c r="E12" s="250">
        <v>201929.27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customHeight="1" thickBot="1">
      <c r="B21" s="409" t="s">
        <v>110</v>
      </c>
      <c r="C21" s="421"/>
      <c r="D21" s="305">
        <v>213098.23</v>
      </c>
      <c r="E21" s="151">
        <f>E11-E17</f>
        <v>201929.27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 customHeight="1">
      <c r="B23" s="405" t="s">
        <v>104</v>
      </c>
      <c r="C23" s="405"/>
      <c r="D23" s="405"/>
      <c r="E23" s="405"/>
      <c r="G23" s="73"/>
    </row>
    <row r="24" spans="2:11" ht="15.75" customHeight="1" thickBot="1">
      <c r="B24" s="404" t="s">
        <v>105</v>
      </c>
      <c r="C24" s="404"/>
      <c r="D24" s="404"/>
      <c r="E24" s="404"/>
    </row>
    <row r="25" spans="2:11" ht="13.5" thickBot="1">
      <c r="B25" s="217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229819.14</v>
      </c>
      <c r="E26" s="239">
        <f>D21</f>
        <v>213098.23</v>
      </c>
      <c r="G26" s="76"/>
    </row>
    <row r="27" spans="2:11" ht="13">
      <c r="B27" s="8" t="s">
        <v>17</v>
      </c>
      <c r="C27" s="9" t="s">
        <v>111</v>
      </c>
      <c r="D27" s="360">
        <v>-68351.509999999995</v>
      </c>
      <c r="E27" s="275">
        <v>-40904.239999999998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1595.13</v>
      </c>
      <c r="E28" s="276">
        <v>1609.3500000000001</v>
      </c>
      <c r="F28" s="73"/>
      <c r="G28" s="255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1595.13</v>
      </c>
      <c r="E29" s="277">
        <v>1609.3500000000001</v>
      </c>
      <c r="F29" s="73"/>
      <c r="G29" s="255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69946.64</v>
      </c>
      <c r="E32" s="276">
        <v>42513.59</v>
      </c>
      <c r="F32" s="73"/>
      <c r="G32" s="25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65502.95</v>
      </c>
      <c r="E33" s="277">
        <v>37872.81</v>
      </c>
      <c r="F33" s="73"/>
      <c r="G33" s="255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492.59</v>
      </c>
      <c r="E35" s="277">
        <v>271.58999999999997</v>
      </c>
      <c r="F35" s="73"/>
      <c r="G35" s="255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3951.1</v>
      </c>
      <c r="E37" s="277">
        <v>4369.1900000000005</v>
      </c>
      <c r="F37" s="73"/>
      <c r="G37" s="255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51630.6</v>
      </c>
      <c r="E40" s="279">
        <v>29735.279999999999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213098.23</v>
      </c>
      <c r="E41" s="151">
        <f>E26+E27+E40</f>
        <v>201929.27000000002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 customHeight="1">
      <c r="B43" s="406" t="s">
        <v>60</v>
      </c>
      <c r="C43" s="406"/>
      <c r="D43" s="406"/>
      <c r="E43" s="406"/>
      <c r="G43" s="73"/>
    </row>
    <row r="44" spans="2:10" ht="18" customHeight="1" thickBot="1">
      <c r="B44" s="404" t="s">
        <v>121</v>
      </c>
      <c r="C44" s="404"/>
      <c r="D44" s="404"/>
      <c r="E44" s="404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2411.7865000000002</v>
      </c>
      <c r="E47" s="323">
        <v>1752.885</v>
      </c>
      <c r="G47" s="73"/>
    </row>
    <row r="48" spans="2:10">
      <c r="B48" s="126" t="s">
        <v>6</v>
      </c>
      <c r="C48" s="21" t="s">
        <v>41</v>
      </c>
      <c r="D48" s="371">
        <v>1752.885</v>
      </c>
      <c r="E48" s="322">
        <v>1453.4604999999999</v>
      </c>
      <c r="G48" s="73"/>
    </row>
    <row r="49" spans="2:7" ht="13">
      <c r="B49" s="123" t="s">
        <v>23</v>
      </c>
      <c r="C49" s="127" t="s">
        <v>113</v>
      </c>
      <c r="D49" s="373"/>
      <c r="E49" s="324"/>
    </row>
    <row r="50" spans="2:7">
      <c r="B50" s="105" t="s">
        <v>4</v>
      </c>
      <c r="C50" s="14" t="s">
        <v>40</v>
      </c>
      <c r="D50" s="371">
        <v>95.29</v>
      </c>
      <c r="E50" s="326">
        <v>121.57</v>
      </c>
      <c r="G50" s="183"/>
    </row>
    <row r="51" spans="2:7">
      <c r="B51" s="105" t="s">
        <v>6</v>
      </c>
      <c r="C51" s="14" t="s">
        <v>114</v>
      </c>
      <c r="D51" s="371">
        <v>77.44</v>
      </c>
      <c r="E51" s="317">
        <v>121.57</v>
      </c>
      <c r="G51" s="183"/>
    </row>
    <row r="52" spans="2:7">
      <c r="B52" s="105" t="s">
        <v>8</v>
      </c>
      <c r="C52" s="14" t="s">
        <v>115</v>
      </c>
      <c r="D52" s="371">
        <v>122.22</v>
      </c>
      <c r="E52" s="324">
        <v>147.9</v>
      </c>
    </row>
    <row r="53" spans="2:7" ht="12.75" customHeight="1" thickBot="1">
      <c r="B53" s="106" t="s">
        <v>9</v>
      </c>
      <c r="C53" s="16" t="s">
        <v>41</v>
      </c>
      <c r="D53" s="369">
        <v>121.57</v>
      </c>
      <c r="E53" s="321">
        <v>138.93</v>
      </c>
    </row>
    <row r="54" spans="2:7">
      <c r="B54" s="112"/>
      <c r="C54" s="113"/>
      <c r="D54" s="114"/>
      <c r="E54" s="114"/>
    </row>
    <row r="55" spans="2:7" ht="13.5" customHeight="1">
      <c r="B55" s="406" t="s">
        <v>62</v>
      </c>
      <c r="C55" s="406"/>
      <c r="D55" s="406"/>
      <c r="E55" s="406"/>
    </row>
    <row r="56" spans="2:7" ht="14.25" customHeight="1" thickBot="1">
      <c r="B56" s="404" t="s">
        <v>116</v>
      </c>
      <c r="C56" s="404"/>
      <c r="D56" s="404"/>
      <c r="E56" s="404"/>
    </row>
    <row r="57" spans="2:7" ht="23.25" customHeight="1" thickBot="1">
      <c r="B57" s="419" t="s">
        <v>42</v>
      </c>
      <c r="C57" s="42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201929.27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201929.27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201929.27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201929.27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6999999999999995" right="0.75" top="0.62" bottom="0.5" header="0.5" footer="0.5"/>
  <pageSetup paperSize="9" scale="7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1796875" customWidth="1"/>
    <col min="9" max="9" width="13.26953125" customWidth="1"/>
    <col min="10" max="10" width="13.54296875" customWidth="1"/>
    <col min="11" max="11" width="13.269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151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296835.78000000003</v>
      </c>
      <c r="E11" s="245">
        <f>SUM(E12:E14)</f>
        <v>300026.65000000002</v>
      </c>
    </row>
    <row r="12" spans="2:12">
      <c r="B12" s="109" t="s">
        <v>4</v>
      </c>
      <c r="C12" s="5" t="s">
        <v>5</v>
      </c>
      <c r="D12" s="300">
        <v>296835.78000000003</v>
      </c>
      <c r="E12" s="250">
        <v>300026.65000000002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2" ht="13">
      <c r="B17" s="8" t="s">
        <v>13</v>
      </c>
      <c r="C17" s="10" t="s">
        <v>65</v>
      </c>
      <c r="D17" s="303"/>
      <c r="E17" s="253"/>
    </row>
    <row r="18" spans="2:12">
      <c r="B18" s="109" t="s">
        <v>4</v>
      </c>
      <c r="C18" s="5" t="s">
        <v>11</v>
      </c>
      <c r="D18" s="302"/>
      <c r="E18" s="252"/>
    </row>
    <row r="19" spans="2:12" ht="15" customHeight="1">
      <c r="B19" s="109" t="s">
        <v>6</v>
      </c>
      <c r="C19" s="68" t="s">
        <v>108</v>
      </c>
      <c r="D19" s="301"/>
      <c r="E19" s="251"/>
    </row>
    <row r="20" spans="2:12" ht="13" thickBot="1">
      <c r="B20" s="111" t="s">
        <v>8</v>
      </c>
      <c r="C20" s="69" t="s">
        <v>14</v>
      </c>
      <c r="D20" s="304"/>
      <c r="E20" s="246"/>
    </row>
    <row r="21" spans="2:12" ht="13.5" thickBot="1">
      <c r="B21" s="412" t="s">
        <v>110</v>
      </c>
      <c r="C21" s="413"/>
      <c r="D21" s="305">
        <v>296835.78000000003</v>
      </c>
      <c r="E21" s="151">
        <f>E11-E17</f>
        <v>300026.65000000002</v>
      </c>
      <c r="F21" s="79"/>
      <c r="G21" s="79"/>
      <c r="H21" s="171"/>
      <c r="J21" s="232"/>
      <c r="K21" s="171"/>
      <c r="L21" s="183"/>
    </row>
    <row r="22" spans="2:12">
      <c r="B22" s="3"/>
      <c r="C22" s="6"/>
      <c r="D22" s="7"/>
      <c r="E22" s="7"/>
      <c r="G22" s="73"/>
    </row>
    <row r="23" spans="2:12" ht="13.5">
      <c r="B23" s="405" t="s">
        <v>104</v>
      </c>
      <c r="C23" s="417"/>
      <c r="D23" s="417"/>
      <c r="E23" s="417"/>
      <c r="G23" s="73"/>
    </row>
    <row r="24" spans="2:12" ht="15.75" customHeight="1" thickBot="1">
      <c r="B24" s="404" t="s">
        <v>105</v>
      </c>
      <c r="C24" s="418"/>
      <c r="D24" s="418"/>
      <c r="E24" s="418"/>
    </row>
    <row r="25" spans="2:12" ht="13.5" thickBot="1">
      <c r="B25" s="91"/>
      <c r="C25" s="4" t="s">
        <v>2</v>
      </c>
      <c r="D25" s="291" t="s">
        <v>246</v>
      </c>
      <c r="E25" s="258" t="s">
        <v>262</v>
      </c>
    </row>
    <row r="26" spans="2:12" ht="13">
      <c r="B26" s="98" t="s">
        <v>15</v>
      </c>
      <c r="C26" s="99" t="s">
        <v>16</v>
      </c>
      <c r="D26" s="359">
        <v>273163.09999999998</v>
      </c>
      <c r="E26" s="239">
        <f>D21</f>
        <v>296835.78000000003</v>
      </c>
      <c r="G26" s="76"/>
    </row>
    <row r="27" spans="2:12" ht="13">
      <c r="B27" s="8" t="s">
        <v>17</v>
      </c>
      <c r="C27" s="9" t="s">
        <v>111</v>
      </c>
      <c r="D27" s="360">
        <v>-68601.509999999995</v>
      </c>
      <c r="E27" s="275">
        <v>-58016.88</v>
      </c>
      <c r="F27" s="73"/>
      <c r="G27" s="256"/>
      <c r="H27" s="255"/>
      <c r="I27" s="73"/>
      <c r="J27" s="76"/>
    </row>
    <row r="28" spans="2:12" ht="13">
      <c r="B28" s="8" t="s">
        <v>18</v>
      </c>
      <c r="C28" s="9" t="s">
        <v>19</v>
      </c>
      <c r="D28" s="360">
        <v>83954.52</v>
      </c>
      <c r="E28" s="276">
        <v>83031.759999999995</v>
      </c>
      <c r="F28" s="73"/>
      <c r="G28" s="255"/>
      <c r="H28" s="255"/>
      <c r="I28" s="73"/>
      <c r="J28" s="76"/>
    </row>
    <row r="29" spans="2:12" ht="13">
      <c r="B29" s="107" t="s">
        <v>4</v>
      </c>
      <c r="C29" s="5" t="s">
        <v>20</v>
      </c>
      <c r="D29" s="361">
        <v>6744.9</v>
      </c>
      <c r="E29" s="277">
        <v>6655.34</v>
      </c>
      <c r="F29" s="73"/>
      <c r="G29" s="255"/>
      <c r="H29" s="255"/>
      <c r="I29" s="73"/>
      <c r="J29" s="76"/>
    </row>
    <row r="30" spans="2:12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2" ht="13">
      <c r="B31" s="107" t="s">
        <v>8</v>
      </c>
      <c r="C31" s="5" t="s">
        <v>22</v>
      </c>
      <c r="D31" s="361">
        <v>77209.62</v>
      </c>
      <c r="E31" s="277">
        <v>76376.42</v>
      </c>
      <c r="F31" s="73"/>
      <c r="G31" s="255"/>
      <c r="H31" s="255"/>
      <c r="I31" s="73"/>
      <c r="J31" s="76"/>
    </row>
    <row r="32" spans="2:12" ht="13">
      <c r="B32" s="95" t="s">
        <v>23</v>
      </c>
      <c r="C32" s="10" t="s">
        <v>24</v>
      </c>
      <c r="D32" s="360">
        <v>152556.03</v>
      </c>
      <c r="E32" s="276">
        <v>141048.64000000001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/>
      <c r="E33" s="277">
        <v>108995.15000000001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373.8</v>
      </c>
      <c r="E35" s="277">
        <v>524.44000000000005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3853.9</v>
      </c>
      <c r="E37" s="277">
        <v>4901.58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148328.32999999999</v>
      </c>
      <c r="E39" s="278">
        <v>26627.47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92274.19</v>
      </c>
      <c r="E40" s="279">
        <v>61207.75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296835.77999999997</v>
      </c>
      <c r="E41" s="151">
        <f>E26+E27+E40</f>
        <v>300026.65000000002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2241.0623999999998</v>
      </c>
      <c r="E47" s="152">
        <v>1697.5625</v>
      </c>
      <c r="G47" s="73"/>
    </row>
    <row r="48" spans="2:10">
      <c r="B48" s="126" t="s">
        <v>6</v>
      </c>
      <c r="C48" s="21" t="s">
        <v>41</v>
      </c>
      <c r="D48" s="371">
        <v>1697.5625</v>
      </c>
      <c r="E48" s="320">
        <v>1457.9263000000001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121.89</v>
      </c>
      <c r="E50" s="152">
        <v>174.86</v>
      </c>
      <c r="G50" s="183"/>
    </row>
    <row r="51" spans="2:7">
      <c r="B51" s="105" t="s">
        <v>6</v>
      </c>
      <c r="C51" s="14" t="s">
        <v>114</v>
      </c>
      <c r="D51" s="371">
        <v>88.48</v>
      </c>
      <c r="E51" s="77">
        <v>174.86</v>
      </c>
      <c r="G51" s="183"/>
    </row>
    <row r="52" spans="2:7">
      <c r="B52" s="105" t="s">
        <v>8</v>
      </c>
      <c r="C52" s="14" t="s">
        <v>115</v>
      </c>
      <c r="D52" s="371">
        <v>175.1</v>
      </c>
      <c r="E52" s="77">
        <v>224.7</v>
      </c>
    </row>
    <row r="53" spans="2:7" ht="13.5" customHeight="1" thickBot="1">
      <c r="B53" s="106" t="s">
        <v>9</v>
      </c>
      <c r="C53" s="16" t="s">
        <v>41</v>
      </c>
      <c r="D53" s="369">
        <v>174.86</v>
      </c>
      <c r="E53" s="321">
        <v>205.79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300026.65000000002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300026.65000000002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300026.65000000002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300026.65000000002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5000000000000004" right="0.75" top="0.59" bottom="0.4" header="0.5" footer="0.5"/>
  <pageSetup paperSize="9" scale="7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6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152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6303578.8099999996</v>
      </c>
      <c r="E11" s="245">
        <f>SUM(E12:E14)</f>
        <v>3074009.43</v>
      </c>
    </row>
    <row r="12" spans="2:12">
      <c r="B12" s="184" t="s">
        <v>4</v>
      </c>
      <c r="C12" s="185" t="s">
        <v>5</v>
      </c>
      <c r="D12" s="300">
        <v>6303578.8099999996</v>
      </c>
      <c r="E12" s="250">
        <v>3074009.43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6303578.8099999996</v>
      </c>
      <c r="E21" s="151">
        <f>E11-E17</f>
        <v>3074009.43</v>
      </c>
      <c r="F21" s="79"/>
      <c r="G21" s="79"/>
      <c r="H21" s="79"/>
      <c r="J21" s="232"/>
      <c r="K21" s="171"/>
    </row>
    <row r="22" spans="2:11">
      <c r="B22" s="3"/>
      <c r="C22" s="6"/>
      <c r="D22" s="7"/>
      <c r="E22" s="7"/>
      <c r="G22" s="73"/>
      <c r="J22" s="290"/>
      <c r="K22" s="290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17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6167157.0300000003</v>
      </c>
      <c r="E26" s="239">
        <f>D21</f>
        <v>6303578.8099999996</v>
      </c>
      <c r="G26" s="76"/>
    </row>
    <row r="27" spans="2:11" ht="13">
      <c r="B27" s="8" t="s">
        <v>17</v>
      </c>
      <c r="C27" s="9" t="s">
        <v>111</v>
      </c>
      <c r="D27" s="360">
        <v>-15125.27</v>
      </c>
      <c r="E27" s="275">
        <v>-3159490.4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2913757.7800000003</v>
      </c>
      <c r="E28" s="276">
        <v>20341.66</v>
      </c>
      <c r="F28" s="73"/>
      <c r="G28" s="255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38675.22</v>
      </c>
      <c r="E29" s="277">
        <v>20341.66</v>
      </c>
      <c r="F29" s="73"/>
      <c r="G29" s="255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2875082.56</v>
      </c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2928883.05</v>
      </c>
      <c r="E32" s="276">
        <v>3179832.06</v>
      </c>
      <c r="F32" s="73"/>
      <c r="G32" s="25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198985.23</v>
      </c>
      <c r="E33" s="277">
        <v>3088740.84</v>
      </c>
      <c r="F33" s="73"/>
      <c r="G33" s="255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20480.099999999999</v>
      </c>
      <c r="E35" s="277">
        <v>15588.73</v>
      </c>
      <c r="F35" s="73"/>
      <c r="G35" s="255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89293.84</v>
      </c>
      <c r="E37" s="277">
        <v>75467.509999999995</v>
      </c>
      <c r="F37" s="73"/>
      <c r="G37" s="255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2620123.88</v>
      </c>
      <c r="E39" s="278">
        <v>34.979999999999997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151547.04999999999</v>
      </c>
      <c r="E40" s="279">
        <v>-70078.98</v>
      </c>
      <c r="G40" s="76"/>
    </row>
    <row r="41" spans="2:10" ht="13.5" thickBot="1">
      <c r="B41" s="102" t="s">
        <v>37</v>
      </c>
      <c r="C41" s="103" t="s">
        <v>38</v>
      </c>
      <c r="D41" s="364">
        <v>6303578.8100000005</v>
      </c>
      <c r="E41" s="151">
        <f>E26+E27+E40</f>
        <v>3074009.4299999997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39003.016900000002</v>
      </c>
      <c r="E47" s="152">
        <v>39150.231699999997</v>
      </c>
      <c r="G47" s="73"/>
    </row>
    <row r="48" spans="2:10">
      <c r="B48" s="126" t="s">
        <v>6</v>
      </c>
      <c r="C48" s="21" t="s">
        <v>41</v>
      </c>
      <c r="D48" s="371">
        <v>39150.231699999997</v>
      </c>
      <c r="E48" s="320">
        <v>19541.0936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158.12</v>
      </c>
      <c r="E50" s="152">
        <v>161.01</v>
      </c>
      <c r="G50" s="183"/>
    </row>
    <row r="51" spans="2:7">
      <c r="B51" s="105" t="s">
        <v>6</v>
      </c>
      <c r="C51" s="14" t="s">
        <v>114</v>
      </c>
      <c r="D51" s="371">
        <v>155.15</v>
      </c>
      <c r="E51" s="77">
        <v>157.31</v>
      </c>
      <c r="G51" s="183"/>
    </row>
    <row r="52" spans="2:7">
      <c r="B52" s="105" t="s">
        <v>8</v>
      </c>
      <c r="C52" s="14" t="s">
        <v>115</v>
      </c>
      <c r="D52" s="371">
        <v>161.31</v>
      </c>
      <c r="E52" s="77">
        <v>162.46</v>
      </c>
    </row>
    <row r="53" spans="2:7" ht="12.75" customHeight="1" thickBot="1">
      <c r="B53" s="106" t="s">
        <v>9</v>
      </c>
      <c r="C53" s="16" t="s">
        <v>41</v>
      </c>
      <c r="D53" s="369">
        <v>161.01</v>
      </c>
      <c r="E53" s="321">
        <v>157.31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3074009.43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3074009.43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3074009.43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3074009.43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" right="0.75" top="0.56000000000000005" bottom="0.56000000000000005" header="0.5" footer="0.5"/>
  <pageSetup paperSize="9" scale="7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" customWidth="1"/>
    <col min="9" max="9" width="13.26953125" customWidth="1"/>
    <col min="10" max="10" width="13.54296875" customWidth="1"/>
    <col min="11" max="11" width="17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153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12172927.93</v>
      </c>
      <c r="E11" s="245">
        <f>SUM(E12:E14)</f>
        <v>8730743.9499999993</v>
      </c>
    </row>
    <row r="12" spans="2:12">
      <c r="B12" s="109" t="s">
        <v>4</v>
      </c>
      <c r="C12" s="5" t="s">
        <v>5</v>
      </c>
      <c r="D12" s="300">
        <v>12172927.93</v>
      </c>
      <c r="E12" s="250">
        <v>8730743.9499999993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12172927.93</v>
      </c>
      <c r="E21" s="151">
        <f>E11-E17</f>
        <v>8730743.9499999993</v>
      </c>
      <c r="F21" s="79"/>
      <c r="G21" s="79"/>
      <c r="H21" s="172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15612415.41</v>
      </c>
      <c r="E26" s="239">
        <f>D21</f>
        <v>12172927.93</v>
      </c>
      <c r="G26" s="76"/>
      <c r="H26" s="242"/>
    </row>
    <row r="27" spans="2:11" ht="13">
      <c r="B27" s="8" t="s">
        <v>17</v>
      </c>
      <c r="C27" s="9" t="s">
        <v>111</v>
      </c>
      <c r="D27" s="360">
        <v>-4267678.5699999994</v>
      </c>
      <c r="E27" s="275">
        <v>-2329373.52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293621.28999999998</v>
      </c>
      <c r="E28" s="276">
        <v>140229.93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>
        <v>64192.72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293621.28999999998</v>
      </c>
      <c r="E31" s="277">
        <v>76037.210000000006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4561299.8599999994</v>
      </c>
      <c r="E32" s="276">
        <v>2469603.4500000002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4206943.58</v>
      </c>
      <c r="E33" s="277">
        <v>2026667.41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22265.84</v>
      </c>
      <c r="E35" s="277">
        <v>34400.21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260763.64</v>
      </c>
      <c r="E37" s="277">
        <v>196254.69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71326.8</v>
      </c>
      <c r="E39" s="278">
        <v>212281.14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828191.09</v>
      </c>
      <c r="E40" s="279">
        <v>-1112810.46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12172927.93</v>
      </c>
      <c r="E41" s="151">
        <f>E26+E27+E40</f>
        <v>8730743.9499999993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162"/>
      <c r="H45" s="162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105911.50809999999</v>
      </c>
      <c r="E47" s="152">
        <v>77687.969400000002</v>
      </c>
      <c r="G47" s="73"/>
    </row>
    <row r="48" spans="2:10">
      <c r="B48" s="126" t="s">
        <v>6</v>
      </c>
      <c r="C48" s="21" t="s">
        <v>41</v>
      </c>
      <c r="D48" s="371">
        <v>77687.969400000002</v>
      </c>
      <c r="E48" s="320">
        <v>62689.336900000002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147.41</v>
      </c>
      <c r="E50" s="152">
        <v>156.69</v>
      </c>
      <c r="G50" s="183"/>
    </row>
    <row r="51" spans="2:7">
      <c r="B51" s="105" t="s">
        <v>6</v>
      </c>
      <c r="C51" s="14" t="s">
        <v>114</v>
      </c>
      <c r="D51" s="371">
        <v>146.54</v>
      </c>
      <c r="E51" s="77">
        <v>139.27000000000001</v>
      </c>
      <c r="G51" s="183"/>
    </row>
    <row r="52" spans="2:7">
      <c r="B52" s="105" t="s">
        <v>8</v>
      </c>
      <c r="C52" s="14" t="s">
        <v>115</v>
      </c>
      <c r="D52" s="371">
        <v>157.69</v>
      </c>
      <c r="E52" s="77">
        <v>157.69</v>
      </c>
    </row>
    <row r="53" spans="2:7" ht="12.75" customHeight="1" thickBot="1">
      <c r="B53" s="106" t="s">
        <v>9</v>
      </c>
      <c r="C53" s="16" t="s">
        <v>41</v>
      </c>
      <c r="D53" s="369">
        <v>156.69</v>
      </c>
      <c r="E53" s="321">
        <v>139.27000000000001</v>
      </c>
      <c r="G53" s="155"/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8730743.9499999993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8730743.9499999993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5" ht="13">
      <c r="B74" s="133" t="s">
        <v>64</v>
      </c>
      <c r="C74" s="124" t="s">
        <v>66</v>
      </c>
      <c r="D74" s="125">
        <f>D58-D73</f>
        <v>8730743.9499999993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8730743.9499999993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5000000000000004" right="0.75" top="0.6" bottom="0.33" header="0.5" footer="0.5"/>
  <pageSetup paperSize="9" scale="70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453125" customWidth="1"/>
    <col min="9" max="9" width="13.26953125" customWidth="1"/>
    <col min="10" max="10" width="13.54296875" customWidth="1"/>
    <col min="11" max="11" width="9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90"/>
      <c r="C4" s="90"/>
      <c r="D4" s="150"/>
      <c r="E4" s="150"/>
      <c r="L4" s="183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154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111468.7</v>
      </c>
      <c r="E11" s="245">
        <f>SUM(E12:E14)</f>
        <v>120583.13</v>
      </c>
    </row>
    <row r="12" spans="2:12">
      <c r="B12" s="109" t="s">
        <v>4</v>
      </c>
      <c r="C12" s="5" t="s">
        <v>5</v>
      </c>
      <c r="D12" s="300">
        <v>111468.7</v>
      </c>
      <c r="E12" s="250">
        <v>120583.13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111468.7</v>
      </c>
      <c r="E21" s="151">
        <f>E11-E17</f>
        <v>120583.13</v>
      </c>
      <c r="F21" s="79"/>
      <c r="G21" s="79"/>
      <c r="H21" s="172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92509.25</v>
      </c>
      <c r="E26" s="239">
        <f>D21</f>
        <v>111468.7</v>
      </c>
      <c r="G26" s="76"/>
    </row>
    <row r="27" spans="2:11" ht="13">
      <c r="B27" s="8" t="s">
        <v>17</v>
      </c>
      <c r="C27" s="9" t="s">
        <v>111</v>
      </c>
      <c r="D27" s="360">
        <v>-2104.5599999999995</v>
      </c>
      <c r="E27" s="275">
        <v>-15082.88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1042.8</v>
      </c>
      <c r="E28" s="276">
        <v>1026.6100000000001</v>
      </c>
      <c r="F28" s="73"/>
      <c r="G28" s="73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1042.8</v>
      </c>
      <c r="E29" s="277">
        <v>1026.6100000000001</v>
      </c>
      <c r="F29" s="73"/>
      <c r="G29" s="73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3147.3599999999997</v>
      </c>
      <c r="E32" s="276">
        <v>16109.49</v>
      </c>
      <c r="F32" s="73"/>
      <c r="G32" s="7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1908.06</v>
      </c>
      <c r="E33" s="277">
        <v>14717.48</v>
      </c>
      <c r="F33" s="73"/>
      <c r="G33" s="73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192.58</v>
      </c>
      <c r="E35" s="277">
        <v>87.22</v>
      </c>
      <c r="F35" s="73"/>
      <c r="G35" s="73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1046.72</v>
      </c>
      <c r="E37" s="277">
        <v>1304.79</v>
      </c>
      <c r="F37" s="73"/>
      <c r="G37" s="73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08" t="s">
        <v>33</v>
      </c>
      <c r="C39" s="11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21064.01</v>
      </c>
      <c r="E40" s="279">
        <v>24197.31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111468.7</v>
      </c>
      <c r="E41" s="151">
        <f>E26+E27+E40</f>
        <v>120583.12999999999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162"/>
      <c r="H46" s="162"/>
    </row>
    <row r="47" spans="2:10">
      <c r="B47" s="105" t="s">
        <v>4</v>
      </c>
      <c r="C47" s="14" t="s">
        <v>40</v>
      </c>
      <c r="D47" s="371">
        <v>1031.3183000000001</v>
      </c>
      <c r="E47" s="152">
        <v>1010.9623</v>
      </c>
      <c r="G47" s="73"/>
    </row>
    <row r="48" spans="2:10">
      <c r="B48" s="126" t="s">
        <v>6</v>
      </c>
      <c r="C48" s="21" t="s">
        <v>41</v>
      </c>
      <c r="D48" s="371">
        <v>1010.9623</v>
      </c>
      <c r="E48" s="320">
        <v>897.7971</v>
      </c>
      <c r="G48" s="162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89.7</v>
      </c>
      <c r="E50" s="152">
        <v>110.26</v>
      </c>
      <c r="G50" s="183"/>
    </row>
    <row r="51" spans="2:7">
      <c r="B51" s="105" t="s">
        <v>6</v>
      </c>
      <c r="C51" s="14" t="s">
        <v>114</v>
      </c>
      <c r="D51" s="371">
        <v>61.46</v>
      </c>
      <c r="E51" s="152">
        <v>110.26</v>
      </c>
      <c r="G51" s="183"/>
    </row>
    <row r="52" spans="2:7">
      <c r="B52" s="105" t="s">
        <v>8</v>
      </c>
      <c r="C52" s="14" t="s">
        <v>115</v>
      </c>
      <c r="D52" s="371">
        <v>110.94</v>
      </c>
      <c r="E52" s="77">
        <v>143.11000000000001</v>
      </c>
    </row>
    <row r="53" spans="2:7" ht="13.5" customHeight="1" thickBot="1">
      <c r="B53" s="106" t="s">
        <v>9</v>
      </c>
      <c r="C53" s="16" t="s">
        <v>41</v>
      </c>
      <c r="D53" s="369">
        <v>110.26</v>
      </c>
      <c r="E53" s="321">
        <v>134.31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120583.13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120583.13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120583.13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120583.13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76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3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155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63971.34</v>
      </c>
      <c r="E11" s="245">
        <f>SUM(E12:E14)</f>
        <v>73225.41</v>
      </c>
    </row>
    <row r="12" spans="2:12">
      <c r="B12" s="109" t="s">
        <v>4</v>
      </c>
      <c r="C12" s="5" t="s">
        <v>5</v>
      </c>
      <c r="D12" s="300">
        <v>63971.34</v>
      </c>
      <c r="E12" s="250">
        <v>73225.41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63971.34</v>
      </c>
      <c r="E21" s="151">
        <f>E11-E17</f>
        <v>73225.41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54663.37</v>
      </c>
      <c r="E26" s="239">
        <f>D21</f>
        <v>63971.34</v>
      </c>
      <c r="G26" s="76"/>
    </row>
    <row r="27" spans="2:11" ht="13">
      <c r="B27" s="8" t="s">
        <v>17</v>
      </c>
      <c r="C27" s="9" t="s">
        <v>111</v>
      </c>
      <c r="D27" s="360">
        <v>-1022.53</v>
      </c>
      <c r="E27" s="275">
        <v>-557.04999999999995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>
        <v>727.97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>
        <v>727.97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1022.53</v>
      </c>
      <c r="E32" s="276">
        <v>1285.02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/>
      <c r="E33" s="277"/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95.66</v>
      </c>
      <c r="E35" s="277">
        <v>102.42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926.87</v>
      </c>
      <c r="E37" s="277">
        <v>1182.6000000000001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/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10330.5</v>
      </c>
      <c r="E40" s="279">
        <v>9811.1200000000008</v>
      </c>
      <c r="G40" s="76"/>
    </row>
    <row r="41" spans="2:10" ht="13.5" thickBot="1">
      <c r="B41" s="102" t="s">
        <v>37</v>
      </c>
      <c r="C41" s="103" t="s">
        <v>38</v>
      </c>
      <c r="D41" s="364">
        <v>63971.340000000004</v>
      </c>
      <c r="E41" s="151">
        <f>E26+E27+E40</f>
        <v>73225.409999999989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416.29250000000002</v>
      </c>
      <c r="E47" s="152">
        <v>408.52760000000001</v>
      </c>
      <c r="G47" s="73"/>
    </row>
    <row r="48" spans="2:10">
      <c r="B48" s="126" t="s">
        <v>6</v>
      </c>
      <c r="C48" s="21" t="s">
        <v>41</v>
      </c>
      <c r="D48" s="371">
        <v>408.52760000000001</v>
      </c>
      <c r="E48" s="320">
        <v>405.18709999999999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131.31</v>
      </c>
      <c r="E50" s="152">
        <v>156.59</v>
      </c>
      <c r="G50" s="183"/>
    </row>
    <row r="51" spans="2:7">
      <c r="B51" s="105" t="s">
        <v>6</v>
      </c>
      <c r="C51" s="14" t="s">
        <v>114</v>
      </c>
      <c r="D51" s="371">
        <v>92.54</v>
      </c>
      <c r="E51" s="77">
        <v>156.59</v>
      </c>
      <c r="G51" s="183"/>
    </row>
    <row r="52" spans="2:7">
      <c r="B52" s="105" t="s">
        <v>8</v>
      </c>
      <c r="C52" s="14" t="s">
        <v>115</v>
      </c>
      <c r="D52" s="371">
        <v>156.62</v>
      </c>
      <c r="E52" s="77">
        <v>185.3</v>
      </c>
    </row>
    <row r="53" spans="2:7" ht="12.75" customHeight="1" thickBot="1">
      <c r="B53" s="106" t="s">
        <v>9</v>
      </c>
      <c r="C53" s="16" t="s">
        <v>41</v>
      </c>
      <c r="D53" s="369">
        <v>156.59</v>
      </c>
      <c r="E53" s="321">
        <v>180.72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73225.41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73225.41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73225.41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73225.41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9" right="0.75" top="0.61" bottom="0.52" header="0.5" footer="0.5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N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5" customWidth="1"/>
    <col min="11" max="11" width="15.54296875" customWidth="1"/>
    <col min="12" max="12" width="12.453125" bestFit="1" customWidth="1"/>
    <col min="14" max="14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139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89"/>
      <c r="C10" s="78" t="s">
        <v>2</v>
      </c>
      <c r="D10" s="269" t="s">
        <v>246</v>
      </c>
      <c r="E10" s="268" t="s">
        <v>262</v>
      </c>
      <c r="G10" s="73"/>
    </row>
    <row r="11" spans="2:12" ht="13">
      <c r="B11" s="93" t="s">
        <v>3</v>
      </c>
      <c r="C11" s="131" t="s">
        <v>109</v>
      </c>
      <c r="D11" s="299">
        <v>72693530.450000018</v>
      </c>
      <c r="E11" s="245">
        <f>SUM(E12:E14)</f>
        <v>79814185.329999998</v>
      </c>
      <c r="H11" s="73"/>
    </row>
    <row r="12" spans="2:12">
      <c r="B12" s="109" t="s">
        <v>4</v>
      </c>
      <c r="C12" s="5" t="s">
        <v>5</v>
      </c>
      <c r="D12" s="300">
        <v>72022603.890000015</v>
      </c>
      <c r="E12" s="250">
        <f>81089711.33+341387.01-1661377.18</f>
        <v>79769721.159999996</v>
      </c>
      <c r="G12" s="73"/>
      <c r="H12" s="73"/>
    </row>
    <row r="13" spans="2:12">
      <c r="B13" s="109" t="s">
        <v>6</v>
      </c>
      <c r="C13" s="68" t="s">
        <v>7</v>
      </c>
      <c r="D13" s="301"/>
      <c r="E13" s="251">
        <v>11.24</v>
      </c>
      <c r="H13" s="73"/>
    </row>
    <row r="14" spans="2:12">
      <c r="B14" s="109" t="s">
        <v>8</v>
      </c>
      <c r="C14" s="68" t="s">
        <v>10</v>
      </c>
      <c r="D14" s="301">
        <v>670926.56000000006</v>
      </c>
      <c r="E14" s="251">
        <f>E15</f>
        <v>44452.93</v>
      </c>
      <c r="H14" s="73"/>
    </row>
    <row r="15" spans="2:12">
      <c r="B15" s="109" t="s">
        <v>106</v>
      </c>
      <c r="C15" s="68" t="s">
        <v>11</v>
      </c>
      <c r="D15" s="301">
        <v>670926.56000000006</v>
      </c>
      <c r="E15" s="251">
        <v>44452.93</v>
      </c>
      <c r="H15" s="73"/>
    </row>
    <row r="16" spans="2:12">
      <c r="B16" s="110" t="s">
        <v>107</v>
      </c>
      <c r="C16" s="94" t="s">
        <v>12</v>
      </c>
      <c r="D16" s="302"/>
      <c r="E16" s="252"/>
      <c r="H16" s="73"/>
    </row>
    <row r="17" spans="2:14" ht="13">
      <c r="B17" s="8" t="s">
        <v>13</v>
      </c>
      <c r="C17" s="10" t="s">
        <v>65</v>
      </c>
      <c r="D17" s="303">
        <v>93672.23</v>
      </c>
      <c r="E17" s="253">
        <f>E18</f>
        <v>103918.45</v>
      </c>
    </row>
    <row r="18" spans="2:14">
      <c r="B18" s="109" t="s">
        <v>4</v>
      </c>
      <c r="C18" s="5" t="s">
        <v>11</v>
      </c>
      <c r="D18" s="302">
        <v>93672.23</v>
      </c>
      <c r="E18" s="252">
        <v>103918.45</v>
      </c>
    </row>
    <row r="19" spans="2:14" ht="15" customHeight="1">
      <c r="B19" s="109" t="s">
        <v>6</v>
      </c>
      <c r="C19" s="68" t="s">
        <v>108</v>
      </c>
      <c r="D19" s="301"/>
      <c r="E19" s="251"/>
    </row>
    <row r="20" spans="2:14" ht="13.5" customHeight="1" thickBot="1">
      <c r="B20" s="111" t="s">
        <v>8</v>
      </c>
      <c r="C20" s="69" t="s">
        <v>14</v>
      </c>
      <c r="D20" s="304"/>
      <c r="E20" s="246"/>
      <c r="N20" s="73"/>
    </row>
    <row r="21" spans="2:14" ht="13.5" thickBot="1">
      <c r="B21" s="412" t="s">
        <v>110</v>
      </c>
      <c r="C21" s="413"/>
      <c r="D21" s="305">
        <v>72599858.220000014</v>
      </c>
      <c r="E21" s="151">
        <f>E11-E17</f>
        <v>79710266.879999995</v>
      </c>
      <c r="F21" s="79"/>
      <c r="G21" s="79"/>
      <c r="H21" s="171"/>
      <c r="J21" s="232"/>
      <c r="K21" s="171"/>
    </row>
    <row r="22" spans="2:14">
      <c r="B22" s="3"/>
      <c r="C22" s="6"/>
      <c r="D22" s="7"/>
      <c r="E22" s="7"/>
      <c r="G22" s="73"/>
    </row>
    <row r="23" spans="2:14" ht="13.5">
      <c r="B23" s="405" t="s">
        <v>104</v>
      </c>
      <c r="C23" s="417"/>
      <c r="D23" s="417"/>
      <c r="E23" s="417"/>
      <c r="G23" s="73"/>
    </row>
    <row r="24" spans="2:14" ht="15.75" customHeight="1" thickBot="1">
      <c r="B24" s="404" t="s">
        <v>105</v>
      </c>
      <c r="C24" s="418"/>
      <c r="D24" s="418"/>
      <c r="E24" s="418"/>
    </row>
    <row r="25" spans="2:14" ht="13.5" thickBot="1">
      <c r="B25" s="89"/>
      <c r="C25" s="4" t="s">
        <v>2</v>
      </c>
      <c r="D25" s="291" t="s">
        <v>246</v>
      </c>
      <c r="E25" s="258" t="s">
        <v>262</v>
      </c>
    </row>
    <row r="26" spans="2:14" ht="13">
      <c r="B26" s="98" t="s">
        <v>15</v>
      </c>
      <c r="C26" s="99" t="s">
        <v>16</v>
      </c>
      <c r="D26" s="359">
        <v>69838570.810000002</v>
      </c>
      <c r="E26" s="239">
        <f>D21</f>
        <v>72599858.220000014</v>
      </c>
      <c r="G26" s="76"/>
    </row>
    <row r="27" spans="2:14" ht="13">
      <c r="B27" s="8" t="s">
        <v>17</v>
      </c>
      <c r="C27" s="9" t="s">
        <v>111</v>
      </c>
      <c r="D27" s="360">
        <v>2857789.9800000004</v>
      </c>
      <c r="E27" s="374">
        <v>7024468.5899999999</v>
      </c>
      <c r="F27" s="73"/>
      <c r="G27" s="156"/>
      <c r="H27" s="255"/>
      <c r="I27" s="255"/>
      <c r="J27" s="219"/>
    </row>
    <row r="28" spans="2:14" ht="13">
      <c r="B28" s="8" t="s">
        <v>18</v>
      </c>
      <c r="C28" s="9" t="s">
        <v>19</v>
      </c>
      <c r="D28" s="360">
        <v>14295189.940000001</v>
      </c>
      <c r="E28" s="374">
        <v>23404364.140000001</v>
      </c>
      <c r="F28" s="73"/>
      <c r="G28" s="73"/>
      <c r="H28" s="255"/>
      <c r="I28" s="255"/>
      <c r="J28" s="219"/>
    </row>
    <row r="29" spans="2:14">
      <c r="B29" s="107" t="s">
        <v>4</v>
      </c>
      <c r="C29" s="5" t="s">
        <v>20</v>
      </c>
      <c r="D29" s="361">
        <v>11380547.030000001</v>
      </c>
      <c r="E29" s="375">
        <v>11928729.83</v>
      </c>
      <c r="F29" s="73"/>
      <c r="G29" s="73"/>
      <c r="H29" s="255"/>
      <c r="I29" s="255"/>
      <c r="J29" s="219"/>
    </row>
    <row r="30" spans="2:14">
      <c r="B30" s="107" t="s">
        <v>6</v>
      </c>
      <c r="C30" s="5" t="s">
        <v>21</v>
      </c>
      <c r="D30" s="361"/>
      <c r="E30" s="375">
        <v>0</v>
      </c>
      <c r="F30" s="73"/>
      <c r="G30" s="73"/>
      <c r="H30" s="255"/>
      <c r="I30" s="255"/>
      <c r="J30" s="219"/>
    </row>
    <row r="31" spans="2:14">
      <c r="B31" s="107" t="s">
        <v>8</v>
      </c>
      <c r="C31" s="5" t="s">
        <v>22</v>
      </c>
      <c r="D31" s="361">
        <v>2914642.91</v>
      </c>
      <c r="E31" s="375">
        <v>11475634.310000001</v>
      </c>
      <c r="F31" s="73"/>
      <c r="G31" s="73"/>
      <c r="H31" s="255"/>
      <c r="I31" s="255"/>
      <c r="J31" s="219"/>
    </row>
    <row r="32" spans="2:14" ht="13">
      <c r="B32" s="95" t="s">
        <v>23</v>
      </c>
      <c r="C32" s="10" t="s">
        <v>24</v>
      </c>
      <c r="D32" s="360">
        <v>11437399.960000001</v>
      </c>
      <c r="E32" s="374">
        <v>16379895.550000001</v>
      </c>
      <c r="F32" s="73"/>
      <c r="G32" s="156"/>
      <c r="H32" s="255"/>
      <c r="I32" s="255"/>
      <c r="J32" s="219"/>
    </row>
    <row r="33" spans="2:10">
      <c r="B33" s="107" t="s">
        <v>4</v>
      </c>
      <c r="C33" s="5" t="s">
        <v>25</v>
      </c>
      <c r="D33" s="361">
        <v>7583725.2300000004</v>
      </c>
      <c r="E33" s="375">
        <v>7459578.4400000004</v>
      </c>
      <c r="F33" s="73"/>
      <c r="G33" s="73"/>
      <c r="H33" s="255"/>
      <c r="I33" s="255"/>
      <c r="J33" s="219"/>
    </row>
    <row r="34" spans="2:10">
      <c r="B34" s="107" t="s">
        <v>6</v>
      </c>
      <c r="C34" s="5" t="s">
        <v>26</v>
      </c>
      <c r="D34" s="361"/>
      <c r="E34" s="375">
        <v>0</v>
      </c>
      <c r="F34" s="73"/>
      <c r="G34" s="73"/>
      <c r="H34" s="255"/>
      <c r="I34" s="255"/>
      <c r="J34" s="219"/>
    </row>
    <row r="35" spans="2:10">
      <c r="B35" s="107" t="s">
        <v>8</v>
      </c>
      <c r="C35" s="5" t="s">
        <v>27</v>
      </c>
      <c r="D35" s="361">
        <v>1187834.1800000002</v>
      </c>
      <c r="E35" s="375">
        <v>1111562.3</v>
      </c>
      <c r="F35" s="73"/>
      <c r="G35" s="73"/>
      <c r="H35" s="255"/>
      <c r="I35" s="255"/>
      <c r="J35" s="219"/>
    </row>
    <row r="36" spans="2:10">
      <c r="B36" s="107" t="s">
        <v>9</v>
      </c>
      <c r="C36" s="5" t="s">
        <v>28</v>
      </c>
      <c r="D36" s="361"/>
      <c r="E36" s="375">
        <v>0</v>
      </c>
      <c r="F36" s="73"/>
      <c r="G36" s="73"/>
      <c r="H36" s="255"/>
      <c r="I36" s="255"/>
      <c r="J36" s="219"/>
    </row>
    <row r="37" spans="2:10" ht="25">
      <c r="B37" s="107" t="s">
        <v>29</v>
      </c>
      <c r="C37" s="5" t="s">
        <v>30</v>
      </c>
      <c r="D37" s="361"/>
      <c r="E37" s="375">
        <v>0</v>
      </c>
      <c r="F37" s="73"/>
      <c r="G37" s="73"/>
      <c r="H37" s="255"/>
      <c r="I37" s="255"/>
      <c r="J37" s="219"/>
    </row>
    <row r="38" spans="2:10">
      <c r="B38" s="107" t="s">
        <v>31</v>
      </c>
      <c r="C38" s="5" t="s">
        <v>32</v>
      </c>
      <c r="D38" s="361"/>
      <c r="E38" s="375">
        <v>0</v>
      </c>
      <c r="F38" s="73"/>
      <c r="G38" s="73"/>
      <c r="H38" s="255"/>
      <c r="I38" s="255"/>
      <c r="J38" s="219"/>
    </row>
    <row r="39" spans="2:10">
      <c r="B39" s="108" t="s">
        <v>33</v>
      </c>
      <c r="C39" s="11" t="s">
        <v>34</v>
      </c>
      <c r="D39" s="362">
        <v>2665840.5499999998</v>
      </c>
      <c r="E39" s="375">
        <v>7808754.8099999996</v>
      </c>
      <c r="F39" s="73"/>
      <c r="G39" s="73"/>
      <c r="H39" s="255"/>
      <c r="I39" s="255"/>
      <c r="J39" s="219"/>
    </row>
    <row r="40" spans="2:10" ht="13.5" thickBot="1">
      <c r="B40" s="100" t="s">
        <v>35</v>
      </c>
      <c r="C40" s="101" t="s">
        <v>36</v>
      </c>
      <c r="D40" s="363">
        <v>-96502.57</v>
      </c>
      <c r="E40" s="279">
        <v>85940.07</v>
      </c>
      <c r="G40" s="76"/>
      <c r="H40" s="242"/>
      <c r="I40" s="156"/>
    </row>
    <row r="41" spans="2:10" ht="13.5" thickBot="1">
      <c r="B41" s="102" t="s">
        <v>37</v>
      </c>
      <c r="C41" s="103" t="s">
        <v>38</v>
      </c>
      <c r="D41" s="364">
        <v>72599858.220000014</v>
      </c>
      <c r="E41" s="151">
        <f>E26+E27+E40</f>
        <v>79710266.88000001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.7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1496773.2821000002</v>
      </c>
      <c r="E47" s="309">
        <v>1558649.7688</v>
      </c>
      <c r="G47" s="155"/>
    </row>
    <row r="48" spans="2:10">
      <c r="B48" s="126" t="s">
        <v>6</v>
      </c>
      <c r="C48" s="21" t="s">
        <v>41</v>
      </c>
      <c r="D48" s="371">
        <v>1558649.7688</v>
      </c>
      <c r="E48" s="366">
        <v>1709035.2053</v>
      </c>
      <c r="G48" s="265"/>
      <c r="H48" s="265"/>
      <c r="J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46.659399999999998</v>
      </c>
      <c r="E50" s="309">
        <v>46.578700000000005</v>
      </c>
      <c r="G50" s="220"/>
    </row>
    <row r="51" spans="2:7">
      <c r="B51" s="105" t="s">
        <v>6</v>
      </c>
      <c r="C51" s="14" t="s">
        <v>114</v>
      </c>
      <c r="D51" s="371">
        <v>45.153700000000001</v>
      </c>
      <c r="E51" s="309">
        <v>46.575299999999999</v>
      </c>
      <c r="G51" s="183"/>
    </row>
    <row r="52" spans="2:7">
      <c r="B52" s="105" t="s">
        <v>8</v>
      </c>
      <c r="C52" s="14" t="s">
        <v>115</v>
      </c>
      <c r="D52" s="371">
        <v>46.864600000000003</v>
      </c>
      <c r="E52" s="77">
        <v>46.979900000000001</v>
      </c>
    </row>
    <row r="53" spans="2:7" ht="13.5" customHeight="1" thickBot="1">
      <c r="B53" s="106" t="s">
        <v>9</v>
      </c>
      <c r="C53" s="16" t="s">
        <v>41</v>
      </c>
      <c r="D53" s="369">
        <v>46.578700000000005</v>
      </c>
      <c r="E53" s="376">
        <v>46.640500000000003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79769721.159999996</v>
      </c>
      <c r="E58" s="30">
        <f>D58/E21</f>
        <v>1.0007458798261146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5">
      <c r="B60" s="13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3" t="s">
        <v>8</v>
      </c>
      <c r="C61" s="14" t="s">
        <v>46</v>
      </c>
      <c r="D61" s="80">
        <v>0</v>
      </c>
      <c r="E61" s="81">
        <v>0</v>
      </c>
    </row>
    <row r="62" spans="2:7">
      <c r="B62" s="13" t="s">
        <v>9</v>
      </c>
      <c r="C62" s="14" t="s">
        <v>47</v>
      </c>
      <c r="D62" s="80">
        <v>0</v>
      </c>
      <c r="E62" s="81">
        <v>0</v>
      </c>
      <c r="G62" s="73"/>
    </row>
    <row r="63" spans="2:7">
      <c r="B63" s="13" t="s">
        <v>29</v>
      </c>
      <c r="C63" s="14" t="s">
        <v>48</v>
      </c>
      <c r="D63" s="80">
        <v>0</v>
      </c>
      <c r="E63" s="81">
        <v>0</v>
      </c>
      <c r="G63" s="73"/>
    </row>
    <row r="64" spans="2:7">
      <c r="B64" s="20" t="s">
        <v>31</v>
      </c>
      <c r="C64" s="21" t="s">
        <v>49</v>
      </c>
      <c r="D64" s="377">
        <f>81089711.33-1661377.18</f>
        <v>79428334.149999991</v>
      </c>
      <c r="E64" s="83">
        <f>D64/E21</f>
        <v>0.99646303116229129</v>
      </c>
    </row>
    <row r="65" spans="2:5">
      <c r="B65" s="20" t="s">
        <v>33</v>
      </c>
      <c r="C65" s="21" t="s">
        <v>118</v>
      </c>
      <c r="D65" s="82">
        <v>0</v>
      </c>
      <c r="E65" s="83">
        <v>0</v>
      </c>
    </row>
    <row r="66" spans="2:5">
      <c r="B66" s="20" t="s">
        <v>50</v>
      </c>
      <c r="C66" s="21" t="s">
        <v>51</v>
      </c>
      <c r="D66" s="82">
        <v>0</v>
      </c>
      <c r="E66" s="83">
        <v>0</v>
      </c>
    </row>
    <row r="67" spans="2:5">
      <c r="B67" s="13" t="s">
        <v>52</v>
      </c>
      <c r="C67" s="14" t="s">
        <v>53</v>
      </c>
      <c r="D67" s="80">
        <v>0</v>
      </c>
      <c r="E67" s="81">
        <v>0</v>
      </c>
    </row>
    <row r="68" spans="2:5">
      <c r="B68" s="13" t="s">
        <v>54</v>
      </c>
      <c r="C68" s="14" t="s">
        <v>55</v>
      </c>
      <c r="D68" s="80">
        <v>0</v>
      </c>
      <c r="E68" s="81">
        <v>0</v>
      </c>
    </row>
    <row r="69" spans="2:5">
      <c r="B69" s="13" t="s">
        <v>56</v>
      </c>
      <c r="C69" s="14" t="s">
        <v>57</v>
      </c>
      <c r="D69" s="370">
        <v>341387.01</v>
      </c>
      <c r="E69" s="81">
        <f>D69/E21</f>
        <v>4.2828486638232174E-3</v>
      </c>
    </row>
    <row r="70" spans="2:5">
      <c r="B70" s="115" t="s">
        <v>58</v>
      </c>
      <c r="C70" s="116" t="s">
        <v>59</v>
      </c>
      <c r="D70" s="117">
        <v>0</v>
      </c>
      <c r="E70" s="118">
        <v>0</v>
      </c>
    </row>
    <row r="71" spans="2:5" ht="13">
      <c r="B71" s="123" t="s">
        <v>23</v>
      </c>
      <c r="C71" s="124" t="s">
        <v>61</v>
      </c>
      <c r="D71" s="125">
        <f>E13</f>
        <v>11.24</v>
      </c>
      <c r="E71" s="66">
        <v>0</v>
      </c>
    </row>
    <row r="72" spans="2:5" ht="13">
      <c r="B72" s="119" t="s">
        <v>60</v>
      </c>
      <c r="C72" s="120" t="s">
        <v>63</v>
      </c>
      <c r="D72" s="121">
        <f>E14</f>
        <v>44452.93</v>
      </c>
      <c r="E72" s="122">
        <f>D72/E21</f>
        <v>5.5768135950318382E-4</v>
      </c>
    </row>
    <row r="73" spans="2:5" ht="13">
      <c r="B73" s="22" t="s">
        <v>62</v>
      </c>
      <c r="C73" s="23" t="s">
        <v>65</v>
      </c>
      <c r="D73" s="24">
        <f>E17</f>
        <v>103918.45</v>
      </c>
      <c r="E73" s="25">
        <f>D73/E21</f>
        <v>1.303702196311101E-3</v>
      </c>
    </row>
    <row r="74" spans="2:5" ht="13">
      <c r="B74" s="123" t="s">
        <v>64</v>
      </c>
      <c r="C74" s="124" t="s">
        <v>66</v>
      </c>
      <c r="D74" s="125">
        <f>D58++D71+D72-D73</f>
        <v>79710266.879999995</v>
      </c>
      <c r="E74" s="66">
        <f>E58+E72-E73</f>
        <v>0.99999985898930666</v>
      </c>
    </row>
    <row r="75" spans="2:5">
      <c r="B75" s="13" t="s">
        <v>4</v>
      </c>
      <c r="C75" s="14" t="s">
        <v>67</v>
      </c>
      <c r="D75" s="80">
        <f>D74</f>
        <v>79710266.879999995</v>
      </c>
      <c r="E75" s="81">
        <f>E74</f>
        <v>0.99999985898930666</v>
      </c>
    </row>
    <row r="76" spans="2:5">
      <c r="B76" s="13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5000000000000004" right="0.75" top="0.51" bottom="0.33" header="0.5" footer="0.5"/>
  <pageSetup paperSize="9" scale="7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2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247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112691.93</v>
      </c>
      <c r="E11" s="245">
        <f>SUM(E12:E14)</f>
        <v>93951.88</v>
      </c>
    </row>
    <row r="12" spans="2:12">
      <c r="B12" s="109" t="s">
        <v>4</v>
      </c>
      <c r="C12" s="5" t="s">
        <v>5</v>
      </c>
      <c r="D12" s="300">
        <v>112691.93</v>
      </c>
      <c r="E12" s="250">
        <v>93951.88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112691.93</v>
      </c>
      <c r="E21" s="151">
        <f>E11-E17</f>
        <v>93951.88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91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131110.59</v>
      </c>
      <c r="E26" s="239">
        <f>D21</f>
        <v>112691.93</v>
      </c>
      <c r="G26" s="76"/>
    </row>
    <row r="27" spans="2:11" ht="13">
      <c r="B27" s="8" t="s">
        <v>17</v>
      </c>
      <c r="C27" s="9" t="s">
        <v>111</v>
      </c>
      <c r="D27" s="360">
        <v>-1724.59</v>
      </c>
      <c r="E27" s="275">
        <v>-1737.27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/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1724.59</v>
      </c>
      <c r="E32" s="276">
        <v>1737.27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/>
      <c r="E33" s="277"/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/>
      <c r="E35" s="277"/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1724.59</v>
      </c>
      <c r="E37" s="277">
        <v>1737.27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/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-16694.07</v>
      </c>
      <c r="E40" s="279">
        <v>-17002.78</v>
      </c>
      <c r="G40" s="256"/>
    </row>
    <row r="41" spans="2:10" ht="13.5" thickBot="1">
      <c r="B41" s="102" t="s">
        <v>37</v>
      </c>
      <c r="C41" s="103" t="s">
        <v>38</v>
      </c>
      <c r="D41" s="364">
        <v>112691.93</v>
      </c>
      <c r="E41" s="151">
        <f>E26+E27+E40</f>
        <v>93951.87999999999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91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1378.2255</v>
      </c>
      <c r="E47" s="309">
        <v>1358.0613000000001</v>
      </c>
      <c r="G47" s="73"/>
    </row>
    <row r="48" spans="2:10">
      <c r="B48" s="126" t="s">
        <v>6</v>
      </c>
      <c r="C48" s="21" t="s">
        <v>41</v>
      </c>
      <c r="D48" s="371">
        <v>1358.0613000000001</v>
      </c>
      <c r="E48" s="333">
        <v>1334.7334000000001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95.13</v>
      </c>
      <c r="E50" s="77">
        <v>82.98</v>
      </c>
      <c r="G50" s="183"/>
    </row>
    <row r="51" spans="2:7">
      <c r="B51" s="105" t="s">
        <v>6</v>
      </c>
      <c r="C51" s="14" t="s">
        <v>114</v>
      </c>
      <c r="D51" s="371">
        <v>67.849999999999994</v>
      </c>
      <c r="E51" s="77">
        <v>64.069999999999993</v>
      </c>
      <c r="G51" s="183"/>
    </row>
    <row r="52" spans="2:7">
      <c r="B52" s="105" t="s">
        <v>8</v>
      </c>
      <c r="C52" s="14" t="s">
        <v>115</v>
      </c>
      <c r="D52" s="371">
        <v>95.54</v>
      </c>
      <c r="E52" s="77">
        <v>88.03</v>
      </c>
    </row>
    <row r="53" spans="2:7" ht="12.75" customHeight="1" thickBot="1">
      <c r="B53" s="106" t="s">
        <v>9</v>
      </c>
      <c r="C53" s="16" t="s">
        <v>41</v>
      </c>
      <c r="D53" s="369">
        <v>82.98</v>
      </c>
      <c r="E53" s="321">
        <v>70.39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93951.88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93951.88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93951.88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93951.88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3"/>
  <dimension ref="A1:L81"/>
  <sheetViews>
    <sheetView zoomScale="80" zoomScaleNormal="80" workbookViewId="0">
      <selection activeCell="K1" sqref="K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248</v>
      </c>
      <c r="C6" s="403"/>
      <c r="D6" s="403"/>
      <c r="E6" s="403"/>
    </row>
    <row r="7" spans="2:12" ht="14">
      <c r="B7" s="153"/>
      <c r="C7" s="153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54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44542.09</v>
      </c>
      <c r="E11" s="245">
        <f>SUM(E12:E14)</f>
        <v>43875.85</v>
      </c>
    </row>
    <row r="12" spans="2:12">
      <c r="B12" s="109" t="s">
        <v>4</v>
      </c>
      <c r="C12" s="5" t="s">
        <v>5</v>
      </c>
      <c r="D12" s="300">
        <v>44542.09</v>
      </c>
      <c r="E12" s="250">
        <v>43875.85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44542.09</v>
      </c>
      <c r="E21" s="151">
        <f>E11-E17</f>
        <v>43875.85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54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38484.19</v>
      </c>
      <c r="E26" s="239">
        <f>D21</f>
        <v>44542.09</v>
      </c>
      <c r="G26" s="76"/>
    </row>
    <row r="27" spans="2:11" ht="13">
      <c r="B27" s="8" t="s">
        <v>17</v>
      </c>
      <c r="C27" s="9" t="s">
        <v>111</v>
      </c>
      <c r="D27" s="360">
        <v>-816.56</v>
      </c>
      <c r="E27" s="275">
        <v>-287.99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>
        <v>431.64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>
        <v>431.64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816.56</v>
      </c>
      <c r="E32" s="276">
        <v>719.63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/>
      <c r="E33" s="277"/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75.430000000000007</v>
      </c>
      <c r="E35" s="277">
        <v>57.46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741.13</v>
      </c>
      <c r="E37" s="277">
        <v>662.17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/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6874.46</v>
      </c>
      <c r="E40" s="279">
        <v>-378.25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44542.090000000004</v>
      </c>
      <c r="E41" s="151">
        <f>E26+E27+E40</f>
        <v>43875.85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54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392.53559999999999</v>
      </c>
      <c r="E47" s="309">
        <v>384.01659999999998</v>
      </c>
      <c r="G47" s="73"/>
    </row>
    <row r="48" spans="2:10">
      <c r="B48" s="126" t="s">
        <v>6</v>
      </c>
      <c r="C48" s="21" t="s">
        <v>41</v>
      </c>
      <c r="D48" s="371">
        <v>384.01659999999998</v>
      </c>
      <c r="E48" s="333">
        <v>381.52910000000003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98.04</v>
      </c>
      <c r="E50" s="77">
        <v>115.99</v>
      </c>
      <c r="G50" s="183"/>
    </row>
    <row r="51" spans="2:7">
      <c r="B51" s="105" t="s">
        <v>6</v>
      </c>
      <c r="C51" s="14" t="s">
        <v>114</v>
      </c>
      <c r="D51" s="371">
        <v>67.760000000000005</v>
      </c>
      <c r="E51" s="77">
        <v>104.66</v>
      </c>
      <c r="G51" s="183"/>
    </row>
    <row r="52" spans="2:7">
      <c r="B52" s="105" t="s">
        <v>8</v>
      </c>
      <c r="C52" s="14" t="s">
        <v>115</v>
      </c>
      <c r="D52" s="371">
        <v>115.99</v>
      </c>
      <c r="E52" s="77">
        <v>134.96</v>
      </c>
    </row>
    <row r="53" spans="2:7" ht="13" thickBot="1">
      <c r="B53" s="106" t="s">
        <v>9</v>
      </c>
      <c r="C53" s="16" t="s">
        <v>41</v>
      </c>
      <c r="D53" s="369">
        <v>115.99</v>
      </c>
      <c r="E53" s="321">
        <v>115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43875.85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43875.85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43875.85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43875.85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54296875" customWidth="1"/>
    <col min="9" max="9" width="13.26953125" customWidth="1"/>
    <col min="10" max="10" width="13.54296875" customWidth="1"/>
    <col min="11" max="11" width="13.81640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J2" s="73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156</v>
      </c>
      <c r="C6" s="403"/>
      <c r="D6" s="403"/>
      <c r="E6" s="403"/>
      <c r="J6" s="73"/>
    </row>
    <row r="7" spans="2:12" ht="14">
      <c r="B7" s="153"/>
      <c r="C7" s="153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54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472794.69</v>
      </c>
      <c r="E11" s="245">
        <f>SUM(E12:E14)</f>
        <v>683030.95</v>
      </c>
      <c r="F11" s="183"/>
    </row>
    <row r="12" spans="2:12">
      <c r="B12" s="184" t="s">
        <v>4</v>
      </c>
      <c r="C12" s="185" t="s">
        <v>5</v>
      </c>
      <c r="D12" s="300">
        <v>472794.69</v>
      </c>
      <c r="E12" s="250">
        <v>683030.95</v>
      </c>
      <c r="F12" s="183"/>
    </row>
    <row r="13" spans="2:12">
      <c r="B13" s="184" t="s">
        <v>6</v>
      </c>
      <c r="C13" s="186" t="s">
        <v>7</v>
      </c>
      <c r="D13" s="301"/>
      <c r="E13" s="251"/>
      <c r="F13" s="183"/>
    </row>
    <row r="14" spans="2:12">
      <c r="B14" s="184" t="s">
        <v>8</v>
      </c>
      <c r="C14" s="186" t="s">
        <v>10</v>
      </c>
      <c r="D14" s="301"/>
      <c r="E14" s="251"/>
      <c r="F14" s="183"/>
      <c r="G14" s="67"/>
    </row>
    <row r="15" spans="2:12">
      <c r="B15" s="184" t="s">
        <v>106</v>
      </c>
      <c r="C15" s="186" t="s">
        <v>11</v>
      </c>
      <c r="D15" s="301"/>
      <c r="E15" s="251"/>
      <c r="F15" s="183"/>
    </row>
    <row r="16" spans="2:12">
      <c r="B16" s="187" t="s">
        <v>107</v>
      </c>
      <c r="C16" s="188" t="s">
        <v>12</v>
      </c>
      <c r="D16" s="302"/>
      <c r="E16" s="252"/>
      <c r="F16" s="183"/>
    </row>
    <row r="17" spans="2:11" ht="13">
      <c r="B17" s="8" t="s">
        <v>13</v>
      </c>
      <c r="C17" s="10" t="s">
        <v>65</v>
      </c>
      <c r="D17" s="303"/>
      <c r="E17" s="253"/>
      <c r="F17" s="183"/>
    </row>
    <row r="18" spans="2:11">
      <c r="B18" s="184" t="s">
        <v>4</v>
      </c>
      <c r="C18" s="185" t="s">
        <v>11</v>
      </c>
      <c r="D18" s="302"/>
      <c r="E18" s="252"/>
      <c r="F18" s="183"/>
    </row>
    <row r="19" spans="2:11" ht="15" customHeight="1">
      <c r="B19" s="184" t="s">
        <v>6</v>
      </c>
      <c r="C19" s="186" t="s">
        <v>108</v>
      </c>
      <c r="D19" s="301"/>
      <c r="E19" s="251"/>
      <c r="F19" s="183"/>
    </row>
    <row r="20" spans="2:11" ht="13" thickBot="1">
      <c r="B20" s="189" t="s">
        <v>8</v>
      </c>
      <c r="C20" s="190" t="s">
        <v>14</v>
      </c>
      <c r="D20" s="304"/>
      <c r="E20" s="246"/>
      <c r="F20" s="183"/>
    </row>
    <row r="21" spans="2:11" ht="13.5" thickBot="1">
      <c r="B21" s="412" t="s">
        <v>110</v>
      </c>
      <c r="C21" s="413"/>
      <c r="D21" s="305">
        <v>472794.69</v>
      </c>
      <c r="E21" s="151">
        <f>E11-E17</f>
        <v>683030.95</v>
      </c>
      <c r="F21" s="156"/>
      <c r="G21" s="79"/>
      <c r="H21" s="171"/>
      <c r="J21" s="232"/>
      <c r="K21" s="171"/>
    </row>
    <row r="22" spans="2:11">
      <c r="B22" s="3"/>
      <c r="C22" s="6"/>
      <c r="D22" s="7"/>
      <c r="E22" s="7"/>
      <c r="F22" s="183"/>
      <c r="G22" s="73"/>
    </row>
    <row r="23" spans="2:11" ht="13.5">
      <c r="B23" s="405" t="s">
        <v>104</v>
      </c>
      <c r="C23" s="414"/>
      <c r="D23" s="414"/>
      <c r="E23" s="414"/>
      <c r="F23" s="183"/>
      <c r="G23" s="73"/>
    </row>
    <row r="24" spans="2:11" ht="15.75" customHeight="1" thickBot="1">
      <c r="B24" s="404" t="s">
        <v>105</v>
      </c>
      <c r="C24" s="415"/>
      <c r="D24" s="415"/>
      <c r="E24" s="415"/>
      <c r="F24" s="183"/>
    </row>
    <row r="25" spans="2:11" ht="13.5" thickBot="1">
      <c r="B25" s="181"/>
      <c r="C25" s="191" t="s">
        <v>2</v>
      </c>
      <c r="D25" s="291" t="s">
        <v>246</v>
      </c>
      <c r="E25" s="258" t="s">
        <v>262</v>
      </c>
      <c r="F25" s="183"/>
    </row>
    <row r="26" spans="2:11" ht="13">
      <c r="B26" s="98" t="s">
        <v>15</v>
      </c>
      <c r="C26" s="99" t="s">
        <v>16</v>
      </c>
      <c r="D26" s="359">
        <v>380746.27</v>
      </c>
      <c r="E26" s="239">
        <f>D21</f>
        <v>472794.69</v>
      </c>
      <c r="F26" s="183"/>
      <c r="G26" s="156"/>
      <c r="H26" s="242"/>
    </row>
    <row r="27" spans="2:11" ht="13">
      <c r="B27" s="8" t="s">
        <v>17</v>
      </c>
      <c r="C27" s="9" t="s">
        <v>111</v>
      </c>
      <c r="D27" s="360">
        <v>112929.09000000003</v>
      </c>
      <c r="E27" s="275">
        <v>46248.46</v>
      </c>
      <c r="F27" s="156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359016.77</v>
      </c>
      <c r="E28" s="276">
        <v>223202.27</v>
      </c>
      <c r="F28" s="156"/>
      <c r="G28" s="255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151503.76999999999</v>
      </c>
      <c r="E29" s="277">
        <v>127952.36</v>
      </c>
      <c r="F29" s="156"/>
      <c r="G29" s="255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156"/>
      <c r="G30" s="255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207513</v>
      </c>
      <c r="E31" s="277">
        <v>95249.91</v>
      </c>
      <c r="F31" s="156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246087.67999999999</v>
      </c>
      <c r="E32" s="276">
        <v>176953.81</v>
      </c>
      <c r="F32" s="156"/>
      <c r="G32" s="25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72352.539999999994</v>
      </c>
      <c r="E33" s="277">
        <v>156251.06</v>
      </c>
      <c r="F33" s="156"/>
      <c r="G33" s="255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156"/>
      <c r="G34" s="255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12732.39</v>
      </c>
      <c r="E35" s="277">
        <v>12084.880000000001</v>
      </c>
      <c r="F35" s="156"/>
      <c r="G35" s="255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156"/>
      <c r="G36" s="255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2979.63</v>
      </c>
      <c r="E37" s="277">
        <v>4579.2</v>
      </c>
      <c r="F37" s="156"/>
      <c r="G37" s="255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156"/>
      <c r="G38" s="255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158023.12</v>
      </c>
      <c r="E39" s="278">
        <v>4038.67</v>
      </c>
      <c r="F39" s="156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-20880.669999999998</v>
      </c>
      <c r="E40" s="279">
        <v>163987.79999999999</v>
      </c>
      <c r="F40" s="183"/>
      <c r="G40" s="76"/>
      <c r="H40" s="242"/>
    </row>
    <row r="41" spans="2:10" ht="13.5" thickBot="1">
      <c r="B41" s="102" t="s">
        <v>37</v>
      </c>
      <c r="C41" s="103" t="s">
        <v>38</v>
      </c>
      <c r="D41" s="364">
        <v>472794.69000000006</v>
      </c>
      <c r="E41" s="151">
        <f>E26+E27+E40</f>
        <v>683030.95</v>
      </c>
      <c r="F41" s="156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54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162"/>
      <c r="H46" s="162"/>
    </row>
    <row r="47" spans="2:10">
      <c r="B47" s="105" t="s">
        <v>4</v>
      </c>
      <c r="C47" s="14" t="s">
        <v>40</v>
      </c>
      <c r="D47" s="371">
        <v>2915.3618999999999</v>
      </c>
      <c r="E47" s="309">
        <v>3559.1289999999999</v>
      </c>
      <c r="G47" s="73"/>
    </row>
    <row r="48" spans="2:10">
      <c r="B48" s="126" t="s">
        <v>6</v>
      </c>
      <c r="C48" s="21" t="s">
        <v>41</v>
      </c>
      <c r="D48" s="371">
        <v>3559.1289999999999</v>
      </c>
      <c r="E48" s="333">
        <v>4007.692</v>
      </c>
      <c r="G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130.6</v>
      </c>
      <c r="E50" s="77">
        <v>132.84</v>
      </c>
      <c r="G50" s="183"/>
    </row>
    <row r="51" spans="2:7">
      <c r="B51" s="105" t="s">
        <v>6</v>
      </c>
      <c r="C51" s="14" t="s">
        <v>114</v>
      </c>
      <c r="D51" s="371">
        <v>105.5</v>
      </c>
      <c r="E51" s="77">
        <v>132.72999999999999</v>
      </c>
      <c r="G51" s="183"/>
    </row>
    <row r="52" spans="2:7">
      <c r="B52" s="105" t="s">
        <v>8</v>
      </c>
      <c r="C52" s="14" t="s">
        <v>115</v>
      </c>
      <c r="D52" s="371">
        <v>138.91</v>
      </c>
      <c r="E52" s="77">
        <v>170.45</v>
      </c>
    </row>
    <row r="53" spans="2:7" ht="13" thickBot="1">
      <c r="B53" s="106" t="s">
        <v>9</v>
      </c>
      <c r="C53" s="16" t="s">
        <v>41</v>
      </c>
      <c r="D53" s="369">
        <v>132.84</v>
      </c>
      <c r="E53" s="321">
        <v>170.43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683030.95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683030.95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5" ht="13">
      <c r="B74" s="133" t="s">
        <v>64</v>
      </c>
      <c r="C74" s="124" t="s">
        <v>66</v>
      </c>
      <c r="D74" s="125">
        <f>D58-D73</f>
        <v>683030.95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683030.95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horizontalDpi="90" verticalDpi="9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5.81640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157</v>
      </c>
      <c r="C6" s="403"/>
      <c r="D6" s="403"/>
      <c r="E6" s="403"/>
    </row>
    <row r="7" spans="2:12" ht="14">
      <c r="B7" s="174"/>
      <c r="C7" s="174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75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220086.21</v>
      </c>
      <c r="E11" s="245">
        <f>SUM(E12:E14)</f>
        <v>280844.74</v>
      </c>
    </row>
    <row r="12" spans="2:12">
      <c r="B12" s="109" t="s">
        <v>4</v>
      </c>
      <c r="C12" s="5" t="s">
        <v>5</v>
      </c>
      <c r="D12" s="300">
        <v>220086.21</v>
      </c>
      <c r="E12" s="250">
        <v>280844.74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220086.21</v>
      </c>
      <c r="E21" s="151">
        <f>E11-E17</f>
        <v>280844.74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75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157183.93</v>
      </c>
      <c r="E26" s="239">
        <f>D21</f>
        <v>220086.21</v>
      </c>
      <c r="G26" s="156"/>
    </row>
    <row r="27" spans="2:11" ht="13">
      <c r="B27" s="8" t="s">
        <v>17</v>
      </c>
      <c r="C27" s="9" t="s">
        <v>111</v>
      </c>
      <c r="D27" s="360">
        <v>59346.330000000009</v>
      </c>
      <c r="E27" s="275">
        <v>49612.92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92240.48000000001</v>
      </c>
      <c r="E28" s="276">
        <v>75624.53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73906.080000000002</v>
      </c>
      <c r="E29" s="277">
        <v>67812.7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18334.400000000001</v>
      </c>
      <c r="E31" s="277">
        <v>7811.83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32894.15</v>
      </c>
      <c r="E32" s="276">
        <v>26011.61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9117.9599999999991</v>
      </c>
      <c r="E33" s="277">
        <v>9633.02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5245.77</v>
      </c>
      <c r="E35" s="277">
        <v>4839.7700000000004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1280.3599999999999</v>
      </c>
      <c r="E37" s="277">
        <v>1708.64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17250.060000000001</v>
      </c>
      <c r="E39" s="278">
        <v>9830.18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3555.95</v>
      </c>
      <c r="E40" s="279">
        <v>11145.61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220086.21000000002</v>
      </c>
      <c r="E41" s="151">
        <f>E26+E27+E40</f>
        <v>280844.74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7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1394.8346999999999</v>
      </c>
      <c r="E47" s="309">
        <v>1914.2925</v>
      </c>
      <c r="G47" s="73"/>
    </row>
    <row r="48" spans="2:10">
      <c r="B48" s="126" t="s">
        <v>6</v>
      </c>
      <c r="C48" s="21" t="s">
        <v>41</v>
      </c>
      <c r="D48" s="371">
        <v>1914.2925</v>
      </c>
      <c r="E48" s="333">
        <v>2337.6455999999998</v>
      </c>
      <c r="G48" s="162"/>
      <c r="H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112.69</v>
      </c>
      <c r="E50" s="77">
        <v>114.97</v>
      </c>
      <c r="G50" s="183"/>
    </row>
    <row r="51" spans="2:7">
      <c r="B51" s="105" t="s">
        <v>6</v>
      </c>
      <c r="C51" s="14" t="s">
        <v>114</v>
      </c>
      <c r="D51" s="371">
        <v>105.16</v>
      </c>
      <c r="E51" s="77">
        <v>114.48</v>
      </c>
      <c r="G51" s="183"/>
    </row>
    <row r="52" spans="2:7">
      <c r="B52" s="105" t="s">
        <v>8</v>
      </c>
      <c r="C52" s="14" t="s">
        <v>115</v>
      </c>
      <c r="D52" s="371">
        <v>116.52</v>
      </c>
      <c r="E52" s="77">
        <v>120.94</v>
      </c>
    </row>
    <row r="53" spans="2:7" ht="13" thickBot="1">
      <c r="B53" s="106" t="s">
        <v>9</v>
      </c>
      <c r="C53" s="16" t="s">
        <v>41</v>
      </c>
      <c r="D53" s="369">
        <v>114.97</v>
      </c>
      <c r="E53" s="321">
        <v>120.14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280844.74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280844.74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280844.74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280844.74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  <pageSetup paperSize="9" orientation="portrait" horizontalDpi="90" verticalDpi="9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2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158</v>
      </c>
      <c r="C6" s="403"/>
      <c r="D6" s="403"/>
      <c r="E6" s="403"/>
    </row>
    <row r="7" spans="2:12" ht="14">
      <c r="B7" s="174"/>
      <c r="C7" s="174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75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523121.02999999997</v>
      </c>
      <c r="E11" s="245">
        <f>SUM(E12:E14)</f>
        <v>594812.37</v>
      </c>
    </row>
    <row r="12" spans="2:12">
      <c r="B12" s="109" t="s">
        <v>4</v>
      </c>
      <c r="C12" s="5" t="s">
        <v>5</v>
      </c>
      <c r="D12" s="300">
        <v>523121.02999999997</v>
      </c>
      <c r="E12" s="250">
        <v>594812.37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523121.02999999997</v>
      </c>
      <c r="E21" s="151">
        <f>E11-E17</f>
        <v>594812.37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75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467420.08</v>
      </c>
      <c r="E26" s="239">
        <f>D21</f>
        <v>523121.02999999997</v>
      </c>
      <c r="G26" s="156"/>
    </row>
    <row r="27" spans="2:11" ht="13">
      <c r="B27" s="8" t="s">
        <v>17</v>
      </c>
      <c r="C27" s="9" t="s">
        <v>111</v>
      </c>
      <c r="D27" s="360">
        <v>49247.659999999996</v>
      </c>
      <c r="E27" s="275">
        <v>-23150.83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95240.47</v>
      </c>
      <c r="E28" s="276">
        <v>85334.59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93251.66</v>
      </c>
      <c r="E29" s="277">
        <v>85232.85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1988.81</v>
      </c>
      <c r="E31" s="277">
        <v>101.74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45992.810000000005</v>
      </c>
      <c r="E32" s="276">
        <v>108485.42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19158.710000000003</v>
      </c>
      <c r="E33" s="277">
        <v>97066.43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8283.0400000000009</v>
      </c>
      <c r="E35" s="277">
        <v>7508.59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3310.2</v>
      </c>
      <c r="E37" s="277">
        <v>3877.55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15240.86</v>
      </c>
      <c r="E39" s="278">
        <v>32.85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6453.29</v>
      </c>
      <c r="E40" s="279">
        <v>94842.17</v>
      </c>
      <c r="G40" s="76"/>
    </row>
    <row r="41" spans="2:10" ht="13.5" thickBot="1">
      <c r="B41" s="102" t="s">
        <v>37</v>
      </c>
      <c r="C41" s="103" t="s">
        <v>38</v>
      </c>
      <c r="D41" s="364">
        <v>523121.02999999997</v>
      </c>
      <c r="E41" s="151">
        <f>E26+E27+E40</f>
        <v>594812.37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7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3865.5316000000003</v>
      </c>
      <c r="E47" s="309">
        <v>4285.7695000000003</v>
      </c>
      <c r="G47" s="73"/>
      <c r="H47" s="162"/>
    </row>
    <row r="48" spans="2:10">
      <c r="B48" s="126" t="s">
        <v>6</v>
      </c>
      <c r="C48" s="21" t="s">
        <v>41</v>
      </c>
      <c r="D48" s="371">
        <v>4285.7695000000003</v>
      </c>
      <c r="E48" s="333">
        <v>4101.8714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120.92</v>
      </c>
      <c r="E50" s="310">
        <v>122.06</v>
      </c>
      <c r="G50" s="183"/>
    </row>
    <row r="51" spans="2:7">
      <c r="B51" s="105" t="s">
        <v>6</v>
      </c>
      <c r="C51" s="14" t="s">
        <v>114</v>
      </c>
      <c r="D51" s="371">
        <v>104.91</v>
      </c>
      <c r="E51" s="311">
        <v>122.06</v>
      </c>
      <c r="G51" s="183"/>
    </row>
    <row r="52" spans="2:7">
      <c r="B52" s="105" t="s">
        <v>8</v>
      </c>
      <c r="C52" s="14" t="s">
        <v>115</v>
      </c>
      <c r="D52" s="371">
        <v>127.19</v>
      </c>
      <c r="E52" s="311">
        <v>145.22</v>
      </c>
    </row>
    <row r="53" spans="2:7" ht="13" thickBot="1">
      <c r="B53" s="106" t="s">
        <v>9</v>
      </c>
      <c r="C53" s="16" t="s">
        <v>41</v>
      </c>
      <c r="D53" s="369">
        <v>122.06</v>
      </c>
      <c r="E53" s="321">
        <v>145.01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594812.37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594812.37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594812.37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594812.37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159</v>
      </c>
      <c r="C6" s="403"/>
      <c r="D6" s="403"/>
      <c r="E6" s="403"/>
    </row>
    <row r="7" spans="2:12" ht="14">
      <c r="B7" s="153"/>
      <c r="C7" s="153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54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20249.240000000002</v>
      </c>
      <c r="E11" s="245">
        <f>SUM(E12:E14)</f>
        <v>20809.060000000001</v>
      </c>
    </row>
    <row r="12" spans="2:12">
      <c r="B12" s="109" t="s">
        <v>4</v>
      </c>
      <c r="C12" s="5" t="s">
        <v>5</v>
      </c>
      <c r="D12" s="300">
        <v>20249.240000000002</v>
      </c>
      <c r="E12" s="250">
        <v>20809.060000000001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20249.240000000002</v>
      </c>
      <c r="E21" s="151">
        <f>E11-E17</f>
        <v>20809.060000000001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54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19504.82</v>
      </c>
      <c r="E26" s="239">
        <f>D21</f>
        <v>20249.240000000002</v>
      </c>
      <c r="G26" s="156"/>
    </row>
    <row r="27" spans="2:11" ht="13">
      <c r="B27" s="8" t="s">
        <v>17</v>
      </c>
      <c r="C27" s="9" t="s">
        <v>111</v>
      </c>
      <c r="D27" s="360">
        <v>-397.52</v>
      </c>
      <c r="E27" s="275">
        <v>-493.27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/>
      <c r="E29" s="277"/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/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397.52</v>
      </c>
      <c r="E32" s="276">
        <v>493.27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/>
      <c r="E33" s="277"/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391">
        <v>0</v>
      </c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115.8</v>
      </c>
      <c r="E35" s="277">
        <v>139.38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281.72000000000003</v>
      </c>
      <c r="E37" s="277">
        <v>353.89</v>
      </c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/>
      <c r="E39" s="278"/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1141.94</v>
      </c>
      <c r="E40" s="279">
        <v>1053.0899999999999</v>
      </c>
      <c r="G40" s="76"/>
    </row>
    <row r="41" spans="2:10" ht="13.5" thickBot="1">
      <c r="B41" s="102" t="s">
        <v>37</v>
      </c>
      <c r="C41" s="103" t="s">
        <v>38</v>
      </c>
      <c r="D41" s="364">
        <v>20249.239999999998</v>
      </c>
      <c r="E41" s="151">
        <f>E26+E27+E40</f>
        <v>20809.060000000001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54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168.39179999999999</v>
      </c>
      <c r="E47" s="309">
        <v>164.7217</v>
      </c>
      <c r="G47" s="73"/>
    </row>
    <row r="48" spans="2:10">
      <c r="B48" s="126" t="s">
        <v>6</v>
      </c>
      <c r="C48" s="21" t="s">
        <v>41</v>
      </c>
      <c r="D48" s="371">
        <v>164.7217</v>
      </c>
      <c r="E48" s="333">
        <v>160.8492</v>
      </c>
      <c r="G48" s="7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115.83</v>
      </c>
      <c r="E50" s="77">
        <v>122.93</v>
      </c>
      <c r="G50" s="183"/>
    </row>
    <row r="51" spans="2:7">
      <c r="B51" s="105" t="s">
        <v>6</v>
      </c>
      <c r="C51" s="14" t="s">
        <v>114</v>
      </c>
      <c r="D51" s="371">
        <v>99.08</v>
      </c>
      <c r="E51" s="77">
        <v>122.72</v>
      </c>
      <c r="G51" s="183"/>
    </row>
    <row r="52" spans="2:7">
      <c r="B52" s="105" t="s">
        <v>8</v>
      </c>
      <c r="C52" s="14" t="s">
        <v>115</v>
      </c>
      <c r="D52" s="371">
        <v>122.93</v>
      </c>
      <c r="E52" s="77">
        <v>130.62</v>
      </c>
    </row>
    <row r="53" spans="2:7" ht="13" thickBot="1">
      <c r="B53" s="106" t="s">
        <v>9</v>
      </c>
      <c r="C53" s="16" t="s">
        <v>41</v>
      </c>
      <c r="D53" s="369">
        <v>122.93</v>
      </c>
      <c r="E53" s="321">
        <v>129.37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20809.060000000001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20809.060000000001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20809.060000000001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20809.060000000001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horizontalDpi="90" verticalDpi="9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90"/>
      <c r="C4" s="9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160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91"/>
      <c r="C10" s="78" t="s">
        <v>2</v>
      </c>
      <c r="D10" s="70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38507.75</v>
      </c>
      <c r="E11" s="245">
        <f>SUM(E12:E14)</f>
        <v>37522.07</v>
      </c>
    </row>
    <row r="12" spans="2:12">
      <c r="B12" s="184" t="s">
        <v>4</v>
      </c>
      <c r="C12" s="185" t="s">
        <v>5</v>
      </c>
      <c r="D12" s="300">
        <v>38507.75</v>
      </c>
      <c r="E12" s="250">
        <v>37522.07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38507.75</v>
      </c>
      <c r="E21" s="151">
        <f>E11-E17</f>
        <v>37522.07</v>
      </c>
      <c r="F21" s="79"/>
      <c r="G21" s="79"/>
      <c r="H21" s="172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90036.59</v>
      </c>
      <c r="E26" s="239">
        <f>D21</f>
        <v>38507.75</v>
      </c>
      <c r="G26" s="76"/>
    </row>
    <row r="27" spans="2:11" ht="13">
      <c r="B27" s="8" t="s">
        <v>17</v>
      </c>
      <c r="C27" s="9" t="s">
        <v>111</v>
      </c>
      <c r="D27" s="360">
        <v>-52277.86</v>
      </c>
      <c r="E27" s="275">
        <v>-760.45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52277.86</v>
      </c>
      <c r="E32" s="276">
        <v>760.45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51297.48</v>
      </c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35.64</v>
      </c>
      <c r="E35" s="277">
        <v>31.8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944.74</v>
      </c>
      <c r="E37" s="277">
        <v>728.65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749.02</v>
      </c>
      <c r="E40" s="279">
        <v>-225.23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38507.749999999993</v>
      </c>
      <c r="E41" s="151">
        <f>E26+E27+E40</f>
        <v>37522.07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653.95550000000003</v>
      </c>
      <c r="E47" s="152">
        <v>274.80020000000002</v>
      </c>
      <c r="G47" s="73"/>
    </row>
    <row r="48" spans="2:10">
      <c r="B48" s="197" t="s">
        <v>6</v>
      </c>
      <c r="C48" s="198" t="s">
        <v>41</v>
      </c>
      <c r="D48" s="371">
        <v>274.80020000000002</v>
      </c>
      <c r="E48" s="322">
        <v>269.40030000000002</v>
      </c>
      <c r="G48" s="7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95" t="s">
        <v>4</v>
      </c>
      <c r="C50" s="196" t="s">
        <v>40</v>
      </c>
      <c r="D50" s="371">
        <v>137.68</v>
      </c>
      <c r="E50" s="323">
        <v>140.13</v>
      </c>
      <c r="G50" s="183"/>
    </row>
    <row r="51" spans="2:7">
      <c r="B51" s="195" t="s">
        <v>6</v>
      </c>
      <c r="C51" s="196" t="s">
        <v>114</v>
      </c>
      <c r="D51" s="371">
        <v>129.96</v>
      </c>
      <c r="E51" s="324">
        <v>139.06</v>
      </c>
      <c r="G51" s="183"/>
    </row>
    <row r="52" spans="2:7">
      <c r="B52" s="195" t="s">
        <v>8</v>
      </c>
      <c r="C52" s="196" t="s">
        <v>115</v>
      </c>
      <c r="D52" s="371">
        <v>140.13</v>
      </c>
      <c r="E52" s="324">
        <v>141.47</v>
      </c>
    </row>
    <row r="53" spans="2:7" ht="13.5" customHeight="1" thickBot="1">
      <c r="B53" s="199" t="s">
        <v>9</v>
      </c>
      <c r="C53" s="200" t="s">
        <v>41</v>
      </c>
      <c r="D53" s="369">
        <v>140.13</v>
      </c>
      <c r="E53" s="325">
        <v>139.28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37522.07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37522.07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37522.07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37522.07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3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37"/>
      <c r="C4" s="13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161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70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388374.22</v>
      </c>
      <c r="E11" s="245">
        <f>SUM(E12:E14)</f>
        <v>400109.44</v>
      </c>
    </row>
    <row r="12" spans="2:12">
      <c r="B12" s="184" t="s">
        <v>4</v>
      </c>
      <c r="C12" s="185" t="s">
        <v>5</v>
      </c>
      <c r="D12" s="300">
        <v>388374.22</v>
      </c>
      <c r="E12" s="250">
        <v>400109.44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388374.22</v>
      </c>
      <c r="E21" s="151">
        <f>E11-E17</f>
        <v>400109.44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480395.92</v>
      </c>
      <c r="E26" s="239">
        <f>D21</f>
        <v>388374.22</v>
      </c>
      <c r="G26" s="76"/>
    </row>
    <row r="27" spans="2:11" ht="13">
      <c r="B27" s="8" t="s">
        <v>17</v>
      </c>
      <c r="C27" s="9" t="s">
        <v>111</v>
      </c>
      <c r="D27" s="360">
        <v>-10058.67</v>
      </c>
      <c r="E27" s="275">
        <v>-33214.25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10058.67</v>
      </c>
      <c r="E32" s="276">
        <v>33214.25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4272.83</v>
      </c>
      <c r="E35" s="277">
        <v>3181.17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5785.84</v>
      </c>
      <c r="E37" s="277">
        <v>6597.1500000000005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>
        <v>23435.93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-81963.03</v>
      </c>
      <c r="E40" s="279">
        <v>44949.47</v>
      </c>
      <c r="G40" s="76"/>
    </row>
    <row r="41" spans="2:10" ht="13.5" thickBot="1">
      <c r="B41" s="102" t="s">
        <v>37</v>
      </c>
      <c r="C41" s="103" t="s">
        <v>38</v>
      </c>
      <c r="D41" s="364">
        <v>388374.22</v>
      </c>
      <c r="E41" s="151">
        <f>E26+E27+E40</f>
        <v>400109.43999999994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36338.572</v>
      </c>
      <c r="E47" s="152">
        <v>35371.057999999997</v>
      </c>
      <c r="G47" s="73"/>
    </row>
    <row r="48" spans="2:10">
      <c r="B48" s="197" t="s">
        <v>6</v>
      </c>
      <c r="C48" s="198" t="s">
        <v>41</v>
      </c>
      <c r="D48" s="371">
        <v>35371.057999999997</v>
      </c>
      <c r="E48" s="322">
        <v>32450.076000000001</v>
      </c>
      <c r="G48" s="7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95" t="s">
        <v>4</v>
      </c>
      <c r="C50" s="196" t="s">
        <v>40</v>
      </c>
      <c r="D50" s="371">
        <v>13.22</v>
      </c>
      <c r="E50" s="323">
        <v>10.98</v>
      </c>
      <c r="G50" s="183"/>
    </row>
    <row r="51" spans="2:7">
      <c r="B51" s="195" t="s">
        <v>6</v>
      </c>
      <c r="C51" s="196" t="s">
        <v>114</v>
      </c>
      <c r="D51" s="371">
        <v>8.1300000000000008</v>
      </c>
      <c r="E51" s="324">
        <v>10.76</v>
      </c>
      <c r="G51" s="183"/>
    </row>
    <row r="52" spans="2:7">
      <c r="B52" s="195" t="s">
        <v>8</v>
      </c>
      <c r="C52" s="196" t="s">
        <v>115</v>
      </c>
      <c r="D52" s="371">
        <v>13.56</v>
      </c>
      <c r="E52" s="324">
        <v>12.57</v>
      </c>
    </row>
    <row r="53" spans="2:7" ht="13.5" customHeight="1" thickBot="1">
      <c r="B53" s="199" t="s">
        <v>9</v>
      </c>
      <c r="C53" s="200" t="s">
        <v>41</v>
      </c>
      <c r="D53" s="369">
        <v>10.98</v>
      </c>
      <c r="E53" s="325">
        <v>12.33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400109.44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400109.44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400109.44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400109.44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4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37"/>
      <c r="C4" s="13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162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70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1283334.55</v>
      </c>
      <c r="E11" s="245">
        <f>SUM(E12:E14)</f>
        <v>780933.13</v>
      </c>
    </row>
    <row r="12" spans="2:12">
      <c r="B12" s="184" t="s">
        <v>4</v>
      </c>
      <c r="C12" s="185" t="s">
        <v>5</v>
      </c>
      <c r="D12" s="300">
        <v>1283334.55</v>
      </c>
      <c r="E12" s="250">
        <v>780933.13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1283334.55</v>
      </c>
      <c r="E21" s="151">
        <f>E11-E17</f>
        <v>780933.13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  <c r="H25" s="242"/>
    </row>
    <row r="26" spans="2:11" ht="13">
      <c r="B26" s="98" t="s">
        <v>15</v>
      </c>
      <c r="C26" s="99" t="s">
        <v>16</v>
      </c>
      <c r="D26" s="359">
        <v>1521760.02</v>
      </c>
      <c r="E26" s="239">
        <f>D21</f>
        <v>1283334.55</v>
      </c>
      <c r="G26" s="76"/>
      <c r="H26" s="242"/>
    </row>
    <row r="27" spans="2:11" ht="13">
      <c r="B27" s="8" t="s">
        <v>17</v>
      </c>
      <c r="C27" s="9" t="s">
        <v>111</v>
      </c>
      <c r="D27" s="360">
        <v>-186980.36</v>
      </c>
      <c r="E27" s="275">
        <v>-576569.34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22274.44</v>
      </c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22274.44</v>
      </c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209254.80000000002</v>
      </c>
      <c r="E32" s="276">
        <v>576569.34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170027.67</v>
      </c>
      <c r="E33" s="277">
        <v>550824.29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1982.72</v>
      </c>
      <c r="E35" s="277">
        <v>1288.83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20142</v>
      </c>
      <c r="E37" s="277">
        <v>19224.2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17102.41</v>
      </c>
      <c r="E39" s="278">
        <v>5232.0200000000004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-51445.11</v>
      </c>
      <c r="E40" s="279">
        <v>74167.92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1283334.55</v>
      </c>
      <c r="E41" s="151">
        <f>E26+E27+E40</f>
        <v>780933.13000000012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94872.819000000003</v>
      </c>
      <c r="E47" s="152">
        <v>82212.335000000006</v>
      </c>
      <c r="G47" s="73"/>
    </row>
    <row r="48" spans="2:10">
      <c r="B48" s="197" t="s">
        <v>6</v>
      </c>
      <c r="C48" s="198" t="s">
        <v>41</v>
      </c>
      <c r="D48" s="371">
        <v>82212.335000000006</v>
      </c>
      <c r="E48" s="322">
        <v>47763.493999999999</v>
      </c>
      <c r="G48" s="7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95" t="s">
        <v>4</v>
      </c>
      <c r="C50" s="196" t="s">
        <v>40</v>
      </c>
      <c r="D50" s="371">
        <v>16.04</v>
      </c>
      <c r="E50" s="323">
        <v>15.61</v>
      </c>
      <c r="G50" s="183"/>
    </row>
    <row r="51" spans="2:7">
      <c r="B51" s="195" t="s">
        <v>6</v>
      </c>
      <c r="C51" s="196" t="s">
        <v>114</v>
      </c>
      <c r="D51" s="371">
        <v>11.9</v>
      </c>
      <c r="E51" s="323">
        <v>15.38</v>
      </c>
      <c r="G51" s="183"/>
    </row>
    <row r="52" spans="2:7">
      <c r="B52" s="195" t="s">
        <v>8</v>
      </c>
      <c r="C52" s="196" t="s">
        <v>115</v>
      </c>
      <c r="D52" s="371">
        <v>16.100000000000001</v>
      </c>
      <c r="E52" s="324">
        <v>17.12</v>
      </c>
    </row>
    <row r="53" spans="2:7" ht="12.75" customHeight="1" thickBot="1">
      <c r="B53" s="199" t="s">
        <v>9</v>
      </c>
      <c r="C53" s="200" t="s">
        <v>41</v>
      </c>
      <c r="D53" s="369">
        <v>15.61</v>
      </c>
      <c r="E53" s="325">
        <v>16.350000000000001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780933.13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780933.13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780933.13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780933.13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0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37"/>
      <c r="C4" s="13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163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70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3108920.1</v>
      </c>
      <c r="E11" s="245">
        <f>SUM(E12:E14)</f>
        <v>3043794.16</v>
      </c>
    </row>
    <row r="12" spans="2:12">
      <c r="B12" s="184" t="s">
        <v>4</v>
      </c>
      <c r="C12" s="257" t="s">
        <v>5</v>
      </c>
      <c r="D12" s="300">
        <v>3108920.1</v>
      </c>
      <c r="E12" s="250">
        <v>3043794.16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3108920.1</v>
      </c>
      <c r="E21" s="151">
        <f>E11-E17</f>
        <v>3043794.16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2630051.5</v>
      </c>
      <c r="E26" s="239">
        <f>D21</f>
        <v>3108920.1</v>
      </c>
      <c r="G26" s="76"/>
    </row>
    <row r="27" spans="2:11" ht="13">
      <c r="B27" s="8" t="s">
        <v>17</v>
      </c>
      <c r="C27" s="9" t="s">
        <v>111</v>
      </c>
      <c r="D27" s="360">
        <v>-340840.94</v>
      </c>
      <c r="E27" s="275">
        <v>-473351.61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352037.19</v>
      </c>
      <c r="E28" s="276">
        <v>15800.31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352037.19</v>
      </c>
      <c r="E31" s="277">
        <v>15800.31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692878.13</v>
      </c>
      <c r="E32" s="276">
        <v>489151.92</v>
      </c>
      <c r="F32" s="73"/>
      <c r="G32" s="76"/>
      <c r="H32" s="255"/>
      <c r="I32" s="73"/>
      <c r="J32" s="76"/>
    </row>
    <row r="33" spans="2:12" ht="13">
      <c r="B33" s="192" t="s">
        <v>4</v>
      </c>
      <c r="C33" s="257" t="s">
        <v>25</v>
      </c>
      <c r="D33" s="342">
        <v>629216.99</v>
      </c>
      <c r="E33" s="277">
        <v>438577.08</v>
      </c>
      <c r="F33" s="73"/>
      <c r="G33" s="73"/>
      <c r="H33" s="255"/>
      <c r="I33" s="73"/>
      <c r="J33" s="76"/>
    </row>
    <row r="34" spans="2:12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2" ht="13">
      <c r="B35" s="192" t="s">
        <v>8</v>
      </c>
      <c r="C35" s="185" t="s">
        <v>27</v>
      </c>
      <c r="D35" s="361">
        <v>3123.7</v>
      </c>
      <c r="E35" s="277">
        <v>2339.64</v>
      </c>
      <c r="F35" s="73"/>
      <c r="G35" s="73"/>
      <c r="H35" s="255"/>
      <c r="I35" s="73"/>
      <c r="J35" s="76"/>
    </row>
    <row r="36" spans="2:12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2" ht="25.5">
      <c r="B37" s="192" t="s">
        <v>29</v>
      </c>
      <c r="C37" s="185" t="s">
        <v>30</v>
      </c>
      <c r="D37" s="361">
        <v>40897.03</v>
      </c>
      <c r="E37" s="277">
        <v>48235.200000000004</v>
      </c>
      <c r="F37" s="73"/>
      <c r="G37" s="73"/>
      <c r="H37" s="255"/>
      <c r="I37" s="73"/>
      <c r="J37" s="76"/>
    </row>
    <row r="38" spans="2:12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2" ht="13">
      <c r="B39" s="193" t="s">
        <v>33</v>
      </c>
      <c r="C39" s="194" t="s">
        <v>34</v>
      </c>
      <c r="D39" s="362">
        <v>19640.41</v>
      </c>
      <c r="E39" s="278"/>
      <c r="F39" s="73"/>
      <c r="G39" s="73"/>
      <c r="H39" s="255"/>
      <c r="I39" s="73"/>
      <c r="J39" s="76"/>
    </row>
    <row r="40" spans="2:12" ht="13.5" thickBot="1">
      <c r="B40" s="100" t="s">
        <v>35</v>
      </c>
      <c r="C40" s="101" t="s">
        <v>36</v>
      </c>
      <c r="D40" s="363">
        <v>819709.54</v>
      </c>
      <c r="E40" s="279">
        <v>408225.67</v>
      </c>
      <c r="G40" s="76"/>
      <c r="H40" s="242"/>
    </row>
    <row r="41" spans="2:12" ht="13.5" thickBot="1">
      <c r="B41" s="102" t="s">
        <v>37</v>
      </c>
      <c r="C41" s="103" t="s">
        <v>38</v>
      </c>
      <c r="D41" s="364">
        <v>3108920.1</v>
      </c>
      <c r="E41" s="151">
        <f>E26+E27+E40</f>
        <v>3043794.16</v>
      </c>
      <c r="F41" s="79"/>
      <c r="G41" s="76"/>
    </row>
    <row r="42" spans="2:12" ht="13">
      <c r="B42" s="96"/>
      <c r="C42" s="96"/>
      <c r="D42" s="97"/>
      <c r="E42" s="97"/>
      <c r="F42" s="79"/>
      <c r="G42" s="67"/>
    </row>
    <row r="43" spans="2:12" ht="13.5">
      <c r="B43" s="406" t="s">
        <v>60</v>
      </c>
      <c r="C43" s="407"/>
      <c r="D43" s="407"/>
      <c r="E43" s="407"/>
      <c r="G43" s="73"/>
    </row>
    <row r="44" spans="2:12" ht="18" customHeight="1" thickBot="1">
      <c r="B44" s="404" t="s">
        <v>121</v>
      </c>
      <c r="C44" s="408"/>
      <c r="D44" s="408"/>
      <c r="E44" s="408"/>
      <c r="G44" s="73"/>
    </row>
    <row r="45" spans="2:12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2" ht="13">
      <c r="B46" s="12" t="s">
        <v>18</v>
      </c>
      <c r="C46" s="29" t="s">
        <v>112</v>
      </c>
      <c r="D46" s="104"/>
      <c r="E46" s="27"/>
      <c r="G46" s="73"/>
    </row>
    <row r="47" spans="2:12">
      <c r="B47" s="195" t="s">
        <v>4</v>
      </c>
      <c r="C47" s="196" t="s">
        <v>40</v>
      </c>
      <c r="D47" s="371">
        <v>77904.369000000006</v>
      </c>
      <c r="E47" s="152">
        <v>65922.817999999999</v>
      </c>
      <c r="G47" s="73"/>
    </row>
    <row r="48" spans="2:12">
      <c r="B48" s="197" t="s">
        <v>6</v>
      </c>
      <c r="C48" s="198" t="s">
        <v>41</v>
      </c>
      <c r="D48" s="371">
        <v>65922.817999999999</v>
      </c>
      <c r="E48" s="330">
        <v>55993.27</v>
      </c>
      <c r="G48" s="73"/>
      <c r="H48" s="218"/>
      <c r="I48" s="163"/>
      <c r="J48" s="163"/>
      <c r="K48" s="163"/>
      <c r="L48" s="163"/>
    </row>
    <row r="49" spans="2:7" ht="13">
      <c r="B49" s="123" t="s">
        <v>23</v>
      </c>
      <c r="C49" s="127" t="s">
        <v>113</v>
      </c>
      <c r="D49" s="373"/>
      <c r="E49" s="331"/>
    </row>
    <row r="50" spans="2:7">
      <c r="B50" s="195" t="s">
        <v>4</v>
      </c>
      <c r="C50" s="196" t="s">
        <v>40</v>
      </c>
      <c r="D50" s="371">
        <v>33.76</v>
      </c>
      <c r="E50" s="331">
        <v>47.16</v>
      </c>
      <c r="G50" s="183"/>
    </row>
    <row r="51" spans="2:7">
      <c r="B51" s="195" t="s">
        <v>6</v>
      </c>
      <c r="C51" s="196" t="s">
        <v>114</v>
      </c>
      <c r="D51" s="371">
        <v>25.65</v>
      </c>
      <c r="E51" s="332">
        <v>43.79</v>
      </c>
      <c r="G51" s="183"/>
    </row>
    <row r="52" spans="2:7">
      <c r="B52" s="195" t="s">
        <v>8</v>
      </c>
      <c r="C52" s="196" t="s">
        <v>115</v>
      </c>
      <c r="D52" s="371">
        <v>47.17</v>
      </c>
      <c r="E52" s="332">
        <v>58.52</v>
      </c>
    </row>
    <row r="53" spans="2:7" ht="13.5" customHeight="1" thickBot="1">
      <c r="B53" s="199" t="s">
        <v>9</v>
      </c>
      <c r="C53" s="200" t="s">
        <v>41</v>
      </c>
      <c r="D53" s="369">
        <v>47.16</v>
      </c>
      <c r="E53" s="325">
        <v>54.36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3043794.16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3043794.16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3043794.16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3043794.16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4.7265625" customWidth="1"/>
    <col min="11" max="11" width="15.81640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87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  <c r="G9" s="211"/>
    </row>
    <row r="10" spans="2:12" ht="13.5" thickBot="1">
      <c r="B10" s="89"/>
      <c r="C10" s="78" t="s">
        <v>2</v>
      </c>
      <c r="D10" s="291" t="s">
        <v>246</v>
      </c>
      <c r="E10" s="258" t="s">
        <v>262</v>
      </c>
      <c r="G10" s="73"/>
      <c r="H10" s="73"/>
    </row>
    <row r="11" spans="2:12" ht="13">
      <c r="B11" s="93" t="s">
        <v>3</v>
      </c>
      <c r="C11" s="207" t="s">
        <v>109</v>
      </c>
      <c r="D11" s="299">
        <f>SUM(D12:D14)</f>
        <v>133663744.78</v>
      </c>
      <c r="E11" s="245">
        <f>SUM(E12:E14)</f>
        <v>151103346.09999996</v>
      </c>
      <c r="H11" s="73"/>
    </row>
    <row r="12" spans="2:12">
      <c r="B12" s="109" t="s">
        <v>4</v>
      </c>
      <c r="C12" s="208" t="s">
        <v>5</v>
      </c>
      <c r="D12" s="300">
        <f>136342555.03+290521.35-2969331.6</f>
        <v>133663744.78</v>
      </c>
      <c r="E12" s="250">
        <f>154057859.64+221549.51-3230344.25</f>
        <v>151049064.89999998</v>
      </c>
      <c r="G12" s="73"/>
      <c r="H12" s="73"/>
    </row>
    <row r="13" spans="2:12">
      <c r="B13" s="109" t="s">
        <v>6</v>
      </c>
      <c r="C13" s="208" t="s">
        <v>7</v>
      </c>
      <c r="D13" s="301"/>
      <c r="E13" s="251">
        <v>3.53</v>
      </c>
      <c r="H13" s="73"/>
    </row>
    <row r="14" spans="2:12">
      <c r="B14" s="109" t="s">
        <v>8</v>
      </c>
      <c r="C14" s="208" t="s">
        <v>10</v>
      </c>
      <c r="D14" s="301"/>
      <c r="E14" s="251">
        <f>E15</f>
        <v>54277.67</v>
      </c>
      <c r="H14" s="73"/>
    </row>
    <row r="15" spans="2:12">
      <c r="B15" s="109" t="s">
        <v>106</v>
      </c>
      <c r="C15" s="208" t="s">
        <v>11</v>
      </c>
      <c r="D15" s="301"/>
      <c r="E15" s="251">
        <v>54277.67</v>
      </c>
      <c r="H15" s="73"/>
    </row>
    <row r="16" spans="2:12">
      <c r="B16" s="110" t="s">
        <v>107</v>
      </c>
      <c r="C16" s="209" t="s">
        <v>12</v>
      </c>
      <c r="D16" s="302"/>
      <c r="E16" s="252"/>
    </row>
    <row r="17" spans="2:11" ht="13">
      <c r="B17" s="8" t="s">
        <v>13</v>
      </c>
      <c r="C17" s="210" t="s">
        <v>65</v>
      </c>
      <c r="D17" s="303">
        <f>D18</f>
        <v>216641.77</v>
      </c>
      <c r="E17" s="253">
        <f>E18</f>
        <v>193502.92</v>
      </c>
    </row>
    <row r="18" spans="2:11">
      <c r="B18" s="109" t="s">
        <v>4</v>
      </c>
      <c r="C18" s="208" t="s">
        <v>11</v>
      </c>
      <c r="D18" s="302">
        <v>216641.77</v>
      </c>
      <c r="E18" s="252">
        <v>193502.92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133447103.01000001</v>
      </c>
      <c r="E21" s="151">
        <f>E11-E17</f>
        <v>150909843.17999998</v>
      </c>
      <c r="F21" s="79"/>
      <c r="G21" s="79"/>
      <c r="H21" s="171"/>
      <c r="J21" s="233"/>
      <c r="K21" s="67"/>
    </row>
    <row r="22" spans="2:11">
      <c r="B22" s="3"/>
      <c r="C22" s="6"/>
      <c r="D22" s="7"/>
      <c r="E22" s="7"/>
      <c r="G22" s="73"/>
    </row>
    <row r="23" spans="2:11" ht="15.5">
      <c r="B23" s="405"/>
      <c r="C23" s="417"/>
      <c r="D23" s="417"/>
      <c r="E23" s="417"/>
      <c r="G23" s="73"/>
    </row>
    <row r="24" spans="2:11" ht="16.5" customHeight="1" thickBot="1">
      <c r="B24" s="404" t="s">
        <v>105</v>
      </c>
      <c r="C24" s="418"/>
      <c r="D24" s="418"/>
      <c r="E24" s="418"/>
    </row>
    <row r="25" spans="2:11" ht="13.5" thickBot="1">
      <c r="B25" s="89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107910365.16000001</v>
      </c>
      <c r="E26" s="239">
        <f>D21</f>
        <v>133447103.01000001</v>
      </c>
      <c r="G26" s="76"/>
    </row>
    <row r="27" spans="2:11" ht="13">
      <c r="B27" s="8" t="s">
        <v>17</v>
      </c>
      <c r="C27" s="9" t="s">
        <v>111</v>
      </c>
      <c r="D27" s="360">
        <v>-5168616.6400000006</v>
      </c>
      <c r="E27" s="275">
        <v>-2685798.18</v>
      </c>
      <c r="F27" s="73"/>
      <c r="G27" s="156"/>
      <c r="H27" s="255"/>
      <c r="I27" s="255"/>
      <c r="J27" s="219"/>
    </row>
    <row r="28" spans="2:11" ht="13">
      <c r="B28" s="8" t="s">
        <v>18</v>
      </c>
      <c r="C28" s="9" t="s">
        <v>19</v>
      </c>
      <c r="D28" s="360">
        <v>13798459.800000001</v>
      </c>
      <c r="E28" s="276">
        <v>13070416.58</v>
      </c>
      <c r="F28" s="73"/>
      <c r="G28" s="156"/>
      <c r="H28" s="255"/>
      <c r="I28" s="255"/>
      <c r="J28" s="219"/>
    </row>
    <row r="29" spans="2:11">
      <c r="B29" s="107" t="s">
        <v>4</v>
      </c>
      <c r="C29" s="5" t="s">
        <v>20</v>
      </c>
      <c r="D29" s="361">
        <v>13351389.560000001</v>
      </c>
      <c r="E29" s="277">
        <v>12373591.48</v>
      </c>
      <c r="F29" s="73"/>
      <c r="G29" s="156"/>
      <c r="H29" s="255"/>
      <c r="I29" s="255"/>
      <c r="J29" s="219"/>
    </row>
    <row r="30" spans="2:11">
      <c r="B30" s="107" t="s">
        <v>6</v>
      </c>
      <c r="C30" s="5" t="s">
        <v>21</v>
      </c>
      <c r="D30" s="361"/>
      <c r="E30" s="277"/>
      <c r="F30" s="73"/>
      <c r="G30" s="156"/>
      <c r="H30" s="255"/>
      <c r="I30" s="255"/>
      <c r="J30" s="219"/>
    </row>
    <row r="31" spans="2:11">
      <c r="B31" s="107" t="s">
        <v>8</v>
      </c>
      <c r="C31" s="5" t="s">
        <v>22</v>
      </c>
      <c r="D31" s="361">
        <v>447070.24</v>
      </c>
      <c r="E31" s="277">
        <v>696825.10000000009</v>
      </c>
      <c r="F31" s="73"/>
      <c r="G31" s="156"/>
      <c r="H31" s="255"/>
      <c r="I31" s="255"/>
      <c r="J31" s="219"/>
    </row>
    <row r="32" spans="2:11" ht="13">
      <c r="B32" s="95" t="s">
        <v>23</v>
      </c>
      <c r="C32" s="10" t="s">
        <v>24</v>
      </c>
      <c r="D32" s="360">
        <v>18967076.440000001</v>
      </c>
      <c r="E32" s="276">
        <v>15756214.76</v>
      </c>
      <c r="F32" s="73"/>
      <c r="G32" s="156"/>
      <c r="H32" s="255"/>
      <c r="I32" s="255"/>
      <c r="J32" s="219"/>
    </row>
    <row r="33" spans="2:10">
      <c r="B33" s="107" t="s">
        <v>4</v>
      </c>
      <c r="C33" s="5" t="s">
        <v>25</v>
      </c>
      <c r="D33" s="361">
        <v>13061497.800000001</v>
      </c>
      <c r="E33" s="277">
        <v>11679590.860000001</v>
      </c>
      <c r="F33" s="73"/>
      <c r="G33" s="156"/>
      <c r="H33" s="255"/>
      <c r="I33" s="255"/>
      <c r="J33" s="219"/>
    </row>
    <row r="34" spans="2:10">
      <c r="B34" s="107" t="s">
        <v>6</v>
      </c>
      <c r="C34" s="5" t="s">
        <v>26</v>
      </c>
      <c r="D34" s="361"/>
      <c r="E34" s="277"/>
      <c r="F34" s="73"/>
      <c r="G34" s="156"/>
      <c r="H34" s="255"/>
      <c r="I34" s="255"/>
      <c r="J34" s="219"/>
    </row>
    <row r="35" spans="2:10">
      <c r="B35" s="107" t="s">
        <v>8</v>
      </c>
      <c r="C35" s="5" t="s">
        <v>27</v>
      </c>
      <c r="D35" s="361">
        <v>2781767.9099999997</v>
      </c>
      <c r="E35" s="277">
        <v>2719316.5</v>
      </c>
      <c r="F35" s="73"/>
      <c r="G35" s="156"/>
      <c r="H35" s="255"/>
      <c r="I35" s="255"/>
      <c r="J35" s="219"/>
    </row>
    <row r="36" spans="2:10">
      <c r="B36" s="107" t="s">
        <v>9</v>
      </c>
      <c r="C36" s="5" t="s">
        <v>28</v>
      </c>
      <c r="D36" s="361"/>
      <c r="E36" s="277"/>
      <c r="F36" s="73"/>
      <c r="G36" s="156"/>
      <c r="H36" s="255"/>
      <c r="I36" s="255"/>
      <c r="J36" s="219"/>
    </row>
    <row r="37" spans="2:10" ht="25">
      <c r="B37" s="107" t="s">
        <v>29</v>
      </c>
      <c r="C37" s="5" t="s">
        <v>30</v>
      </c>
      <c r="D37" s="361"/>
      <c r="E37" s="277"/>
      <c r="F37" s="73"/>
      <c r="G37" s="156"/>
      <c r="H37" s="255"/>
      <c r="I37" s="255"/>
      <c r="J37" s="219"/>
    </row>
    <row r="38" spans="2:10">
      <c r="B38" s="107" t="s">
        <v>31</v>
      </c>
      <c r="C38" s="5" t="s">
        <v>32</v>
      </c>
      <c r="D38" s="361"/>
      <c r="E38" s="277"/>
      <c r="F38" s="73"/>
      <c r="G38" s="156"/>
      <c r="H38" s="255"/>
      <c r="I38" s="255"/>
      <c r="J38" s="219"/>
    </row>
    <row r="39" spans="2:10">
      <c r="B39" s="108" t="s">
        <v>33</v>
      </c>
      <c r="C39" s="11" t="s">
        <v>34</v>
      </c>
      <c r="D39" s="362">
        <v>3123810.73</v>
      </c>
      <c r="E39" s="278">
        <v>1357307.4</v>
      </c>
      <c r="F39" s="73"/>
      <c r="G39" s="156"/>
      <c r="H39" s="255"/>
      <c r="I39" s="255"/>
      <c r="J39" s="219"/>
    </row>
    <row r="40" spans="2:10" ht="13.5" thickBot="1">
      <c r="B40" s="100" t="s">
        <v>35</v>
      </c>
      <c r="C40" s="101" t="s">
        <v>36</v>
      </c>
      <c r="D40" s="363">
        <v>30705354.489999998</v>
      </c>
      <c r="E40" s="279">
        <v>20148538.350000001</v>
      </c>
      <c r="G40" s="76"/>
      <c r="J40" s="163"/>
    </row>
    <row r="41" spans="2:10" ht="13.5" thickBot="1">
      <c r="B41" s="102" t="s">
        <v>37</v>
      </c>
      <c r="C41" s="103" t="s">
        <v>38</v>
      </c>
      <c r="D41" s="364">
        <v>133447103.01000001</v>
      </c>
      <c r="E41" s="151">
        <f>E26+E27+E40</f>
        <v>150909843.18000001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5.7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230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9651130.4149999991</v>
      </c>
      <c r="E47" s="309">
        <v>9286406.0077999998</v>
      </c>
      <c r="G47" s="231"/>
    </row>
    <row r="48" spans="2:10">
      <c r="B48" s="126" t="s">
        <v>6</v>
      </c>
      <c r="C48" s="21" t="s">
        <v>41</v>
      </c>
      <c r="D48" s="371">
        <v>9286406.0077999998</v>
      </c>
      <c r="E48" s="378">
        <v>9151070.1674000006</v>
      </c>
      <c r="G48" s="265"/>
      <c r="J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05" t="s">
        <v>4</v>
      </c>
      <c r="C50" s="14" t="s">
        <v>40</v>
      </c>
      <c r="D50" s="371">
        <v>11.181100000000001</v>
      </c>
      <c r="E50" s="152">
        <v>14.370200000000001</v>
      </c>
      <c r="G50" s="220"/>
    </row>
    <row r="51" spans="2:7">
      <c r="B51" s="105" t="s">
        <v>6</v>
      </c>
      <c r="C51" s="14" t="s">
        <v>114</v>
      </c>
      <c r="D51" s="371">
        <v>9.1016999999999992</v>
      </c>
      <c r="E51" s="312">
        <v>14.370200000000001</v>
      </c>
      <c r="G51" s="183"/>
    </row>
    <row r="52" spans="2:7" ht="12.75" customHeight="1">
      <c r="B52" s="105" t="s">
        <v>8</v>
      </c>
      <c r="C52" s="14" t="s">
        <v>115</v>
      </c>
      <c r="D52" s="371">
        <v>14.447699999999999</v>
      </c>
      <c r="E52" s="312">
        <v>17.532900000000001</v>
      </c>
    </row>
    <row r="53" spans="2:7" ht="13" thickBot="1">
      <c r="B53" s="106" t="s">
        <v>9</v>
      </c>
      <c r="C53" s="16" t="s">
        <v>41</v>
      </c>
      <c r="D53" s="369">
        <v>14.370200000000001</v>
      </c>
      <c r="E53" s="379">
        <v>16.4909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151049064.89999998</v>
      </c>
      <c r="E58" s="30">
        <f>D58/E21</f>
        <v>1.0009225489674252</v>
      </c>
    </row>
    <row r="59" spans="2:7" ht="25">
      <c r="B59" s="20" t="s">
        <v>4</v>
      </c>
      <c r="C59" s="21" t="s">
        <v>44</v>
      </c>
      <c r="D59" s="82">
        <v>0</v>
      </c>
      <c r="E59" s="83">
        <v>0</v>
      </c>
    </row>
    <row r="60" spans="2:7" ht="24" customHeight="1">
      <c r="B60" s="13" t="s">
        <v>6</v>
      </c>
      <c r="C60" s="14" t="s">
        <v>45</v>
      </c>
      <c r="D60" s="80">
        <v>0</v>
      </c>
      <c r="E60" s="81">
        <v>0</v>
      </c>
    </row>
    <row r="61" spans="2:7">
      <c r="B61" s="13" t="s">
        <v>8</v>
      </c>
      <c r="C61" s="14" t="s">
        <v>46</v>
      </c>
      <c r="D61" s="80">
        <v>0</v>
      </c>
      <c r="E61" s="81">
        <v>0</v>
      </c>
    </row>
    <row r="62" spans="2:7">
      <c r="B62" s="13" t="s">
        <v>9</v>
      </c>
      <c r="C62" s="14" t="s">
        <v>47</v>
      </c>
      <c r="D62" s="80">
        <v>0</v>
      </c>
      <c r="E62" s="81">
        <v>0</v>
      </c>
    </row>
    <row r="63" spans="2:7">
      <c r="B63" s="13" t="s">
        <v>29</v>
      </c>
      <c r="C63" s="14" t="s">
        <v>48</v>
      </c>
      <c r="D63" s="80">
        <v>0</v>
      </c>
      <c r="E63" s="81">
        <v>0</v>
      </c>
    </row>
    <row r="64" spans="2:7">
      <c r="B64" s="20" t="s">
        <v>31</v>
      </c>
      <c r="C64" s="21" t="s">
        <v>49</v>
      </c>
      <c r="D64" s="377">
        <f>154057859.64-3230344.25</f>
        <v>150827515.38999999</v>
      </c>
      <c r="E64" s="83">
        <f>D64/E21</f>
        <v>0.99945445712310632</v>
      </c>
      <c r="G64" s="73"/>
    </row>
    <row r="65" spans="2:7">
      <c r="B65" s="20" t="s">
        <v>33</v>
      </c>
      <c r="C65" s="21" t="s">
        <v>118</v>
      </c>
      <c r="D65" s="82">
        <v>0</v>
      </c>
      <c r="E65" s="83">
        <v>0</v>
      </c>
      <c r="G65" s="73"/>
    </row>
    <row r="66" spans="2:7">
      <c r="B66" s="20" t="s">
        <v>50</v>
      </c>
      <c r="C66" s="21" t="s">
        <v>51</v>
      </c>
      <c r="D66" s="82">
        <v>0</v>
      </c>
      <c r="E66" s="83">
        <v>0</v>
      </c>
      <c r="G66" s="73"/>
    </row>
    <row r="67" spans="2:7">
      <c r="B67" s="13" t="s">
        <v>52</v>
      </c>
      <c r="C67" s="14" t="s">
        <v>53</v>
      </c>
      <c r="D67" s="80">
        <v>0</v>
      </c>
      <c r="E67" s="81">
        <v>0</v>
      </c>
    </row>
    <row r="68" spans="2:7">
      <c r="B68" s="13" t="s">
        <v>54</v>
      </c>
      <c r="C68" s="14" t="s">
        <v>55</v>
      </c>
      <c r="D68" s="80">
        <v>0</v>
      </c>
      <c r="E68" s="81">
        <v>0</v>
      </c>
    </row>
    <row r="69" spans="2:7">
      <c r="B69" s="13" t="s">
        <v>56</v>
      </c>
      <c r="C69" s="14" t="s">
        <v>57</v>
      </c>
      <c r="D69" s="370">
        <v>221549.51</v>
      </c>
      <c r="E69" s="81">
        <f>D69/E21</f>
        <v>1.4680918443188858E-3</v>
      </c>
    </row>
    <row r="70" spans="2:7">
      <c r="B70" s="115" t="s">
        <v>58</v>
      </c>
      <c r="C70" s="116" t="s">
        <v>59</v>
      </c>
      <c r="D70" s="117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3.53</v>
      </c>
      <c r="E71" s="66">
        <v>0</v>
      </c>
    </row>
    <row r="72" spans="2:7" ht="13">
      <c r="B72" s="119" t="s">
        <v>60</v>
      </c>
      <c r="C72" s="120" t="s">
        <v>63</v>
      </c>
      <c r="D72" s="121">
        <f>E14</f>
        <v>54277.67</v>
      </c>
      <c r="E72" s="122">
        <f>D72/E21</f>
        <v>3.596695143023871E-4</v>
      </c>
    </row>
    <row r="73" spans="2:7" ht="13">
      <c r="B73" s="22" t="s">
        <v>62</v>
      </c>
      <c r="C73" s="23" t="s">
        <v>65</v>
      </c>
      <c r="D73" s="24">
        <f>E17</f>
        <v>193502.92</v>
      </c>
      <c r="E73" s="25">
        <f>D73/E21</f>
        <v>1.2822418731771956E-3</v>
      </c>
    </row>
    <row r="74" spans="2:7" ht="13">
      <c r="B74" s="123" t="s">
        <v>64</v>
      </c>
      <c r="C74" s="124" t="s">
        <v>66</v>
      </c>
      <c r="D74" s="125">
        <f>D58+D71+D72-D73</f>
        <v>150909843.17999998</v>
      </c>
      <c r="E74" s="66">
        <f>E58+E72-E73</f>
        <v>0.99999997660855044</v>
      </c>
    </row>
    <row r="75" spans="2:7">
      <c r="B75" s="13" t="s">
        <v>4</v>
      </c>
      <c r="C75" s="14" t="s">
        <v>67</v>
      </c>
      <c r="D75" s="80">
        <f>D74</f>
        <v>150909843.17999998</v>
      </c>
      <c r="E75" s="81">
        <f>E74</f>
        <v>0.99999997660855044</v>
      </c>
    </row>
    <row r="76" spans="2:7">
      <c r="B76" s="13" t="s">
        <v>6</v>
      </c>
      <c r="C76" s="14" t="s">
        <v>119</v>
      </c>
      <c r="D76" s="80">
        <v>0</v>
      </c>
      <c r="E76" s="81">
        <v>0</v>
      </c>
    </row>
    <row r="77" spans="2:7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9" right="0.75" top="0.59" bottom="0.4" header="0.5" footer="0.5"/>
  <pageSetup paperSize="9" scale="7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7"/>
  <dimension ref="A1:L81"/>
  <sheetViews>
    <sheetView zoomScale="80" zoomScaleNormal="80" workbookViewId="0">
      <selection activeCell="A7" sqref="A7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164</v>
      </c>
      <c r="C6" s="403"/>
      <c r="D6" s="403"/>
      <c r="E6" s="403"/>
    </row>
    <row r="7" spans="2:12" ht="14">
      <c r="B7" s="174"/>
      <c r="C7" s="174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75"/>
      <c r="C10" s="78" t="s">
        <v>2</v>
      </c>
      <c r="D10" s="70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262596.26</v>
      </c>
      <c r="E11" s="245">
        <f>SUM(E12:E14)</f>
        <v>204904.85</v>
      </c>
    </row>
    <row r="12" spans="2:12">
      <c r="B12" s="184" t="s">
        <v>4</v>
      </c>
      <c r="C12" s="185" t="s">
        <v>5</v>
      </c>
      <c r="D12" s="300">
        <v>262596.26</v>
      </c>
      <c r="E12" s="250">
        <v>204904.85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262596.26</v>
      </c>
      <c r="E21" s="151">
        <f>E11-E17</f>
        <v>204904.85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374575.96</v>
      </c>
      <c r="E26" s="239">
        <f>D21</f>
        <v>262596.26</v>
      </c>
      <c r="G26" s="76"/>
    </row>
    <row r="27" spans="2:11" ht="13">
      <c r="B27" s="8" t="s">
        <v>17</v>
      </c>
      <c r="C27" s="9" t="s">
        <v>111</v>
      </c>
      <c r="D27" s="360">
        <v>-124470.81</v>
      </c>
      <c r="E27" s="275">
        <v>-49135.37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124470.81</v>
      </c>
      <c r="E32" s="276">
        <v>49135.37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116524.93</v>
      </c>
      <c r="E33" s="277">
        <v>43956.99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3754.13</v>
      </c>
      <c r="E35" s="277">
        <v>1700.8500000000001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4191.75</v>
      </c>
      <c r="E37" s="277">
        <v>3475.9900000000002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>
        <v>1.54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12491.11</v>
      </c>
      <c r="E40" s="279">
        <v>-8556.0400000000009</v>
      </c>
      <c r="G40" s="76"/>
    </row>
    <row r="41" spans="2:10" ht="13.5" thickBot="1">
      <c r="B41" s="102" t="s">
        <v>37</v>
      </c>
      <c r="C41" s="103" t="s">
        <v>38</v>
      </c>
      <c r="D41" s="364">
        <v>262596.26</v>
      </c>
      <c r="E41" s="151">
        <f>E26+E27+E40</f>
        <v>204904.85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32487.074000000001</v>
      </c>
      <c r="E47" s="152">
        <v>21792.221000000001</v>
      </c>
      <c r="G47" s="73"/>
    </row>
    <row r="48" spans="2:10">
      <c r="B48" s="197" t="s">
        <v>6</v>
      </c>
      <c r="C48" s="198" t="s">
        <v>41</v>
      </c>
      <c r="D48" s="371">
        <v>21792.221000000001</v>
      </c>
      <c r="E48" s="322">
        <v>17633.808000000001</v>
      </c>
      <c r="G48" s="7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95" t="s">
        <v>4</v>
      </c>
      <c r="C50" s="196" t="s">
        <v>40</v>
      </c>
      <c r="D50" s="371">
        <v>11.53</v>
      </c>
      <c r="E50" s="323">
        <v>12.05</v>
      </c>
      <c r="G50" s="183"/>
    </row>
    <row r="51" spans="2:7">
      <c r="B51" s="195" t="s">
        <v>6</v>
      </c>
      <c r="C51" s="196" t="s">
        <v>114</v>
      </c>
      <c r="D51" s="371">
        <v>9.14</v>
      </c>
      <c r="E51" s="324">
        <v>11.27</v>
      </c>
      <c r="G51" s="183"/>
    </row>
    <row r="52" spans="2:7">
      <c r="B52" s="195" t="s">
        <v>8</v>
      </c>
      <c r="C52" s="196" t="s">
        <v>115</v>
      </c>
      <c r="D52" s="371">
        <v>12.05</v>
      </c>
      <c r="E52" s="307">
        <v>12.08</v>
      </c>
    </row>
    <row r="53" spans="2:7" ht="13" thickBot="1">
      <c r="B53" s="199" t="s">
        <v>9</v>
      </c>
      <c r="C53" s="200" t="s">
        <v>41</v>
      </c>
      <c r="D53" s="369">
        <v>12.05</v>
      </c>
      <c r="E53" s="329">
        <v>11.62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204904.85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204904.85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204904.85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204904.85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8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165</v>
      </c>
      <c r="C6" s="403"/>
      <c r="D6" s="403"/>
      <c r="E6" s="403"/>
    </row>
    <row r="7" spans="2:12" ht="14">
      <c r="B7" s="213"/>
      <c r="C7" s="213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214"/>
      <c r="C10" s="78" t="s">
        <v>2</v>
      </c>
      <c r="D10" s="70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246150.22</v>
      </c>
      <c r="E11" s="245">
        <f>SUM(E12:E14)</f>
        <v>234314.36</v>
      </c>
    </row>
    <row r="12" spans="2:12">
      <c r="B12" s="184" t="s">
        <v>4</v>
      </c>
      <c r="C12" s="185" t="s">
        <v>5</v>
      </c>
      <c r="D12" s="300">
        <v>246150.22</v>
      </c>
      <c r="E12" s="250">
        <v>234314.36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246150.22</v>
      </c>
      <c r="E21" s="151">
        <f>E11-E17</f>
        <v>234314.36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240605.07</v>
      </c>
      <c r="E26" s="239">
        <f>D21</f>
        <v>246150.22</v>
      </c>
      <c r="G26" s="76"/>
    </row>
    <row r="27" spans="2:11" ht="13">
      <c r="B27" s="8" t="s">
        <v>17</v>
      </c>
      <c r="C27" s="9" t="s">
        <v>111</v>
      </c>
      <c r="D27" s="360">
        <v>-3842.6</v>
      </c>
      <c r="E27" s="275">
        <v>-3784.98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3842.6</v>
      </c>
      <c r="E32" s="276">
        <v>3784.98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/>
      <c r="E35" s="277"/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3842.6</v>
      </c>
      <c r="E37" s="277">
        <v>3784.98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9387.75</v>
      </c>
      <c r="E40" s="279">
        <v>-8050.88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246150.22</v>
      </c>
      <c r="E41" s="151">
        <f>E26+E27+E40</f>
        <v>234314.36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2358.6419999999998</v>
      </c>
      <c r="E47" s="152">
        <v>2321.0770000000002</v>
      </c>
      <c r="G47" s="73"/>
    </row>
    <row r="48" spans="2:10">
      <c r="B48" s="197" t="s">
        <v>6</v>
      </c>
      <c r="C48" s="198" t="s">
        <v>41</v>
      </c>
      <c r="D48" s="371">
        <v>2321.0770000000002</v>
      </c>
      <c r="E48" s="320">
        <v>2284.2109999999998</v>
      </c>
      <c r="G48" s="73"/>
    </row>
    <row r="49" spans="2:7" ht="13">
      <c r="B49" s="123" t="s">
        <v>23</v>
      </c>
      <c r="C49" s="127" t="s">
        <v>113</v>
      </c>
      <c r="D49" s="373"/>
      <c r="E49" s="328"/>
    </row>
    <row r="50" spans="2:7">
      <c r="B50" s="195" t="s">
        <v>4</v>
      </c>
      <c r="C50" s="196" t="s">
        <v>40</v>
      </c>
      <c r="D50" s="371">
        <v>102.01</v>
      </c>
      <c r="E50" s="152">
        <v>106.05</v>
      </c>
      <c r="G50" s="183"/>
    </row>
    <row r="51" spans="2:7">
      <c r="B51" s="195" t="s">
        <v>6</v>
      </c>
      <c r="C51" s="196" t="s">
        <v>114</v>
      </c>
      <c r="D51" s="371">
        <v>96.3</v>
      </c>
      <c r="E51" s="77">
        <v>99.79</v>
      </c>
      <c r="G51" s="183"/>
    </row>
    <row r="52" spans="2:7">
      <c r="B52" s="195" t="s">
        <v>8</v>
      </c>
      <c r="C52" s="196" t="s">
        <v>115</v>
      </c>
      <c r="D52" s="371">
        <v>106.05</v>
      </c>
      <c r="E52" s="77">
        <v>106.52</v>
      </c>
    </row>
    <row r="53" spans="2:7" ht="13" thickBot="1">
      <c r="B53" s="199" t="s">
        <v>9</v>
      </c>
      <c r="C53" s="200" t="s">
        <v>41</v>
      </c>
      <c r="D53" s="369">
        <v>106.05</v>
      </c>
      <c r="E53" s="325">
        <v>102.58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234314.36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234314.36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234314.36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234314.36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9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37"/>
      <c r="C4" s="13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166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150470.92000000001</v>
      </c>
      <c r="E11" s="245">
        <f>SUM(E12:E14)</f>
        <v>145277.14000000001</v>
      </c>
    </row>
    <row r="12" spans="2:12">
      <c r="B12" s="184" t="s">
        <v>4</v>
      </c>
      <c r="C12" s="185" t="s">
        <v>5</v>
      </c>
      <c r="D12" s="300">
        <v>150470.92000000001</v>
      </c>
      <c r="E12" s="250">
        <v>145277.14000000001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150470.92000000001</v>
      </c>
      <c r="E21" s="151">
        <f>E11-E17</f>
        <v>145277.14000000001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83">
        <v>176046.98</v>
      </c>
      <c r="E26" s="239">
        <f>D21</f>
        <v>150470.92000000001</v>
      </c>
      <c r="G26" s="76"/>
    </row>
    <row r="27" spans="2:11" ht="13">
      <c r="B27" s="8" t="s">
        <v>17</v>
      </c>
      <c r="C27" s="9" t="s">
        <v>111</v>
      </c>
      <c r="D27" s="384">
        <v>-65575.44</v>
      </c>
      <c r="E27" s="275">
        <v>-16918.12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84">
        <v>17998.099999999999</v>
      </c>
      <c r="E28" s="276">
        <v>0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00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00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00">
        <v>17998.099999999999</v>
      </c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84">
        <v>83573.540000000008</v>
      </c>
      <c r="E32" s="276">
        <v>16918.12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00">
        <v>20009.310000000001</v>
      </c>
      <c r="E33" s="277">
        <v>13742.49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00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00">
        <v>89.27</v>
      </c>
      <c r="E35" s="277">
        <v>57.34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00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00">
        <v>3091.76</v>
      </c>
      <c r="E37" s="277">
        <v>3118.29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00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85">
        <v>60383.199999999997</v>
      </c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86">
        <v>39999.379999999997</v>
      </c>
      <c r="E40" s="279">
        <v>11724.34</v>
      </c>
      <c r="G40" s="76"/>
      <c r="H40" s="242"/>
    </row>
    <row r="41" spans="2:10" ht="13.5" thickBot="1">
      <c r="B41" s="102" t="s">
        <v>37</v>
      </c>
      <c r="C41" s="103" t="s">
        <v>38</v>
      </c>
      <c r="D41" s="305">
        <v>150470.92000000001</v>
      </c>
      <c r="E41" s="151">
        <f>E26+E27+E40</f>
        <v>145277.14000000001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65">
        <v>565.77639999999997</v>
      </c>
      <c r="E47" s="152">
        <v>377.12009999999998</v>
      </c>
      <c r="G47" s="73"/>
    </row>
    <row r="48" spans="2:10">
      <c r="B48" s="197" t="s">
        <v>6</v>
      </c>
      <c r="C48" s="198" t="s">
        <v>41</v>
      </c>
      <c r="D48" s="365">
        <v>377.12009999999998</v>
      </c>
      <c r="E48" s="322">
        <v>336.49220000000003</v>
      </c>
      <c r="G48" s="73"/>
    </row>
    <row r="49" spans="2:7" ht="13">
      <c r="B49" s="123" t="s">
        <v>23</v>
      </c>
      <c r="C49" s="127" t="s">
        <v>113</v>
      </c>
      <c r="D49" s="367"/>
      <c r="E49" s="323"/>
    </row>
    <row r="50" spans="2:7">
      <c r="B50" s="195" t="s">
        <v>4</v>
      </c>
      <c r="C50" s="196" t="s">
        <v>40</v>
      </c>
      <c r="D50" s="365">
        <v>311.16000000000003</v>
      </c>
      <c r="E50" s="323">
        <v>399</v>
      </c>
      <c r="G50" s="183"/>
    </row>
    <row r="51" spans="2:7">
      <c r="B51" s="195" t="s">
        <v>6</v>
      </c>
      <c r="C51" s="196" t="s">
        <v>114</v>
      </c>
      <c r="D51" s="365">
        <v>222.45</v>
      </c>
      <c r="E51" s="323">
        <v>381.95</v>
      </c>
      <c r="G51" s="183"/>
    </row>
    <row r="52" spans="2:7">
      <c r="B52" s="195" t="s">
        <v>8</v>
      </c>
      <c r="C52" s="196" t="s">
        <v>115</v>
      </c>
      <c r="D52" s="365">
        <v>401</v>
      </c>
      <c r="E52" s="324">
        <v>462.23</v>
      </c>
    </row>
    <row r="53" spans="2:7" ht="14.25" customHeight="1" thickBot="1">
      <c r="B53" s="199" t="s">
        <v>9</v>
      </c>
      <c r="C53" s="200" t="s">
        <v>41</v>
      </c>
      <c r="D53" s="369">
        <v>399</v>
      </c>
      <c r="E53" s="321">
        <v>431.74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145277.14000000001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145277.14000000001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145277.14000000001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145277.14000000001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0">
    <pageSetUpPr fitToPage="1"/>
  </sheetPr>
  <dimension ref="A1:L81"/>
  <sheetViews>
    <sheetView zoomScale="80" zoomScaleNormal="80" workbookViewId="0">
      <selection activeCell="A9" sqref="A9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0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37"/>
      <c r="C4" s="13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258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129053.06</v>
      </c>
      <c r="E11" s="245">
        <f>SUM(E12:E14)</f>
        <v>140822.23000000001</v>
      </c>
    </row>
    <row r="12" spans="2:12">
      <c r="B12" s="184" t="s">
        <v>4</v>
      </c>
      <c r="C12" s="185" t="s">
        <v>5</v>
      </c>
      <c r="D12" s="300">
        <v>129053.06</v>
      </c>
      <c r="E12" s="250">
        <v>140822.23000000001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129053.06</v>
      </c>
      <c r="E21" s="151">
        <f>E11-E17</f>
        <v>140822.23000000001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263</v>
      </c>
    </row>
    <row r="26" spans="2:11" ht="13">
      <c r="B26" s="98" t="s">
        <v>15</v>
      </c>
      <c r="C26" s="99" t="s">
        <v>16</v>
      </c>
      <c r="D26" s="359">
        <v>54284.9</v>
      </c>
      <c r="E26" s="239">
        <f>D21</f>
        <v>129053.06</v>
      </c>
      <c r="G26" s="76"/>
      <c r="H26" s="242"/>
    </row>
    <row r="27" spans="2:11" ht="13">
      <c r="B27" s="8" t="s">
        <v>17</v>
      </c>
      <c r="C27" s="9" t="s">
        <v>111</v>
      </c>
      <c r="D27" s="360">
        <v>57197.94</v>
      </c>
      <c r="E27" s="275">
        <v>-8926.23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154524.72</v>
      </c>
      <c r="E28" s="276">
        <v>64403.090000000004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27061.41</v>
      </c>
      <c r="E29" s="277">
        <v>37069.43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127463.31</v>
      </c>
      <c r="E31" s="277">
        <v>27333.66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97326.78</v>
      </c>
      <c r="E32" s="276">
        <v>73329.320000000007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33328.97</v>
      </c>
      <c r="E33" s="277">
        <v>28224.66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937.29</v>
      </c>
      <c r="E35" s="277">
        <v>992.52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793.77</v>
      </c>
      <c r="E37" s="277">
        <v>1268.8700000000001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62266.75</v>
      </c>
      <c r="E39" s="278">
        <v>42843.270000000004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17570.22</v>
      </c>
      <c r="E40" s="279">
        <v>20695.400000000001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129053.06</v>
      </c>
      <c r="E41" s="151">
        <f>E26+E27+E40</f>
        <v>140822.23000000001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110.1404</v>
      </c>
      <c r="E47" s="152">
        <v>205.99379999999999</v>
      </c>
      <c r="G47" s="73"/>
    </row>
    <row r="48" spans="2:10">
      <c r="B48" s="197" t="s">
        <v>6</v>
      </c>
      <c r="C48" s="198" t="s">
        <v>41</v>
      </c>
      <c r="D48" s="371">
        <v>205.99379999999999</v>
      </c>
      <c r="E48" s="322">
        <v>188.62309999999999</v>
      </c>
      <c r="G48" s="7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95" t="s">
        <v>4</v>
      </c>
      <c r="C50" s="196" t="s">
        <v>40</v>
      </c>
      <c r="D50" s="371">
        <v>492.87</v>
      </c>
      <c r="E50" s="323">
        <v>626.49</v>
      </c>
      <c r="G50" s="183"/>
    </row>
    <row r="51" spans="2:7">
      <c r="B51" s="195" t="s">
        <v>6</v>
      </c>
      <c r="C51" s="196" t="s">
        <v>114</v>
      </c>
      <c r="D51" s="371">
        <v>375.52</v>
      </c>
      <c r="E51" s="323">
        <v>615.48</v>
      </c>
      <c r="G51" s="183"/>
    </row>
    <row r="52" spans="2:7">
      <c r="B52" s="195" t="s">
        <v>8</v>
      </c>
      <c r="C52" s="196" t="s">
        <v>115</v>
      </c>
      <c r="D52" s="371">
        <v>629.12</v>
      </c>
      <c r="E52" s="324">
        <v>769.35</v>
      </c>
    </row>
    <row r="53" spans="2:7" ht="13.5" customHeight="1" thickBot="1">
      <c r="B53" s="199" t="s">
        <v>9</v>
      </c>
      <c r="C53" s="200" t="s">
        <v>41</v>
      </c>
      <c r="D53" s="369">
        <v>626.49</v>
      </c>
      <c r="E53" s="325">
        <v>746.58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20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140822.23000000001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140822.23000000001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140822.23000000001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140822.23000000001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81640625" customWidth="1"/>
    <col min="9" max="9" width="13.26953125" customWidth="1"/>
    <col min="10" max="10" width="13.54296875" customWidth="1"/>
    <col min="11" max="11" width="14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37"/>
      <c r="C4" s="13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259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241687.16</v>
      </c>
      <c r="E11" s="245">
        <f>SUM(E12:E14)</f>
        <v>226081.09</v>
      </c>
    </row>
    <row r="12" spans="2:12">
      <c r="B12" s="109" t="s">
        <v>4</v>
      </c>
      <c r="C12" s="5" t="s">
        <v>5</v>
      </c>
      <c r="D12" s="300">
        <v>241687.16</v>
      </c>
      <c r="E12" s="250">
        <v>226081.09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241687.16</v>
      </c>
      <c r="E21" s="151">
        <f>E11-E17</f>
        <v>226081.09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38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322565.65000000002</v>
      </c>
      <c r="E26" s="239">
        <f>D21</f>
        <v>241687.16</v>
      </c>
      <c r="G26" s="76"/>
    </row>
    <row r="27" spans="2:11" ht="13">
      <c r="B27" s="8" t="s">
        <v>17</v>
      </c>
      <c r="C27" s="9" t="s">
        <v>111</v>
      </c>
      <c r="D27" s="360">
        <v>-102679.16000000002</v>
      </c>
      <c r="E27" s="275">
        <v>-54563.16</v>
      </c>
      <c r="F27" s="73"/>
      <c r="G27" s="25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102365.64</v>
      </c>
      <c r="E28" s="276">
        <v>43301.35</v>
      </c>
      <c r="F28" s="73"/>
      <c r="G28" s="255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16624.09</v>
      </c>
      <c r="E29" s="277">
        <v>22509.34</v>
      </c>
      <c r="F29" s="73"/>
      <c r="G29" s="255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255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85741.55</v>
      </c>
      <c r="E31" s="277">
        <v>20792.009999999998</v>
      </c>
      <c r="F31" s="73"/>
      <c r="G31" s="255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205044.80000000002</v>
      </c>
      <c r="E32" s="276">
        <v>97864.51</v>
      </c>
      <c r="F32" s="73"/>
      <c r="G32" s="25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33204.61</v>
      </c>
      <c r="E33" s="277">
        <v>26633.07</v>
      </c>
      <c r="F33" s="73"/>
      <c r="G33" s="255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255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1143.53</v>
      </c>
      <c r="E35" s="277">
        <v>895.64</v>
      </c>
      <c r="F35" s="73"/>
      <c r="G35" s="255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255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3036.71</v>
      </c>
      <c r="E37" s="277">
        <v>3085.12</v>
      </c>
      <c r="F37" s="73"/>
      <c r="G37" s="255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255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167659.95000000001</v>
      </c>
      <c r="E39" s="278">
        <v>67250.680000000008</v>
      </c>
      <c r="F39" s="73"/>
      <c r="G39" s="255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21800.67</v>
      </c>
      <c r="E40" s="279">
        <v>38957.089999999997</v>
      </c>
      <c r="G40" s="76"/>
    </row>
    <row r="41" spans="2:10" ht="13.5" thickBot="1">
      <c r="B41" s="102" t="s">
        <v>37</v>
      </c>
      <c r="C41" s="103" t="s">
        <v>38</v>
      </c>
      <c r="D41" s="364">
        <v>241687.15999999997</v>
      </c>
      <c r="E41" s="151">
        <f>E26+E27+E40</f>
        <v>226081.09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38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1111.9885999999999</v>
      </c>
      <c r="E47" s="152">
        <v>752.82569999999998</v>
      </c>
      <c r="G47" s="73"/>
      <c r="H47" s="162"/>
    </row>
    <row r="48" spans="2:10">
      <c r="B48" s="126" t="s">
        <v>6</v>
      </c>
      <c r="C48" s="21" t="s">
        <v>41</v>
      </c>
      <c r="D48" s="371">
        <v>752.82569999999998</v>
      </c>
      <c r="E48" s="322">
        <v>586.72069999999997</v>
      </c>
      <c r="G48" s="162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05" t="s">
        <v>4</v>
      </c>
      <c r="C50" s="14" t="s">
        <v>40</v>
      </c>
      <c r="D50" s="371">
        <v>290.08</v>
      </c>
      <c r="E50" s="323">
        <v>321.04000000000002</v>
      </c>
      <c r="G50" s="183"/>
    </row>
    <row r="51" spans="2:7">
      <c r="B51" s="105" t="s">
        <v>6</v>
      </c>
      <c r="C51" s="14" t="s">
        <v>114</v>
      </c>
      <c r="D51" s="371">
        <v>221.58</v>
      </c>
      <c r="E51" s="324">
        <v>321.04000000000002</v>
      </c>
      <c r="G51" s="183"/>
    </row>
    <row r="52" spans="2:7">
      <c r="B52" s="105" t="s">
        <v>8</v>
      </c>
      <c r="C52" s="14" t="s">
        <v>115</v>
      </c>
      <c r="D52" s="371">
        <v>325.05</v>
      </c>
      <c r="E52" s="324">
        <v>411.42</v>
      </c>
    </row>
    <row r="53" spans="2:7" ht="12.75" customHeight="1" thickBot="1">
      <c r="B53" s="106" t="s">
        <v>9</v>
      </c>
      <c r="C53" s="16" t="s">
        <v>41</v>
      </c>
      <c r="D53" s="369">
        <v>321.04000000000002</v>
      </c>
      <c r="E53" s="325">
        <v>385.33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226081.09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226081.09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226081.09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226081.09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48" right="0.75" top="0.52" bottom="0.43" header="0.5" footer="0.5"/>
  <pageSetup paperSize="9" scale="70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2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5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37"/>
      <c r="C4" s="13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167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809837.2</v>
      </c>
      <c r="E11" s="245">
        <f>SUM(E12:E14)</f>
        <v>746346.53</v>
      </c>
    </row>
    <row r="12" spans="2:12">
      <c r="B12" s="184" t="s">
        <v>4</v>
      </c>
      <c r="C12" s="185" t="s">
        <v>5</v>
      </c>
      <c r="D12" s="300">
        <v>809837.2</v>
      </c>
      <c r="E12" s="250">
        <v>746346.53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809837.2</v>
      </c>
      <c r="E21" s="151">
        <f>E11-E17</f>
        <v>746346.53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1054816.6299999999</v>
      </c>
      <c r="E26" s="239">
        <f>D21</f>
        <v>809837.2</v>
      </c>
      <c r="G26" s="76"/>
    </row>
    <row r="27" spans="2:11" ht="13">
      <c r="B27" s="8" t="s">
        <v>17</v>
      </c>
      <c r="C27" s="9" t="s">
        <v>111</v>
      </c>
      <c r="D27" s="360">
        <v>-495265.18</v>
      </c>
      <c r="E27" s="275">
        <v>-67839.850000000006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37298.86</v>
      </c>
      <c r="E28" s="276">
        <v>20003.28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18199.93</v>
      </c>
      <c r="E29" s="277">
        <v>20000.04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19098.93</v>
      </c>
      <c r="E31" s="277">
        <v>3.24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532564.04</v>
      </c>
      <c r="E32" s="276">
        <v>87843.13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478036.04</v>
      </c>
      <c r="E33" s="277">
        <v>72432.930000000008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603.57000000000005</v>
      </c>
      <c r="E35" s="277">
        <v>409.76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21249.77</v>
      </c>
      <c r="E37" s="277">
        <v>15000.44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32674.66</v>
      </c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250285.75</v>
      </c>
      <c r="E40" s="279">
        <v>4349.18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809837.2</v>
      </c>
      <c r="E41" s="151">
        <f>E26+E27+E40</f>
        <v>746346.53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1574.6116999999999</v>
      </c>
      <c r="E47" s="152">
        <v>958.68219999999997</v>
      </c>
      <c r="G47" s="73"/>
    </row>
    <row r="48" spans="2:10">
      <c r="B48" s="197" t="s">
        <v>6</v>
      </c>
      <c r="C48" s="198" t="s">
        <v>41</v>
      </c>
      <c r="D48" s="371">
        <v>958.68219999999997</v>
      </c>
      <c r="E48" s="322">
        <v>879.95960000000002</v>
      </c>
      <c r="G48" s="7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95" t="s">
        <v>4</v>
      </c>
      <c r="C50" s="196" t="s">
        <v>40</v>
      </c>
      <c r="D50" s="371">
        <v>669.89</v>
      </c>
      <c r="E50" s="323">
        <v>844.74</v>
      </c>
      <c r="G50" s="183"/>
    </row>
    <row r="51" spans="2:7">
      <c r="B51" s="195" t="s">
        <v>6</v>
      </c>
      <c r="C51" s="196" t="s">
        <v>114</v>
      </c>
      <c r="D51" s="371">
        <v>556.80999999999995</v>
      </c>
      <c r="E51" s="323">
        <v>789</v>
      </c>
      <c r="G51" s="183"/>
    </row>
    <row r="52" spans="2:7">
      <c r="B52" s="195" t="s">
        <v>8</v>
      </c>
      <c r="C52" s="196" t="s">
        <v>115</v>
      </c>
      <c r="D52" s="371">
        <v>849.32</v>
      </c>
      <c r="E52" s="312">
        <v>890.86</v>
      </c>
    </row>
    <row r="53" spans="2:7" ht="13.5" customHeight="1" thickBot="1">
      <c r="B53" s="199" t="s">
        <v>9</v>
      </c>
      <c r="C53" s="200" t="s">
        <v>41</v>
      </c>
      <c r="D53" s="369">
        <v>844.74</v>
      </c>
      <c r="E53" s="325">
        <v>848.16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746346.53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746346.53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746346.53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746346.53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9" right="0.75" top="0.62" bottom="0.61" header="0.5" footer="0.5"/>
  <pageSetup paperSize="9" scale="70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3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2.179687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37"/>
      <c r="C4" s="13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255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106316.38</v>
      </c>
      <c r="E11" s="245">
        <f>SUM(E12:E14)</f>
        <v>135761.29999999999</v>
      </c>
    </row>
    <row r="12" spans="2:12">
      <c r="B12" s="184" t="s">
        <v>4</v>
      </c>
      <c r="C12" s="185" t="s">
        <v>5</v>
      </c>
      <c r="D12" s="300">
        <v>106316.38</v>
      </c>
      <c r="E12" s="250">
        <v>135761.29999999999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106316.38</v>
      </c>
      <c r="E21" s="151">
        <f>E11-E17</f>
        <v>135761.29999999999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97480.51</v>
      </c>
      <c r="E26" s="239">
        <f>D21</f>
        <v>106316.38</v>
      </c>
      <c r="G26" s="76"/>
    </row>
    <row r="27" spans="2:11" ht="13">
      <c r="B27" s="8" t="s">
        <v>17</v>
      </c>
      <c r="C27" s="9" t="s">
        <v>111</v>
      </c>
      <c r="D27" s="360">
        <v>17479.949999999983</v>
      </c>
      <c r="E27" s="275">
        <v>8067.84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128892.87</v>
      </c>
      <c r="E28" s="276">
        <v>36209.78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14389.76</v>
      </c>
      <c r="E29" s="277">
        <v>22694.9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114503.11</v>
      </c>
      <c r="E31" s="277">
        <v>13514.880000000001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111412.92000000001</v>
      </c>
      <c r="E32" s="276">
        <v>28141.94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28746.47</v>
      </c>
      <c r="E33" s="277">
        <v>401.39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531.29</v>
      </c>
      <c r="E35" s="277">
        <v>231.19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729.17</v>
      </c>
      <c r="E37" s="277">
        <v>737.82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81405.990000000005</v>
      </c>
      <c r="E39" s="278">
        <v>26771.54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-8644.08</v>
      </c>
      <c r="E40" s="279">
        <v>21377.08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106316.37999999998</v>
      </c>
      <c r="E41" s="151">
        <f>E26+E27+E40</f>
        <v>135761.29999999999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469.01710000000003</v>
      </c>
      <c r="E47" s="152">
        <v>532.91419999999994</v>
      </c>
      <c r="G47" s="73"/>
    </row>
    <row r="48" spans="2:10">
      <c r="B48" s="197" t="s">
        <v>6</v>
      </c>
      <c r="C48" s="198" t="s">
        <v>41</v>
      </c>
      <c r="D48" s="371">
        <v>532.91419999999994</v>
      </c>
      <c r="E48" s="322">
        <v>563.06790000000001</v>
      </c>
      <c r="G48" s="20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95" t="s">
        <v>4</v>
      </c>
      <c r="C50" s="196" t="s">
        <v>40</v>
      </c>
      <c r="D50" s="371">
        <v>207.84</v>
      </c>
      <c r="E50" s="323">
        <v>199.5</v>
      </c>
      <c r="G50" s="183"/>
    </row>
    <row r="51" spans="2:7">
      <c r="B51" s="195" t="s">
        <v>6</v>
      </c>
      <c r="C51" s="196" t="s">
        <v>114</v>
      </c>
      <c r="D51" s="371">
        <v>124.32</v>
      </c>
      <c r="E51" s="324">
        <v>187.22</v>
      </c>
      <c r="G51" s="183"/>
    </row>
    <row r="52" spans="2:7">
      <c r="B52" s="195" t="s">
        <v>8</v>
      </c>
      <c r="C52" s="196" t="s">
        <v>115</v>
      </c>
      <c r="D52" s="371">
        <v>217.48</v>
      </c>
      <c r="E52" s="324">
        <v>241.43</v>
      </c>
    </row>
    <row r="53" spans="2:7" ht="14.25" customHeight="1" thickBot="1">
      <c r="B53" s="199" t="s">
        <v>9</v>
      </c>
      <c r="C53" s="200" t="s">
        <v>41</v>
      </c>
      <c r="D53" s="369">
        <v>199.5</v>
      </c>
      <c r="E53" s="325">
        <v>241.11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135761.29999999999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135761.29999999999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135761.29999999999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135761.29999999999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1796875" customWidth="1"/>
    <col min="9" max="9" width="13.26953125" customWidth="1"/>
    <col min="10" max="10" width="13.54296875" customWidth="1"/>
    <col min="11" max="11" width="13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37"/>
      <c r="C4" s="13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168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63718.090000000004</v>
      </c>
      <c r="E11" s="245">
        <f>SUM(E12:E14)</f>
        <v>68530.490000000005</v>
      </c>
    </row>
    <row r="12" spans="2:12">
      <c r="B12" s="184" t="s">
        <v>4</v>
      </c>
      <c r="C12" s="185" t="s">
        <v>5</v>
      </c>
      <c r="D12" s="300">
        <v>63718.090000000004</v>
      </c>
      <c r="E12" s="250">
        <v>68530.490000000005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63718.090000000004</v>
      </c>
      <c r="E21" s="151">
        <f>E11-E17</f>
        <v>68530.490000000005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  <c r="H25" s="242"/>
    </row>
    <row r="26" spans="2:11" ht="13">
      <c r="B26" s="98" t="s">
        <v>15</v>
      </c>
      <c r="C26" s="99" t="s">
        <v>16</v>
      </c>
      <c r="D26" s="359">
        <v>64221.560000000005</v>
      </c>
      <c r="E26" s="239">
        <f>D21</f>
        <v>63718.090000000004</v>
      </c>
      <c r="G26" s="76"/>
      <c r="H26" s="242"/>
    </row>
    <row r="27" spans="2:11" ht="13">
      <c r="B27" s="8" t="s">
        <v>17</v>
      </c>
      <c r="C27" s="9" t="s">
        <v>111</v>
      </c>
      <c r="D27" s="360">
        <v>-427.23999999999796</v>
      </c>
      <c r="E27" s="275">
        <v>7311.45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41379.769999999997</v>
      </c>
      <c r="E28" s="276">
        <v>20945.86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4662.0200000000004</v>
      </c>
      <c r="E29" s="277">
        <v>18182.21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36717.75</v>
      </c>
      <c r="E31" s="277">
        <v>2763.65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41807.009999999995</v>
      </c>
      <c r="E32" s="276">
        <v>13634.41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475.74</v>
      </c>
      <c r="E33" s="277">
        <v>6576.0700000000006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320.61</v>
      </c>
      <c r="E35" s="277">
        <v>265.01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520.24</v>
      </c>
      <c r="E37" s="277">
        <v>707.04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40490.42</v>
      </c>
      <c r="E39" s="278">
        <v>6086.29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-76.23</v>
      </c>
      <c r="E40" s="279">
        <v>-2499.0500000000002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63718.090000000004</v>
      </c>
      <c r="E41" s="151">
        <f>E26+E27+E40</f>
        <v>68530.490000000005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07"/>
      <c r="D43" s="407"/>
      <c r="E43" s="407"/>
      <c r="G43" s="73"/>
      <c r="H43" s="242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92">
        <v>687.81790000000001</v>
      </c>
      <c r="E47" s="152">
        <v>668.39499999999998</v>
      </c>
      <c r="G47" s="73"/>
      <c r="H47" s="162"/>
    </row>
    <row r="48" spans="2:10">
      <c r="B48" s="197" t="s">
        <v>6</v>
      </c>
      <c r="C48" s="198" t="s">
        <v>41</v>
      </c>
      <c r="D48" s="392">
        <v>668.39499999999998</v>
      </c>
      <c r="E48" s="326">
        <v>735.93740000000003</v>
      </c>
      <c r="G48" s="162"/>
    </row>
    <row r="49" spans="2:7" ht="13">
      <c r="B49" s="123" t="s">
        <v>23</v>
      </c>
      <c r="C49" s="127" t="s">
        <v>113</v>
      </c>
      <c r="D49" s="392"/>
      <c r="E49" s="308"/>
    </row>
    <row r="50" spans="2:7">
      <c r="B50" s="195" t="s">
        <v>4</v>
      </c>
      <c r="C50" s="196" t="s">
        <v>40</v>
      </c>
      <c r="D50" s="392">
        <v>93.37</v>
      </c>
      <c r="E50" s="308">
        <v>95.33</v>
      </c>
      <c r="G50" s="183"/>
    </row>
    <row r="51" spans="2:7">
      <c r="B51" s="195" t="s">
        <v>6</v>
      </c>
      <c r="C51" s="196" t="s">
        <v>114</v>
      </c>
      <c r="D51" s="392">
        <v>65.849999999999994</v>
      </c>
      <c r="E51" s="311">
        <v>90.98</v>
      </c>
      <c r="G51" s="183"/>
    </row>
    <row r="52" spans="2:7">
      <c r="B52" s="195" t="s">
        <v>8</v>
      </c>
      <c r="C52" s="196" t="s">
        <v>115</v>
      </c>
      <c r="D52" s="392">
        <v>96.4</v>
      </c>
      <c r="E52" s="311">
        <v>108.81</v>
      </c>
    </row>
    <row r="53" spans="2:7" ht="13.5" customHeight="1" thickBot="1">
      <c r="B53" s="199" t="s">
        <v>9</v>
      </c>
      <c r="C53" s="200" t="s">
        <v>41</v>
      </c>
      <c r="D53" s="369">
        <v>95.33</v>
      </c>
      <c r="E53" s="327">
        <v>93.12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68530.490000000005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68530.490000000005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68530.490000000005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68530.490000000005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5000000000000004" right="0.75" top="0.53" bottom="0.51" header="0.5" footer="0.5"/>
  <pageSetup paperSize="9" scale="70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7265625" customWidth="1"/>
    <col min="9" max="9" width="13.26953125" customWidth="1"/>
    <col min="10" max="10" width="13.54296875" customWidth="1"/>
    <col min="11" max="11" width="13.179687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37"/>
      <c r="C4" s="13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169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165887.34</v>
      </c>
      <c r="E11" s="245">
        <f>SUM(E12:E14)</f>
        <v>127174.57</v>
      </c>
    </row>
    <row r="12" spans="2:12">
      <c r="B12" s="109" t="s">
        <v>4</v>
      </c>
      <c r="C12" s="5" t="s">
        <v>5</v>
      </c>
      <c r="D12" s="300">
        <v>165887.34</v>
      </c>
      <c r="E12" s="250">
        <v>127174.57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165887.34</v>
      </c>
      <c r="E21" s="151">
        <f>E11-E17</f>
        <v>127174.57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38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130247.85</v>
      </c>
      <c r="E26" s="239">
        <f>D21</f>
        <v>165887.34</v>
      </c>
      <c r="G26" s="76"/>
      <c r="H26" s="242"/>
    </row>
    <row r="27" spans="2:11" ht="13">
      <c r="B27" s="8" t="s">
        <v>17</v>
      </c>
      <c r="C27" s="9" t="s">
        <v>111</v>
      </c>
      <c r="D27" s="360">
        <v>3478.070000000007</v>
      </c>
      <c r="E27" s="275">
        <v>-26870.03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355268.16</v>
      </c>
      <c r="E28" s="276">
        <v>21006.69</v>
      </c>
      <c r="F28" s="73"/>
      <c r="G28" s="73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29372.799999999999</v>
      </c>
      <c r="E29" s="277">
        <v>19256.91</v>
      </c>
      <c r="F29" s="73"/>
      <c r="G29" s="73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325895.36</v>
      </c>
      <c r="E31" s="277">
        <v>1749.78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351790.08999999997</v>
      </c>
      <c r="E32" s="276">
        <v>47876.72</v>
      </c>
      <c r="F32" s="73"/>
      <c r="G32" s="7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2602.29</v>
      </c>
      <c r="E33" s="277">
        <v>20474.469999999998</v>
      </c>
      <c r="F33" s="73"/>
      <c r="G33" s="73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1406.89</v>
      </c>
      <c r="E35" s="277">
        <v>1027.51</v>
      </c>
      <c r="F35" s="73"/>
      <c r="G35" s="73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2601</v>
      </c>
      <c r="E37" s="277">
        <v>1951.21</v>
      </c>
      <c r="F37" s="73"/>
      <c r="G37" s="73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345179.91</v>
      </c>
      <c r="E39" s="278">
        <v>24423.53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32161.42</v>
      </c>
      <c r="E40" s="279">
        <v>-11842.74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165887.34000000003</v>
      </c>
      <c r="E41" s="151">
        <f>E26+E27+E40</f>
        <v>127174.56999999999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38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843.30110000000002</v>
      </c>
      <c r="E47" s="152">
        <v>917.92459999999994</v>
      </c>
      <c r="G47" s="73"/>
      <c r="H47" s="162"/>
    </row>
    <row r="48" spans="2:10">
      <c r="B48" s="126" t="s">
        <v>6</v>
      </c>
      <c r="C48" s="21" t="s">
        <v>41</v>
      </c>
      <c r="D48" s="371">
        <v>917.92459999999994</v>
      </c>
      <c r="E48" s="322">
        <v>758.97929999999997</v>
      </c>
      <c r="G48" s="20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05" t="s">
        <v>4</v>
      </c>
      <c r="C50" s="14" t="s">
        <v>40</v>
      </c>
      <c r="D50" s="371">
        <v>154.44999999999999</v>
      </c>
      <c r="E50" s="323">
        <v>180.72</v>
      </c>
      <c r="G50" s="183"/>
    </row>
    <row r="51" spans="2:7">
      <c r="B51" s="105" t="s">
        <v>6</v>
      </c>
      <c r="C51" s="14" t="s">
        <v>114</v>
      </c>
      <c r="D51" s="371">
        <v>146.63</v>
      </c>
      <c r="E51" s="323">
        <v>161.49</v>
      </c>
      <c r="G51" s="183"/>
    </row>
    <row r="52" spans="2:7">
      <c r="B52" s="105" t="s">
        <v>8</v>
      </c>
      <c r="C52" s="14" t="s">
        <v>115</v>
      </c>
      <c r="D52" s="371">
        <v>200.16</v>
      </c>
      <c r="E52" s="324">
        <v>186.57</v>
      </c>
    </row>
    <row r="53" spans="2:7" ht="12.75" customHeight="1" thickBot="1">
      <c r="B53" s="106" t="s">
        <v>9</v>
      </c>
      <c r="C53" s="16" t="s">
        <v>41</v>
      </c>
      <c r="D53" s="369">
        <v>180.72</v>
      </c>
      <c r="E53" s="325">
        <v>167.56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127174.57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127174.57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5" ht="13">
      <c r="B74" s="133" t="s">
        <v>64</v>
      </c>
      <c r="C74" s="124" t="s">
        <v>66</v>
      </c>
      <c r="D74" s="125">
        <f>D58-D73</f>
        <v>127174.57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127174.57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3" right="0.75" top="0.53" bottom="0.67" header="0.5" footer="0.5"/>
  <pageSetup paperSize="9" scale="70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1.269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37"/>
      <c r="C4" s="13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223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72110.429999999993</v>
      </c>
      <c r="E11" s="245">
        <f>SUM(E12:E14)</f>
        <v>78615.820000000007</v>
      </c>
    </row>
    <row r="12" spans="2:12">
      <c r="B12" s="109" t="s">
        <v>4</v>
      </c>
      <c r="C12" s="5" t="s">
        <v>5</v>
      </c>
      <c r="D12" s="300">
        <v>72110.429999999993</v>
      </c>
      <c r="E12" s="250">
        <v>78615.820000000007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72110.429999999993</v>
      </c>
      <c r="E21" s="151">
        <f>E11-E17</f>
        <v>78615.820000000007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38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77206.5</v>
      </c>
      <c r="E26" s="239">
        <f>D21</f>
        <v>72110.429999999993</v>
      </c>
      <c r="G26" s="76"/>
    </row>
    <row r="27" spans="2:11" ht="13">
      <c r="B27" s="8" t="s">
        <v>17</v>
      </c>
      <c r="C27" s="9" t="s">
        <v>111</v>
      </c>
      <c r="D27" s="360">
        <v>-6173.52</v>
      </c>
      <c r="E27" s="275">
        <v>8707.44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9090.31</v>
      </c>
      <c r="E28" s="276">
        <v>10148.42</v>
      </c>
      <c r="F28" s="73"/>
      <c r="G28" s="73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5580.84</v>
      </c>
      <c r="E29" s="277">
        <v>5309.86</v>
      </c>
      <c r="F29" s="73"/>
      <c r="G29" s="73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3509.47</v>
      </c>
      <c r="E31" s="277">
        <v>4838.5600000000004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15263.83</v>
      </c>
      <c r="E32" s="276">
        <v>1440.98</v>
      </c>
      <c r="F32" s="73"/>
      <c r="G32" s="7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11192.67</v>
      </c>
      <c r="E33" s="277"/>
      <c r="F33" s="73"/>
      <c r="G33" s="73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442.33</v>
      </c>
      <c r="E35" s="277">
        <v>445.62</v>
      </c>
      <c r="F35" s="73"/>
      <c r="G35" s="73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648.47</v>
      </c>
      <c r="E37" s="277">
        <v>588.82000000000005</v>
      </c>
      <c r="F37" s="73"/>
      <c r="G37" s="73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2980.36</v>
      </c>
      <c r="E39" s="278">
        <v>406.54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1077.45</v>
      </c>
      <c r="E40" s="279">
        <v>-2202.0500000000002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72110.429999999993</v>
      </c>
      <c r="E41" s="151">
        <f>E26+E27+E40</f>
        <v>78615.819999999992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38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563.71569999999997</v>
      </c>
      <c r="E47" s="152">
        <v>518.85469999999998</v>
      </c>
      <c r="G47" s="73"/>
    </row>
    <row r="48" spans="2:10">
      <c r="B48" s="126" t="s">
        <v>6</v>
      </c>
      <c r="C48" s="21" t="s">
        <v>41</v>
      </c>
      <c r="D48" s="371">
        <v>518.85469999999998</v>
      </c>
      <c r="E48" s="322">
        <v>582.90070000000003</v>
      </c>
      <c r="G48" s="7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05" t="s">
        <v>4</v>
      </c>
      <c r="C50" s="14" t="s">
        <v>40</v>
      </c>
      <c r="D50" s="371">
        <v>136.96</v>
      </c>
      <c r="E50" s="323">
        <v>138.97999999999999</v>
      </c>
      <c r="G50" s="183"/>
    </row>
    <row r="51" spans="2:7">
      <c r="B51" s="105" t="s">
        <v>6</v>
      </c>
      <c r="C51" s="14" t="s">
        <v>114</v>
      </c>
      <c r="D51" s="371">
        <v>135.22</v>
      </c>
      <c r="E51" s="324">
        <v>134.72</v>
      </c>
      <c r="G51" s="183"/>
    </row>
    <row r="52" spans="2:7">
      <c r="B52" s="105" t="s">
        <v>8</v>
      </c>
      <c r="C52" s="14" t="s">
        <v>115</v>
      </c>
      <c r="D52" s="371">
        <v>139.09</v>
      </c>
      <c r="E52" s="324">
        <v>140.5</v>
      </c>
    </row>
    <row r="53" spans="2:7" ht="13.5" customHeight="1" thickBot="1">
      <c r="B53" s="106" t="s">
        <v>9</v>
      </c>
      <c r="C53" s="16" t="s">
        <v>41</v>
      </c>
      <c r="D53" s="369">
        <v>138.97999999999999</v>
      </c>
      <c r="E53" s="325">
        <v>134.87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78615.820000000007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78615.820000000007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78615.820000000007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78615.820000000007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6000000000000005" right="0.75" top="0.53" bottom="0.49" header="0.5" footer="0.5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5.7265625" customWidth="1"/>
    <col min="11" max="11" width="14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88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  <c r="G9" s="211"/>
    </row>
    <row r="10" spans="2:12" ht="13.5" thickBot="1">
      <c r="B10" s="89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48151397.920000002</v>
      </c>
      <c r="E11" s="245">
        <f>SUM(E12:E14)</f>
        <v>58137554.149999991</v>
      </c>
    </row>
    <row r="12" spans="2:12">
      <c r="B12" s="109" t="s">
        <v>4</v>
      </c>
      <c r="C12" s="208" t="s">
        <v>5</v>
      </c>
      <c r="D12" s="300">
        <f>48428623.4+123683.39-409651.33</f>
        <v>48142655.460000001</v>
      </c>
      <c r="E12" s="250">
        <f>58590135.73+43226.22-495810.95</f>
        <v>58137550.999999993</v>
      </c>
      <c r="H12" s="73"/>
    </row>
    <row r="13" spans="2:12">
      <c r="B13" s="109" t="s">
        <v>6</v>
      </c>
      <c r="C13" s="208" t="s">
        <v>7</v>
      </c>
      <c r="D13" s="301"/>
      <c r="E13" s="251">
        <v>3.15</v>
      </c>
      <c r="H13" s="73"/>
    </row>
    <row r="14" spans="2:12">
      <c r="B14" s="109" t="s">
        <v>8</v>
      </c>
      <c r="C14" s="208" t="s">
        <v>10</v>
      </c>
      <c r="D14" s="301">
        <f>D15</f>
        <v>8742.4599999999991</v>
      </c>
      <c r="E14" s="251">
        <f>E15</f>
        <v>0</v>
      </c>
      <c r="H14" s="73"/>
    </row>
    <row r="15" spans="2:12">
      <c r="B15" s="109" t="s">
        <v>106</v>
      </c>
      <c r="C15" s="208" t="s">
        <v>11</v>
      </c>
      <c r="D15" s="301">
        <v>8742.4599999999991</v>
      </c>
      <c r="E15" s="251"/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1" ht="13">
      <c r="B17" s="8" t="s">
        <v>13</v>
      </c>
      <c r="C17" s="210" t="s">
        <v>65</v>
      </c>
      <c r="D17" s="303">
        <f>D18</f>
        <v>90899.08</v>
      </c>
      <c r="E17" s="253">
        <f>E18</f>
        <v>114237.87</v>
      </c>
      <c r="H17" s="73"/>
    </row>
    <row r="18" spans="2:11">
      <c r="B18" s="109" t="s">
        <v>4</v>
      </c>
      <c r="C18" s="208" t="s">
        <v>11</v>
      </c>
      <c r="D18" s="302">
        <v>90899.08</v>
      </c>
      <c r="E18" s="252">
        <v>114237.87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48060498.840000004</v>
      </c>
      <c r="E21" s="151">
        <f>E11-E17</f>
        <v>58023316.279999994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6.5" customHeight="1" thickBot="1">
      <c r="B24" s="404" t="s">
        <v>105</v>
      </c>
      <c r="C24" s="418"/>
      <c r="D24" s="418"/>
      <c r="E24" s="418"/>
      <c r="K24" s="183"/>
    </row>
    <row r="25" spans="2:11" ht="13.5" thickBot="1">
      <c r="B25" s="89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40247423.240000002</v>
      </c>
      <c r="E26" s="239">
        <f>D21</f>
        <v>48060498.840000004</v>
      </c>
      <c r="G26" s="76"/>
    </row>
    <row r="27" spans="2:11" ht="13">
      <c r="B27" s="8" t="s">
        <v>17</v>
      </c>
      <c r="C27" s="9" t="s">
        <v>111</v>
      </c>
      <c r="D27" s="360">
        <v>-1205712.4899999993</v>
      </c>
      <c r="E27" s="275">
        <v>-342578.82</v>
      </c>
      <c r="F27" s="73"/>
      <c r="G27" s="156"/>
      <c r="H27" s="255"/>
      <c r="I27" s="255"/>
      <c r="J27" s="219"/>
    </row>
    <row r="28" spans="2:11" ht="13">
      <c r="B28" s="8" t="s">
        <v>18</v>
      </c>
      <c r="C28" s="9" t="s">
        <v>19</v>
      </c>
      <c r="D28" s="360">
        <v>6533740.6400000006</v>
      </c>
      <c r="E28" s="276">
        <v>7142109.8799999999</v>
      </c>
      <c r="F28" s="73"/>
      <c r="G28" s="156"/>
      <c r="H28" s="255"/>
      <c r="I28" s="255"/>
      <c r="J28" s="219"/>
    </row>
    <row r="29" spans="2:11">
      <c r="B29" s="107" t="s">
        <v>4</v>
      </c>
      <c r="C29" s="5" t="s">
        <v>20</v>
      </c>
      <c r="D29" s="361">
        <v>6119102.7600000007</v>
      </c>
      <c r="E29" s="277">
        <v>6509380.1399999997</v>
      </c>
      <c r="F29" s="73"/>
      <c r="G29" s="156"/>
      <c r="H29" s="255"/>
      <c r="I29" s="255"/>
      <c r="J29" s="219"/>
    </row>
    <row r="30" spans="2:11">
      <c r="B30" s="107" t="s">
        <v>6</v>
      </c>
      <c r="C30" s="5" t="s">
        <v>21</v>
      </c>
      <c r="D30" s="361"/>
      <c r="E30" s="277"/>
      <c r="F30" s="73"/>
      <c r="G30" s="156"/>
      <c r="H30" s="255"/>
      <c r="I30" s="255"/>
      <c r="J30" s="219"/>
    </row>
    <row r="31" spans="2:11">
      <c r="B31" s="107" t="s">
        <v>8</v>
      </c>
      <c r="C31" s="5" t="s">
        <v>22</v>
      </c>
      <c r="D31" s="361">
        <v>414637.88</v>
      </c>
      <c r="E31" s="277">
        <v>632729.74</v>
      </c>
      <c r="F31" s="73"/>
      <c r="G31" s="156"/>
      <c r="H31" s="255"/>
      <c r="I31" s="255"/>
      <c r="J31" s="219"/>
    </row>
    <row r="32" spans="2:11" ht="13">
      <c r="B32" s="95" t="s">
        <v>23</v>
      </c>
      <c r="C32" s="10" t="s">
        <v>24</v>
      </c>
      <c r="D32" s="360">
        <v>7739453.1299999999</v>
      </c>
      <c r="E32" s="276">
        <v>7484688.7000000002</v>
      </c>
      <c r="F32" s="73"/>
      <c r="G32" s="156"/>
      <c r="H32" s="255"/>
      <c r="I32" s="255"/>
      <c r="J32" s="219"/>
    </row>
    <row r="33" spans="2:10">
      <c r="B33" s="107" t="s">
        <v>4</v>
      </c>
      <c r="C33" s="5" t="s">
        <v>25</v>
      </c>
      <c r="D33" s="361">
        <v>4913474.42</v>
      </c>
      <c r="E33" s="277">
        <v>5039288.4400000004</v>
      </c>
      <c r="F33" s="73"/>
      <c r="G33" s="156"/>
      <c r="H33" s="255"/>
      <c r="I33" s="255"/>
      <c r="J33" s="219"/>
    </row>
    <row r="34" spans="2:10">
      <c r="B34" s="107" t="s">
        <v>6</v>
      </c>
      <c r="C34" s="5" t="s">
        <v>26</v>
      </c>
      <c r="D34" s="361"/>
      <c r="E34" s="277"/>
      <c r="F34" s="73"/>
      <c r="G34" s="156"/>
      <c r="H34" s="255"/>
      <c r="I34" s="255"/>
      <c r="J34" s="219"/>
    </row>
    <row r="35" spans="2:10">
      <c r="B35" s="107" t="s">
        <v>8</v>
      </c>
      <c r="C35" s="5" t="s">
        <v>27</v>
      </c>
      <c r="D35" s="361">
        <v>1309503.25</v>
      </c>
      <c r="E35" s="277">
        <v>1288125.8500000001</v>
      </c>
      <c r="F35" s="73"/>
      <c r="G35" s="156"/>
      <c r="H35" s="255"/>
      <c r="I35" s="255"/>
      <c r="J35" s="219"/>
    </row>
    <row r="36" spans="2:10">
      <c r="B36" s="107" t="s">
        <v>9</v>
      </c>
      <c r="C36" s="5" t="s">
        <v>28</v>
      </c>
      <c r="D36" s="361"/>
      <c r="E36" s="277"/>
      <c r="F36" s="73"/>
      <c r="G36" s="156"/>
      <c r="H36" s="255"/>
      <c r="I36" s="255"/>
      <c r="J36" s="219"/>
    </row>
    <row r="37" spans="2:10" ht="25">
      <c r="B37" s="107" t="s">
        <v>29</v>
      </c>
      <c r="C37" s="5" t="s">
        <v>30</v>
      </c>
      <c r="D37" s="361"/>
      <c r="E37" s="277"/>
      <c r="F37" s="73"/>
      <c r="G37" s="156"/>
      <c r="H37" s="255"/>
      <c r="I37" s="255"/>
      <c r="J37" s="219"/>
    </row>
    <row r="38" spans="2:10">
      <c r="B38" s="107" t="s">
        <v>31</v>
      </c>
      <c r="C38" s="5" t="s">
        <v>32</v>
      </c>
      <c r="D38" s="361"/>
      <c r="E38" s="277"/>
      <c r="F38" s="73"/>
      <c r="G38" s="156"/>
      <c r="H38" s="255"/>
      <c r="I38" s="255"/>
      <c r="J38" s="219"/>
    </row>
    <row r="39" spans="2:10">
      <c r="B39" s="108" t="s">
        <v>33</v>
      </c>
      <c r="C39" s="11" t="s">
        <v>34</v>
      </c>
      <c r="D39" s="362">
        <v>1516475.46</v>
      </c>
      <c r="E39" s="278">
        <v>1157274.4099999999</v>
      </c>
      <c r="F39" s="73"/>
      <c r="G39" s="156"/>
      <c r="H39" s="255"/>
      <c r="I39" s="255"/>
      <c r="J39" s="219"/>
    </row>
    <row r="40" spans="2:10" ht="13.5" thickBot="1">
      <c r="B40" s="100" t="s">
        <v>35</v>
      </c>
      <c r="C40" s="101" t="s">
        <v>36</v>
      </c>
      <c r="D40" s="363">
        <v>9018788.0899999999</v>
      </c>
      <c r="E40" s="279">
        <v>10305396.26</v>
      </c>
      <c r="G40" s="76"/>
    </row>
    <row r="41" spans="2:10" ht="13.5" thickBot="1">
      <c r="B41" s="102" t="s">
        <v>37</v>
      </c>
      <c r="C41" s="103" t="s">
        <v>38</v>
      </c>
      <c r="D41" s="364">
        <v>48060498.840000004</v>
      </c>
      <c r="E41" s="151">
        <f>E26+E27+E40</f>
        <v>58023316.280000001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5.7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4185254.5138000003</v>
      </c>
      <c r="E47" s="309">
        <v>4076313.5721999998</v>
      </c>
      <c r="G47" s="231"/>
    </row>
    <row r="48" spans="2:10">
      <c r="B48" s="197" t="s">
        <v>6</v>
      </c>
      <c r="C48" s="198" t="s">
        <v>41</v>
      </c>
      <c r="D48" s="371">
        <v>4076313.5721999998</v>
      </c>
      <c r="E48" s="380">
        <v>4058935.7831000001</v>
      </c>
      <c r="G48" s="265"/>
      <c r="J48" s="162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9.6165000000000003</v>
      </c>
      <c r="E50" s="309">
        <v>11.7902</v>
      </c>
      <c r="G50" s="220"/>
    </row>
    <row r="51" spans="2:7">
      <c r="B51" s="195" t="s">
        <v>6</v>
      </c>
      <c r="C51" s="196" t="s">
        <v>114</v>
      </c>
      <c r="D51" s="371">
        <v>6.5929000000000002</v>
      </c>
      <c r="E51" s="77">
        <v>11.7902</v>
      </c>
      <c r="G51" s="183"/>
    </row>
    <row r="52" spans="2:7" ht="12.75" customHeight="1">
      <c r="B52" s="195" t="s">
        <v>8</v>
      </c>
      <c r="C52" s="196" t="s">
        <v>115</v>
      </c>
      <c r="D52" s="371">
        <v>11.863899999999999</v>
      </c>
      <c r="E52" s="77">
        <v>15.2463</v>
      </c>
    </row>
    <row r="53" spans="2:7" ht="13" thickBot="1">
      <c r="B53" s="199" t="s">
        <v>9</v>
      </c>
      <c r="C53" s="200" t="s">
        <v>41</v>
      </c>
      <c r="D53" s="369">
        <v>11.7902</v>
      </c>
      <c r="E53" s="280">
        <v>14.295199999999999</v>
      </c>
    </row>
    <row r="54" spans="2:7">
      <c r="B54" s="201"/>
      <c r="C54" s="202"/>
      <c r="D54" s="114"/>
      <c r="E54" s="114"/>
    </row>
    <row r="55" spans="2:7" ht="13.5">
      <c r="B55" s="406" t="s">
        <v>62</v>
      </c>
      <c r="C55" s="407"/>
      <c r="D55" s="407"/>
      <c r="E55" s="407"/>
    </row>
    <row r="56" spans="2:7" ht="18" customHeight="1" thickBot="1">
      <c r="B56" s="404" t="s">
        <v>116</v>
      </c>
      <c r="C56" s="408"/>
      <c r="D56" s="408"/>
      <c r="E56" s="408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58137550.999999993</v>
      </c>
      <c r="E58" s="30">
        <f>D58/E21</f>
        <v>1.0019687726818085</v>
      </c>
    </row>
    <row r="59" spans="2:7" ht="25">
      <c r="B59" s="313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314" t="s">
        <v>6</v>
      </c>
      <c r="C60" s="196" t="s">
        <v>45</v>
      </c>
      <c r="D60" s="80">
        <v>0</v>
      </c>
      <c r="E60" s="81">
        <v>0</v>
      </c>
    </row>
    <row r="61" spans="2:7">
      <c r="B61" s="314" t="s">
        <v>8</v>
      </c>
      <c r="C61" s="196" t="s">
        <v>46</v>
      </c>
      <c r="D61" s="80">
        <v>0</v>
      </c>
      <c r="E61" s="81">
        <v>0</v>
      </c>
    </row>
    <row r="62" spans="2:7">
      <c r="B62" s="314" t="s">
        <v>9</v>
      </c>
      <c r="C62" s="196" t="s">
        <v>47</v>
      </c>
      <c r="D62" s="80">
        <v>0</v>
      </c>
      <c r="E62" s="81">
        <v>0</v>
      </c>
    </row>
    <row r="63" spans="2:7">
      <c r="B63" s="314" t="s">
        <v>29</v>
      </c>
      <c r="C63" s="196" t="s">
        <v>48</v>
      </c>
      <c r="D63" s="80">
        <v>0</v>
      </c>
      <c r="E63" s="81">
        <v>0</v>
      </c>
    </row>
    <row r="64" spans="2:7">
      <c r="B64" s="313" t="s">
        <v>31</v>
      </c>
      <c r="C64" s="198" t="s">
        <v>49</v>
      </c>
      <c r="D64" s="377">
        <f>58590135.73-495810.95</f>
        <v>58094324.779999994</v>
      </c>
      <c r="E64" s="83">
        <f>D64/E21</f>
        <v>1.0012237925122607</v>
      </c>
    </row>
    <row r="65" spans="2:7">
      <c r="B65" s="313" t="s">
        <v>33</v>
      </c>
      <c r="C65" s="198" t="s">
        <v>118</v>
      </c>
      <c r="D65" s="82">
        <v>0</v>
      </c>
      <c r="E65" s="83">
        <v>0</v>
      </c>
      <c r="G65" s="73"/>
    </row>
    <row r="66" spans="2:7">
      <c r="B66" s="313" t="s">
        <v>50</v>
      </c>
      <c r="C66" s="198" t="s">
        <v>51</v>
      </c>
      <c r="D66" s="82">
        <v>0</v>
      </c>
      <c r="E66" s="83">
        <v>0</v>
      </c>
    </row>
    <row r="67" spans="2:7">
      <c r="B67" s="314" t="s">
        <v>52</v>
      </c>
      <c r="C67" s="196" t="s">
        <v>53</v>
      </c>
      <c r="D67" s="80">
        <v>0</v>
      </c>
      <c r="E67" s="81">
        <v>0</v>
      </c>
    </row>
    <row r="68" spans="2:7">
      <c r="B68" s="314" t="s">
        <v>54</v>
      </c>
      <c r="C68" s="196" t="s">
        <v>55</v>
      </c>
      <c r="D68" s="80">
        <v>0</v>
      </c>
      <c r="E68" s="81">
        <v>0</v>
      </c>
    </row>
    <row r="69" spans="2:7">
      <c r="B69" s="314" t="s">
        <v>56</v>
      </c>
      <c r="C69" s="196" t="s">
        <v>57</v>
      </c>
      <c r="D69" s="370">
        <v>43226.22</v>
      </c>
      <c r="E69" s="81">
        <f>D69/E21</f>
        <v>7.4498016954779964E-4</v>
      </c>
    </row>
    <row r="70" spans="2:7">
      <c r="B70" s="315" t="s">
        <v>58</v>
      </c>
      <c r="C70" s="240" t="s">
        <v>59</v>
      </c>
      <c r="D70" s="117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3.15</v>
      </c>
      <c r="E71" s="66">
        <v>0</v>
      </c>
    </row>
    <row r="72" spans="2:7" ht="13">
      <c r="B72" s="119" t="s">
        <v>60</v>
      </c>
      <c r="C72" s="120" t="s">
        <v>63</v>
      </c>
      <c r="D72" s="121">
        <f>E14</f>
        <v>0</v>
      </c>
      <c r="E72" s="122">
        <f>D72/E21</f>
        <v>0</v>
      </c>
    </row>
    <row r="73" spans="2:7" ht="13">
      <c r="B73" s="22" t="s">
        <v>62</v>
      </c>
      <c r="C73" s="23" t="s">
        <v>65</v>
      </c>
      <c r="D73" s="24">
        <f>E17</f>
        <v>114237.87</v>
      </c>
      <c r="E73" s="25">
        <f>D73/E21</f>
        <v>1.9688269703291078E-3</v>
      </c>
    </row>
    <row r="74" spans="2:7" ht="13">
      <c r="B74" s="123" t="s">
        <v>64</v>
      </c>
      <c r="C74" s="124" t="s">
        <v>66</v>
      </c>
      <c r="D74" s="125">
        <f>D58+D71+D72-D73</f>
        <v>58023316.279999994</v>
      </c>
      <c r="E74" s="66">
        <f>E58+E72-E73</f>
        <v>0.99999994571147943</v>
      </c>
    </row>
    <row r="75" spans="2:7">
      <c r="B75" s="314" t="s">
        <v>4</v>
      </c>
      <c r="C75" s="196" t="s">
        <v>67</v>
      </c>
      <c r="D75" s="80">
        <f>D74</f>
        <v>58023316.279999994</v>
      </c>
      <c r="E75" s="81">
        <f>E74</f>
        <v>0.99999994571147943</v>
      </c>
    </row>
    <row r="76" spans="2:7">
      <c r="B76" s="314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316" t="s">
        <v>8</v>
      </c>
      <c r="C77" s="200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1" right="0.75" top="0.51" bottom="0.36" header="0.5" footer="0.5"/>
  <pageSetup paperSize="9" scale="70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1796875" customWidth="1"/>
    <col min="9" max="9" width="13.26953125" customWidth="1"/>
    <col min="10" max="10" width="13.54296875" customWidth="1"/>
    <col min="11" max="11" width="12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37"/>
      <c r="C4" s="13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170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244056.62000000002</v>
      </c>
      <c r="E11" s="245">
        <f>SUM(E12:E14)</f>
        <v>219714.18</v>
      </c>
    </row>
    <row r="12" spans="2:12">
      <c r="B12" s="109" t="s">
        <v>4</v>
      </c>
      <c r="C12" s="5" t="s">
        <v>5</v>
      </c>
      <c r="D12" s="300">
        <v>244056.62000000002</v>
      </c>
      <c r="E12" s="250">
        <v>219714.18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244056.62000000002</v>
      </c>
      <c r="E21" s="151">
        <f>E11-E17</f>
        <v>219714.18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38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177841.15</v>
      </c>
      <c r="E26" s="239">
        <f>D21</f>
        <v>244056.62000000002</v>
      </c>
      <c r="G26" s="76"/>
    </row>
    <row r="27" spans="2:11" ht="13">
      <c r="B27" s="8" t="s">
        <v>17</v>
      </c>
      <c r="C27" s="9" t="s">
        <v>111</v>
      </c>
      <c r="D27" s="360">
        <v>33965.73000000001</v>
      </c>
      <c r="E27" s="275">
        <v>-43470.02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68835.070000000007</v>
      </c>
      <c r="E28" s="276">
        <v>73364.03</v>
      </c>
      <c r="F28" s="73"/>
      <c r="G28" s="73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27143.42</v>
      </c>
      <c r="E29" s="277">
        <v>34337.25</v>
      </c>
      <c r="F29" s="73"/>
      <c r="G29" s="73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07" t="s">
        <v>8</v>
      </c>
      <c r="C31" s="5" t="s">
        <v>22</v>
      </c>
      <c r="D31" s="361">
        <v>41691.65</v>
      </c>
      <c r="E31" s="277">
        <v>39026.78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34869.339999999997</v>
      </c>
      <c r="E32" s="276">
        <v>116834.05</v>
      </c>
      <c r="F32" s="73"/>
      <c r="G32" s="7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14793.76</v>
      </c>
      <c r="E33" s="277">
        <v>56777.090000000004</v>
      </c>
      <c r="F33" s="73"/>
      <c r="G33" s="73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07" t="s">
        <v>8</v>
      </c>
      <c r="C35" s="5" t="s">
        <v>27</v>
      </c>
      <c r="D35" s="361">
        <v>1759.1</v>
      </c>
      <c r="E35" s="277">
        <v>1967.82</v>
      </c>
      <c r="F35" s="73"/>
      <c r="G35" s="73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07" t="s">
        <v>29</v>
      </c>
      <c r="C37" s="5" t="s">
        <v>30</v>
      </c>
      <c r="D37" s="361">
        <v>1577.66</v>
      </c>
      <c r="E37" s="277">
        <v>2418.7200000000003</v>
      </c>
      <c r="F37" s="73"/>
      <c r="G37" s="73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08" t="s">
        <v>33</v>
      </c>
      <c r="C39" s="11" t="s">
        <v>34</v>
      </c>
      <c r="D39" s="362">
        <v>16738.82</v>
      </c>
      <c r="E39" s="278">
        <v>55670.42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32249.74</v>
      </c>
      <c r="E40" s="279">
        <v>19127.580000000002</v>
      </c>
      <c r="G40" s="76"/>
    </row>
    <row r="41" spans="2:10" ht="13.5" thickBot="1">
      <c r="B41" s="102" t="s">
        <v>37</v>
      </c>
      <c r="C41" s="103" t="s">
        <v>38</v>
      </c>
      <c r="D41" s="364">
        <v>244056.62</v>
      </c>
      <c r="E41" s="151">
        <f>E26+E27+E40</f>
        <v>219714.18000000005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38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726.7127999999999</v>
      </c>
      <c r="E47" s="152">
        <v>855.52849999999989</v>
      </c>
      <c r="G47" s="73"/>
      <c r="H47" s="162"/>
    </row>
    <row r="48" spans="2:10">
      <c r="B48" s="126" t="s">
        <v>6</v>
      </c>
      <c r="C48" s="21" t="s">
        <v>41</v>
      </c>
      <c r="D48" s="371">
        <v>855.52849999999989</v>
      </c>
      <c r="E48" s="322">
        <v>718.02020000000005</v>
      </c>
      <c r="G48" s="20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05" t="s">
        <v>4</v>
      </c>
      <c r="C50" s="14" t="s">
        <v>40</v>
      </c>
      <c r="D50" s="371">
        <v>244.72</v>
      </c>
      <c r="E50" s="323">
        <v>285.27</v>
      </c>
      <c r="G50" s="183"/>
    </row>
    <row r="51" spans="2:7">
      <c r="B51" s="105" t="s">
        <v>6</v>
      </c>
      <c r="C51" s="14" t="s">
        <v>114</v>
      </c>
      <c r="D51" s="371">
        <v>199.11</v>
      </c>
      <c r="E51" s="324">
        <v>285.27</v>
      </c>
      <c r="G51" s="183"/>
    </row>
    <row r="52" spans="2:7">
      <c r="B52" s="105" t="s">
        <v>8</v>
      </c>
      <c r="C52" s="14" t="s">
        <v>115</v>
      </c>
      <c r="D52" s="371">
        <v>285.27</v>
      </c>
      <c r="E52" s="324">
        <v>333.01</v>
      </c>
    </row>
    <row r="53" spans="2:7" ht="12.75" customHeight="1" thickBot="1">
      <c r="B53" s="106" t="s">
        <v>9</v>
      </c>
      <c r="C53" s="16" t="s">
        <v>41</v>
      </c>
      <c r="D53" s="369">
        <v>285.27</v>
      </c>
      <c r="E53" s="325">
        <v>306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219714.18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219714.18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219714.18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219714.18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14">
      <c r="B5" s="402" t="s">
        <v>1</v>
      </c>
      <c r="C5" s="402"/>
      <c r="D5" s="402"/>
      <c r="E5" s="402"/>
    </row>
    <row r="6" spans="2:12" ht="14">
      <c r="B6" s="403" t="s">
        <v>256</v>
      </c>
      <c r="C6" s="403"/>
      <c r="D6" s="403"/>
      <c r="E6" s="403"/>
    </row>
    <row r="7" spans="2:12" ht="14">
      <c r="B7" s="174"/>
      <c r="C7" s="174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75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9371.82</v>
      </c>
      <c r="E11" s="245">
        <f>SUM(E12:E14)</f>
        <v>8745.86</v>
      </c>
    </row>
    <row r="12" spans="2:12">
      <c r="B12" s="184" t="s">
        <v>4</v>
      </c>
      <c r="C12" s="185" t="s">
        <v>5</v>
      </c>
      <c r="D12" s="300">
        <v>9371.82</v>
      </c>
      <c r="E12" s="250">
        <v>8745.86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9371.82</v>
      </c>
      <c r="E21" s="151">
        <f>E11-E17</f>
        <v>8745.86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9889.2000000000007</v>
      </c>
      <c r="E26" s="239">
        <f>D21</f>
        <v>9371.82</v>
      </c>
      <c r="G26" s="76"/>
    </row>
    <row r="27" spans="2:11" ht="13">
      <c r="B27" s="8" t="s">
        <v>17</v>
      </c>
      <c r="C27" s="9" t="s">
        <v>111</v>
      </c>
      <c r="D27" s="360">
        <v>-231.68</v>
      </c>
      <c r="E27" s="275">
        <v>-214.43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231.68</v>
      </c>
      <c r="E32" s="276">
        <v>214.43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73.209999999999994</v>
      </c>
      <c r="E35" s="277">
        <v>56.38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158.47</v>
      </c>
      <c r="E37" s="277">
        <v>158.05000000000001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-285.7</v>
      </c>
      <c r="E40" s="279">
        <v>-411.53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9371.82</v>
      </c>
      <c r="E41" s="151">
        <f>E26+E27+E40</f>
        <v>8745.8599999999988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93.550299999999993</v>
      </c>
      <c r="E47" s="152">
        <v>91.245400000000004</v>
      </c>
      <c r="G47" s="73"/>
    </row>
    <row r="48" spans="2:10">
      <c r="B48" s="197" t="s">
        <v>6</v>
      </c>
      <c r="C48" s="198" t="s">
        <v>41</v>
      </c>
      <c r="D48" s="371">
        <v>91.245400000000004</v>
      </c>
      <c r="E48" s="322">
        <v>89.152500000000003</v>
      </c>
      <c r="G48" s="7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95" t="s">
        <v>4</v>
      </c>
      <c r="C50" s="196" t="s">
        <v>40</v>
      </c>
      <c r="D50" s="371">
        <v>105.71</v>
      </c>
      <c r="E50" s="323">
        <v>102.71</v>
      </c>
      <c r="G50" s="183"/>
    </row>
    <row r="51" spans="2:7">
      <c r="B51" s="195" t="s">
        <v>6</v>
      </c>
      <c r="C51" s="196" t="s">
        <v>114</v>
      </c>
      <c r="D51" s="371">
        <v>94.43</v>
      </c>
      <c r="E51" s="324">
        <v>104.54</v>
      </c>
      <c r="G51" s="183"/>
    </row>
    <row r="52" spans="2:7">
      <c r="B52" s="195" t="s">
        <v>8</v>
      </c>
      <c r="C52" s="196" t="s">
        <v>115</v>
      </c>
      <c r="D52" s="371">
        <v>106.38</v>
      </c>
      <c r="E52" s="324">
        <v>103.63</v>
      </c>
    </row>
    <row r="53" spans="2:7" ht="13" thickBot="1">
      <c r="B53" s="199" t="s">
        <v>9</v>
      </c>
      <c r="C53" s="200" t="s">
        <v>41</v>
      </c>
      <c r="D53" s="369">
        <v>102.71</v>
      </c>
      <c r="E53" s="325">
        <v>98.1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8745.86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8745.86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8745.86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8745.86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  <pageSetup paperSize="9" orientation="portrait" horizontalDpi="90" verticalDpi="9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14">
      <c r="B5" s="402" t="s">
        <v>1</v>
      </c>
      <c r="C5" s="402"/>
      <c r="D5" s="402"/>
      <c r="E5" s="402"/>
    </row>
    <row r="6" spans="2:12" ht="14">
      <c r="B6" s="403" t="s">
        <v>224</v>
      </c>
      <c r="C6" s="403"/>
      <c r="D6" s="403"/>
      <c r="E6" s="403"/>
    </row>
    <row r="7" spans="2:12" ht="14">
      <c r="B7" s="158"/>
      <c r="C7" s="158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59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45751.199999999997</v>
      </c>
      <c r="E11" s="245">
        <f>SUM(E12:E14)</f>
        <v>44427.360000000001</v>
      </c>
    </row>
    <row r="12" spans="2:12">
      <c r="B12" s="184" t="s">
        <v>4</v>
      </c>
      <c r="C12" s="185" t="s">
        <v>5</v>
      </c>
      <c r="D12" s="300">
        <v>45751.199999999997</v>
      </c>
      <c r="E12" s="250">
        <v>44427.360000000001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45751.199999999997</v>
      </c>
      <c r="E21" s="151">
        <f>E11-E17</f>
        <v>44427.360000000001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  <c r="H25" s="242"/>
    </row>
    <row r="26" spans="2:11" ht="13">
      <c r="B26" s="98" t="s">
        <v>15</v>
      </c>
      <c r="C26" s="99" t="s">
        <v>16</v>
      </c>
      <c r="D26" s="359">
        <v>93087.12</v>
      </c>
      <c r="E26" s="239">
        <f>D21</f>
        <v>45751.199999999997</v>
      </c>
      <c r="G26" s="76"/>
      <c r="H26" s="242"/>
    </row>
    <row r="27" spans="2:11" ht="13">
      <c r="B27" s="8" t="s">
        <v>17</v>
      </c>
      <c r="C27" s="9" t="s">
        <v>111</v>
      </c>
      <c r="D27" s="360">
        <v>-49100.29</v>
      </c>
      <c r="E27" s="275">
        <v>-754.19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>
        <v>0.06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>
        <v>0.06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49100.29</v>
      </c>
      <c r="E32" s="276">
        <v>754.25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47306.83</v>
      </c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332.4</v>
      </c>
      <c r="E35" s="277">
        <v>238.77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1461.06</v>
      </c>
      <c r="E37" s="277">
        <v>515.48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1764.37</v>
      </c>
      <c r="E40" s="279">
        <v>-569.65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45751.199999999997</v>
      </c>
      <c r="E41" s="151">
        <f>E26+E27+E40</f>
        <v>44427.359999999993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358.0274</v>
      </c>
      <c r="E47" s="152">
        <v>172.4768</v>
      </c>
      <c r="G47" s="73"/>
    </row>
    <row r="48" spans="2:10">
      <c r="B48" s="197" t="s">
        <v>6</v>
      </c>
      <c r="C48" s="198" t="s">
        <v>41</v>
      </c>
      <c r="D48" s="371">
        <v>172.4768</v>
      </c>
      <c r="E48" s="322">
        <v>169.6413</v>
      </c>
      <c r="G48" s="73"/>
    </row>
    <row r="49" spans="2:7" ht="13">
      <c r="B49" s="123" t="s">
        <v>23</v>
      </c>
      <c r="C49" s="127" t="s">
        <v>113</v>
      </c>
      <c r="D49" s="373"/>
      <c r="E49" s="323"/>
    </row>
    <row r="50" spans="2:7">
      <c r="B50" s="195" t="s">
        <v>4</v>
      </c>
      <c r="C50" s="196" t="s">
        <v>40</v>
      </c>
      <c r="D50" s="371">
        <v>260</v>
      </c>
      <c r="E50" s="323">
        <v>265.26</v>
      </c>
      <c r="G50" s="183"/>
    </row>
    <row r="51" spans="2:7">
      <c r="B51" s="195" t="s">
        <v>6</v>
      </c>
      <c r="C51" s="196" t="s">
        <v>114</v>
      </c>
      <c r="D51" s="371">
        <v>254.9</v>
      </c>
      <c r="E51" s="324">
        <v>261.61</v>
      </c>
      <c r="G51" s="183"/>
    </row>
    <row r="52" spans="2:7">
      <c r="B52" s="195" t="s">
        <v>8</v>
      </c>
      <c r="C52" s="196" t="s">
        <v>115</v>
      </c>
      <c r="D52" s="371">
        <v>265.54000000000002</v>
      </c>
      <c r="E52" s="324">
        <v>268.04000000000002</v>
      </c>
    </row>
    <row r="53" spans="2:7" ht="13" thickBot="1">
      <c r="B53" s="199" t="s">
        <v>9</v>
      </c>
      <c r="C53" s="200" t="s">
        <v>41</v>
      </c>
      <c r="D53" s="369">
        <v>265.26</v>
      </c>
      <c r="E53" s="325">
        <v>261.89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44427.360000000001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44427.360000000001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44427.360000000001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44427.360000000001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1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9.7265625" customWidth="1"/>
    <col min="12" max="12" width="12.453125" bestFit="1" customWidth="1"/>
  </cols>
  <sheetData>
    <row r="1" spans="2:12" customFormat="1">
      <c r="B1" s="1"/>
      <c r="C1" s="1"/>
      <c r="D1" s="2"/>
      <c r="E1" s="2"/>
    </row>
    <row r="2" spans="2:12" customFormat="1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customFormat="1" ht="15.5">
      <c r="B3" s="401" t="s">
        <v>257</v>
      </c>
      <c r="C3" s="401"/>
      <c r="D3" s="401"/>
      <c r="E3" s="401"/>
      <c r="H3" s="164"/>
      <c r="I3" s="164"/>
      <c r="J3" s="166"/>
    </row>
    <row r="4" spans="2:12" customFormat="1" ht="14">
      <c r="B4" s="150"/>
      <c r="C4" s="150"/>
      <c r="D4" s="150"/>
      <c r="E4" s="150"/>
      <c r="H4" s="163"/>
      <c r="I4" s="163"/>
      <c r="J4" s="166"/>
    </row>
    <row r="5" spans="2:12" customFormat="1" ht="14">
      <c r="B5" s="402" t="s">
        <v>1</v>
      </c>
      <c r="C5" s="402"/>
      <c r="D5" s="402"/>
      <c r="E5" s="402"/>
    </row>
    <row r="6" spans="2:12" customFormat="1" ht="14.25" customHeight="1">
      <c r="B6" s="403" t="s">
        <v>171</v>
      </c>
      <c r="C6" s="403"/>
      <c r="D6" s="403"/>
      <c r="E6" s="403"/>
    </row>
    <row r="7" spans="2:12" customFormat="1" ht="14">
      <c r="B7" s="158"/>
      <c r="C7" s="158"/>
      <c r="D7" s="336"/>
      <c r="E7" s="336"/>
    </row>
    <row r="8" spans="2:12" customFormat="1" ht="13.5">
      <c r="B8" s="405" t="s">
        <v>18</v>
      </c>
      <c r="C8" s="416"/>
      <c r="D8" s="416"/>
      <c r="E8" s="416"/>
    </row>
    <row r="9" spans="2:12" customFormat="1" ht="16" thickBot="1">
      <c r="B9" s="404" t="s">
        <v>103</v>
      </c>
      <c r="C9" s="404"/>
      <c r="D9" s="404"/>
      <c r="E9" s="404"/>
    </row>
    <row r="10" spans="2:12" customFormat="1" ht="13.5" thickBot="1">
      <c r="B10" s="159"/>
      <c r="C10" s="78" t="s">
        <v>2</v>
      </c>
      <c r="D10" s="291" t="s">
        <v>246</v>
      </c>
      <c r="E10" s="258" t="s">
        <v>262</v>
      </c>
    </row>
    <row r="11" spans="2:12" customFormat="1" ht="13">
      <c r="B11" s="93" t="s">
        <v>3</v>
      </c>
      <c r="C11" s="131" t="s">
        <v>109</v>
      </c>
      <c r="D11" s="299">
        <v>40895.61</v>
      </c>
      <c r="E11" s="245">
        <f>SUM(E12:E14)</f>
        <v>38533.43</v>
      </c>
    </row>
    <row r="12" spans="2:12" customFormat="1">
      <c r="B12" s="184" t="s">
        <v>4</v>
      </c>
      <c r="C12" s="185" t="s">
        <v>5</v>
      </c>
      <c r="D12" s="300">
        <v>40895.61</v>
      </c>
      <c r="E12" s="250">
        <v>38533.43</v>
      </c>
    </row>
    <row r="13" spans="2:12" customFormat="1">
      <c r="B13" s="184" t="s">
        <v>6</v>
      </c>
      <c r="C13" s="186" t="s">
        <v>7</v>
      </c>
      <c r="D13" s="301"/>
      <c r="E13" s="251"/>
    </row>
    <row r="14" spans="2:12" customFormat="1">
      <c r="B14" s="184" t="s">
        <v>8</v>
      </c>
      <c r="C14" s="186" t="s">
        <v>10</v>
      </c>
      <c r="D14" s="301"/>
      <c r="E14" s="251"/>
      <c r="G14" s="67"/>
    </row>
    <row r="15" spans="2:12" customFormat="1">
      <c r="B15" s="184" t="s">
        <v>106</v>
      </c>
      <c r="C15" s="186" t="s">
        <v>11</v>
      </c>
      <c r="D15" s="301"/>
      <c r="E15" s="251"/>
    </row>
    <row r="16" spans="2:12" customFormat="1">
      <c r="B16" s="187" t="s">
        <v>107</v>
      </c>
      <c r="C16" s="188" t="s">
        <v>12</v>
      </c>
      <c r="D16" s="302"/>
      <c r="E16" s="252"/>
    </row>
    <row r="17" spans="2:11" customFormat="1" ht="13">
      <c r="B17" s="8" t="s">
        <v>13</v>
      </c>
      <c r="C17" s="10" t="s">
        <v>65</v>
      </c>
      <c r="D17" s="303"/>
      <c r="E17" s="253"/>
    </row>
    <row r="18" spans="2:11" customFormat="1">
      <c r="B18" s="184" t="s">
        <v>4</v>
      </c>
      <c r="C18" s="185" t="s">
        <v>11</v>
      </c>
      <c r="D18" s="302"/>
      <c r="E18" s="252"/>
    </row>
    <row r="19" spans="2:11" customFormat="1" ht="15" customHeight="1">
      <c r="B19" s="184" t="s">
        <v>6</v>
      </c>
      <c r="C19" s="186" t="s">
        <v>108</v>
      </c>
      <c r="D19" s="301"/>
      <c r="E19" s="251"/>
    </row>
    <row r="20" spans="2:11" customFormat="1" ht="13" thickBot="1">
      <c r="B20" s="189" t="s">
        <v>8</v>
      </c>
      <c r="C20" s="190" t="s">
        <v>14</v>
      </c>
      <c r="D20" s="304"/>
      <c r="E20" s="246"/>
    </row>
    <row r="21" spans="2:11" customFormat="1" ht="13.5" thickBot="1">
      <c r="B21" s="412" t="s">
        <v>110</v>
      </c>
      <c r="C21" s="413"/>
      <c r="D21" s="305">
        <v>40895.61</v>
      </c>
      <c r="E21" s="151">
        <f>E11-E17</f>
        <v>38533.43</v>
      </c>
      <c r="F21" s="79"/>
      <c r="G21" s="79"/>
      <c r="H21" s="171"/>
      <c r="J21" s="232"/>
      <c r="K21" s="171"/>
    </row>
    <row r="22" spans="2:11" customFormat="1">
      <c r="B22" s="3"/>
      <c r="C22" s="6"/>
      <c r="D22" s="7"/>
      <c r="E22" s="7"/>
      <c r="G22" s="73"/>
    </row>
    <row r="23" spans="2:11" customFormat="1" ht="13.5">
      <c r="B23" s="405" t="s">
        <v>104</v>
      </c>
      <c r="C23" s="414"/>
      <c r="D23" s="414"/>
      <c r="E23" s="414"/>
      <c r="G23" s="73"/>
    </row>
    <row r="24" spans="2:11" customFormat="1" ht="15.75" customHeight="1" thickBot="1">
      <c r="B24" s="404" t="s">
        <v>105</v>
      </c>
      <c r="C24" s="415"/>
      <c r="D24" s="415"/>
      <c r="E24" s="415"/>
    </row>
    <row r="25" spans="2:11" customFormat="1" ht="13.5" thickBot="1">
      <c r="B25" s="225"/>
      <c r="C25" s="191" t="s">
        <v>2</v>
      </c>
      <c r="D25" s="291" t="s">
        <v>246</v>
      </c>
      <c r="E25" s="258" t="s">
        <v>262</v>
      </c>
    </row>
    <row r="26" spans="2:11" customFormat="1" ht="13">
      <c r="B26" s="98" t="s">
        <v>15</v>
      </c>
      <c r="C26" s="99" t="s">
        <v>16</v>
      </c>
      <c r="D26" s="359">
        <v>35508.89</v>
      </c>
      <c r="E26" s="239">
        <f>D21</f>
        <v>40895.61</v>
      </c>
      <c r="G26" s="76"/>
    </row>
    <row r="27" spans="2:11" customFormat="1" ht="13">
      <c r="B27" s="8" t="s">
        <v>17</v>
      </c>
      <c r="C27" s="9" t="s">
        <v>111</v>
      </c>
      <c r="D27" s="360">
        <v>-594.77</v>
      </c>
      <c r="E27" s="275">
        <v>-455.31</v>
      </c>
      <c r="F27" s="73"/>
      <c r="G27" s="76"/>
      <c r="H27" s="255"/>
      <c r="I27" s="73"/>
      <c r="J27" s="76"/>
    </row>
    <row r="28" spans="2:11" customFormat="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customFormat="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customFormat="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customFormat="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customFormat="1" ht="13">
      <c r="B32" s="95" t="s">
        <v>23</v>
      </c>
      <c r="C32" s="10" t="s">
        <v>24</v>
      </c>
      <c r="D32" s="360">
        <v>594.77</v>
      </c>
      <c r="E32" s="276">
        <v>455.31</v>
      </c>
      <c r="F32" s="73"/>
      <c r="G32" s="76"/>
      <c r="H32" s="255"/>
      <c r="I32" s="73"/>
      <c r="J32" s="76"/>
    </row>
    <row r="33" spans="2:10" customFormat="1" ht="13">
      <c r="B33" s="192" t="s">
        <v>4</v>
      </c>
      <c r="C33" s="185" t="s">
        <v>25</v>
      </c>
      <c r="D33" s="361"/>
      <c r="E33" s="277"/>
      <c r="F33" s="73"/>
      <c r="G33" s="73"/>
      <c r="H33" s="255"/>
      <c r="I33" s="73"/>
      <c r="J33" s="76"/>
    </row>
    <row r="34" spans="2:10" customFormat="1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customFormat="1" ht="13">
      <c r="B35" s="192" t="s">
        <v>8</v>
      </c>
      <c r="C35" s="185" t="s">
        <v>27</v>
      </c>
      <c r="D35" s="361">
        <v>142.43</v>
      </c>
      <c r="E35" s="277">
        <v>117.16</v>
      </c>
      <c r="F35" s="73"/>
      <c r="G35" s="73"/>
      <c r="H35" s="255"/>
      <c r="I35" s="73"/>
      <c r="J35" s="76"/>
    </row>
    <row r="36" spans="2:10" customFormat="1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customFormat="1" ht="25.5">
      <c r="B37" s="192" t="s">
        <v>29</v>
      </c>
      <c r="C37" s="185" t="s">
        <v>30</v>
      </c>
      <c r="D37" s="361">
        <v>452.34</v>
      </c>
      <c r="E37" s="277">
        <v>338.15000000000003</v>
      </c>
      <c r="F37" s="73"/>
      <c r="G37" s="73"/>
      <c r="H37" s="255"/>
      <c r="I37" s="73"/>
      <c r="J37" s="76"/>
    </row>
    <row r="38" spans="2:10" customFormat="1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customFormat="1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customFormat="1" ht="13.5" thickBot="1">
      <c r="B40" s="100" t="s">
        <v>35</v>
      </c>
      <c r="C40" s="101" t="s">
        <v>36</v>
      </c>
      <c r="D40" s="363">
        <v>5981.49</v>
      </c>
      <c r="E40" s="279">
        <v>-1906.87</v>
      </c>
      <c r="G40" s="76"/>
    </row>
    <row r="41" spans="2:10" customFormat="1" ht="13.5" thickBot="1">
      <c r="B41" s="102" t="s">
        <v>37</v>
      </c>
      <c r="C41" s="103" t="s">
        <v>38</v>
      </c>
      <c r="D41" s="364">
        <v>40895.61</v>
      </c>
      <c r="E41" s="151">
        <f>E26+E27+E40</f>
        <v>38533.43</v>
      </c>
      <c r="F41" s="79"/>
      <c r="G41" s="76"/>
    </row>
    <row r="42" spans="2:10" customFormat="1" ht="13">
      <c r="B42" s="96"/>
      <c r="C42" s="96"/>
      <c r="D42" s="97"/>
      <c r="E42" s="97"/>
      <c r="F42" s="79"/>
      <c r="G42" s="67"/>
    </row>
    <row r="43" spans="2:10" customFormat="1" ht="13.5">
      <c r="B43" s="406" t="s">
        <v>60</v>
      </c>
      <c r="C43" s="407"/>
      <c r="D43" s="407"/>
      <c r="E43" s="407"/>
      <c r="G43" s="73"/>
    </row>
    <row r="44" spans="2:10" customFormat="1" ht="18" customHeight="1" thickBot="1">
      <c r="B44" s="404" t="s">
        <v>121</v>
      </c>
      <c r="C44" s="408"/>
      <c r="D44" s="408"/>
      <c r="E44" s="408"/>
      <c r="G44" s="73"/>
    </row>
    <row r="45" spans="2:10" customFormat="1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customFormat="1" ht="13">
      <c r="B46" s="12" t="s">
        <v>18</v>
      </c>
      <c r="C46" s="29" t="s">
        <v>112</v>
      </c>
      <c r="D46" s="104"/>
      <c r="E46" s="27"/>
      <c r="G46" s="73"/>
    </row>
    <row r="47" spans="2:10" customFormat="1">
      <c r="B47" s="195" t="s">
        <v>4</v>
      </c>
      <c r="C47" s="196" t="s">
        <v>40</v>
      </c>
      <c r="D47" s="371">
        <v>924.71069999999997</v>
      </c>
      <c r="E47" s="152">
        <v>910.20719999999994</v>
      </c>
      <c r="G47" s="73"/>
    </row>
    <row r="48" spans="2:10" customFormat="1">
      <c r="B48" s="197" t="s">
        <v>6</v>
      </c>
      <c r="C48" s="198" t="s">
        <v>41</v>
      </c>
      <c r="D48" s="371">
        <v>910.20719999999994</v>
      </c>
      <c r="E48" s="320">
        <v>899.89329999999995</v>
      </c>
      <c r="G48" s="73"/>
    </row>
    <row r="49" spans="2:7" customFormat="1" ht="13">
      <c r="B49" s="123" t="s">
        <v>23</v>
      </c>
      <c r="C49" s="127" t="s">
        <v>113</v>
      </c>
      <c r="D49" s="373"/>
      <c r="E49" s="328"/>
    </row>
    <row r="50" spans="2:7" customFormat="1">
      <c r="B50" s="195" t="s">
        <v>4</v>
      </c>
      <c r="C50" s="196" t="s">
        <v>40</v>
      </c>
      <c r="D50" s="371">
        <v>38.4</v>
      </c>
      <c r="E50" s="152">
        <v>44.93</v>
      </c>
      <c r="G50" s="183"/>
    </row>
    <row r="51" spans="2:7" customFormat="1">
      <c r="B51" s="195" t="s">
        <v>6</v>
      </c>
      <c r="C51" s="196" t="s">
        <v>114</v>
      </c>
      <c r="D51" s="371">
        <v>34.79</v>
      </c>
      <c r="E51" s="77">
        <v>42.32</v>
      </c>
      <c r="G51" s="183"/>
    </row>
    <row r="52" spans="2:7" customFormat="1">
      <c r="B52" s="195" t="s">
        <v>8</v>
      </c>
      <c r="C52" s="196" t="s">
        <v>115</v>
      </c>
      <c r="D52" s="371">
        <v>45.01</v>
      </c>
      <c r="E52" s="77">
        <v>45.87</v>
      </c>
    </row>
    <row r="53" spans="2:7" customFormat="1" ht="13" thickBot="1">
      <c r="B53" s="199" t="s">
        <v>9</v>
      </c>
      <c r="C53" s="200" t="s">
        <v>41</v>
      </c>
      <c r="D53" s="369">
        <v>44.93</v>
      </c>
      <c r="E53" s="325">
        <v>42.82</v>
      </c>
    </row>
    <row r="54" spans="2:7" customFormat="1">
      <c r="B54" s="112"/>
      <c r="C54" s="113"/>
      <c r="D54" s="114"/>
      <c r="E54" s="114"/>
    </row>
    <row r="55" spans="2:7" customFormat="1" ht="13.5">
      <c r="B55" s="406" t="s">
        <v>62</v>
      </c>
      <c r="C55" s="416"/>
      <c r="D55" s="416"/>
      <c r="E55" s="416"/>
    </row>
    <row r="56" spans="2:7" customFormat="1" ht="14" thickBot="1">
      <c r="B56" s="404" t="s">
        <v>116</v>
      </c>
      <c r="C56" s="411"/>
      <c r="D56" s="411"/>
      <c r="E56" s="411"/>
    </row>
    <row r="57" spans="2:7" customFormat="1" ht="21.5" thickBot="1">
      <c r="B57" s="399" t="s">
        <v>42</v>
      </c>
      <c r="C57" s="400"/>
      <c r="D57" s="17" t="s">
        <v>122</v>
      </c>
      <c r="E57" s="18" t="s">
        <v>117</v>
      </c>
    </row>
    <row r="58" spans="2:7" customFormat="1" ht="13">
      <c r="B58" s="19" t="s">
        <v>18</v>
      </c>
      <c r="C58" s="129" t="s">
        <v>43</v>
      </c>
      <c r="D58" s="130">
        <f>D64</f>
        <v>38533.43</v>
      </c>
      <c r="E58" s="30">
        <f>D58/E21</f>
        <v>1</v>
      </c>
    </row>
    <row r="59" spans="2:7" customFormat="1" ht="25">
      <c r="B59" s="126" t="s">
        <v>4</v>
      </c>
      <c r="C59" s="21" t="s">
        <v>44</v>
      </c>
      <c r="D59" s="82">
        <v>0</v>
      </c>
      <c r="E59" s="83">
        <v>0</v>
      </c>
    </row>
    <row r="60" spans="2:7" customFormat="1" ht="25">
      <c r="B60" s="105" t="s">
        <v>6</v>
      </c>
      <c r="C60" s="14" t="s">
        <v>45</v>
      </c>
      <c r="D60" s="80">
        <v>0</v>
      </c>
      <c r="E60" s="81">
        <v>0</v>
      </c>
    </row>
    <row r="61" spans="2:7" customFormat="1">
      <c r="B61" s="105" t="s">
        <v>8</v>
      </c>
      <c r="C61" s="14" t="s">
        <v>46</v>
      </c>
      <c r="D61" s="80">
        <v>0</v>
      </c>
      <c r="E61" s="81">
        <v>0</v>
      </c>
    </row>
    <row r="62" spans="2:7" customFormat="1">
      <c r="B62" s="105" t="s">
        <v>9</v>
      </c>
      <c r="C62" s="14" t="s">
        <v>47</v>
      </c>
      <c r="D62" s="80">
        <v>0</v>
      </c>
      <c r="E62" s="81">
        <v>0</v>
      </c>
    </row>
    <row r="63" spans="2:7" customFormat="1">
      <c r="B63" s="105" t="s">
        <v>29</v>
      </c>
      <c r="C63" s="14" t="s">
        <v>48</v>
      </c>
      <c r="D63" s="80">
        <v>0</v>
      </c>
      <c r="E63" s="81">
        <v>0</v>
      </c>
    </row>
    <row r="64" spans="2:7" customFormat="1">
      <c r="B64" s="126" t="s">
        <v>31</v>
      </c>
      <c r="C64" s="21" t="s">
        <v>49</v>
      </c>
      <c r="D64" s="82">
        <f>E21</f>
        <v>38533.43</v>
      </c>
      <c r="E64" s="83">
        <f>E58</f>
        <v>1</v>
      </c>
    </row>
    <row r="65" spans="2:5" customFormat="1">
      <c r="B65" s="126" t="s">
        <v>33</v>
      </c>
      <c r="C65" s="21" t="s">
        <v>118</v>
      </c>
      <c r="D65" s="82">
        <v>0</v>
      </c>
      <c r="E65" s="83">
        <v>0</v>
      </c>
    </row>
    <row r="66" spans="2:5" customFormat="1">
      <c r="B66" s="126" t="s">
        <v>50</v>
      </c>
      <c r="C66" s="21" t="s">
        <v>51</v>
      </c>
      <c r="D66" s="82">
        <v>0</v>
      </c>
      <c r="E66" s="83">
        <v>0</v>
      </c>
    </row>
    <row r="67" spans="2:5" customFormat="1">
      <c r="B67" s="105" t="s">
        <v>52</v>
      </c>
      <c r="C67" s="14" t="s">
        <v>53</v>
      </c>
      <c r="D67" s="80">
        <v>0</v>
      </c>
      <c r="E67" s="81">
        <v>0</v>
      </c>
    </row>
    <row r="68" spans="2:5" customFormat="1">
      <c r="B68" s="105" t="s">
        <v>54</v>
      </c>
      <c r="C68" s="14" t="s">
        <v>55</v>
      </c>
      <c r="D68" s="80">
        <v>0</v>
      </c>
      <c r="E68" s="81">
        <v>0</v>
      </c>
    </row>
    <row r="69" spans="2:5" customFormat="1">
      <c r="B69" s="105" t="s">
        <v>56</v>
      </c>
      <c r="C69" s="14" t="s">
        <v>57</v>
      </c>
      <c r="D69" s="247">
        <v>0</v>
      </c>
      <c r="E69" s="81">
        <v>0</v>
      </c>
    </row>
    <row r="70" spans="2:5" customFormat="1">
      <c r="B70" s="132" t="s">
        <v>58</v>
      </c>
      <c r="C70" s="116" t="s">
        <v>59</v>
      </c>
      <c r="D70" s="117">
        <v>0</v>
      </c>
      <c r="E70" s="118">
        <v>0</v>
      </c>
    </row>
    <row r="71" spans="2:5" customFormat="1" ht="13">
      <c r="B71" s="133" t="s">
        <v>23</v>
      </c>
      <c r="C71" s="124" t="s">
        <v>61</v>
      </c>
      <c r="D71" s="125">
        <v>0</v>
      </c>
      <c r="E71" s="66">
        <v>0</v>
      </c>
    </row>
    <row r="72" spans="2:5" customFormat="1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customFormat="1" ht="13">
      <c r="B73" s="135" t="s">
        <v>62</v>
      </c>
      <c r="C73" s="23" t="s">
        <v>65</v>
      </c>
      <c r="D73" s="24">
        <v>0</v>
      </c>
      <c r="E73" s="25">
        <v>0</v>
      </c>
    </row>
    <row r="74" spans="2:5" customFormat="1" ht="13">
      <c r="B74" s="133" t="s">
        <v>64</v>
      </c>
      <c r="C74" s="124" t="s">
        <v>66</v>
      </c>
      <c r="D74" s="125">
        <f>D58</f>
        <v>38533.43</v>
      </c>
      <c r="E74" s="66">
        <f>E58+E72-E73</f>
        <v>1</v>
      </c>
    </row>
    <row r="75" spans="2:5" customFormat="1">
      <c r="B75" s="105" t="s">
        <v>4</v>
      </c>
      <c r="C75" s="14" t="s">
        <v>67</v>
      </c>
      <c r="D75" s="80">
        <f>D74</f>
        <v>38533.43</v>
      </c>
      <c r="E75" s="81">
        <f>E74</f>
        <v>1</v>
      </c>
    </row>
    <row r="76" spans="2:5" customFormat="1">
      <c r="B76" s="105" t="s">
        <v>6</v>
      </c>
      <c r="C76" s="14" t="s">
        <v>119</v>
      </c>
      <c r="D76" s="80">
        <v>0</v>
      </c>
      <c r="E76" s="81">
        <v>0</v>
      </c>
    </row>
    <row r="77" spans="2:5" customFormat="1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 customFormat="1">
      <c r="B78" s="1"/>
      <c r="C78" s="1"/>
      <c r="D78" s="2"/>
      <c r="E78" s="2"/>
    </row>
    <row r="79" spans="2:5" customFormat="1">
      <c r="B79" s="1"/>
      <c r="C79" s="1"/>
      <c r="D79" s="2"/>
      <c r="E79" s="2"/>
    </row>
    <row r="80" spans="2:5" customFormat="1">
      <c r="B80" s="1"/>
      <c r="C80" s="1"/>
      <c r="D80" s="2"/>
      <c r="E80" s="2"/>
    </row>
    <row r="81" spans="2:5" customFormat="1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3">
    <pageSetUpPr fitToPage="1"/>
  </sheetPr>
  <dimension ref="A1:L81"/>
  <sheetViews>
    <sheetView zoomScale="80" zoomScaleNormal="80" workbookViewId="0">
      <selection activeCell="H15" sqref="H15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37"/>
      <c r="C4" s="13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242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682369.39</v>
      </c>
      <c r="E11" s="245">
        <f>SUM(E12:E14)</f>
        <v>568198.77</v>
      </c>
    </row>
    <row r="12" spans="2:12">
      <c r="B12" s="184" t="s">
        <v>4</v>
      </c>
      <c r="C12" s="185" t="s">
        <v>5</v>
      </c>
      <c r="D12" s="300">
        <v>682369.39</v>
      </c>
      <c r="E12" s="250">
        <v>568198.77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682369.39</v>
      </c>
      <c r="E21" s="151">
        <f>E11-E17</f>
        <v>568198.77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1479329.6</v>
      </c>
      <c r="E26" s="239">
        <f>D21</f>
        <v>682369.39</v>
      </c>
      <c r="G26" s="76"/>
      <c r="H26" s="242"/>
      <c r="I26" s="242"/>
    </row>
    <row r="27" spans="2:11" ht="13">
      <c r="B27" s="8" t="s">
        <v>17</v>
      </c>
      <c r="C27" s="9" t="s">
        <v>111</v>
      </c>
      <c r="D27" s="360">
        <v>-838827.39</v>
      </c>
      <c r="E27" s="275">
        <v>-123472.95</v>
      </c>
      <c r="F27" s="73"/>
      <c r="G27" s="76"/>
      <c r="H27" s="255"/>
      <c r="I27" s="255"/>
      <c r="J27" s="76"/>
    </row>
    <row r="28" spans="2:11" ht="13">
      <c r="B28" s="8" t="s">
        <v>18</v>
      </c>
      <c r="C28" s="9" t="s">
        <v>19</v>
      </c>
      <c r="D28" s="360">
        <v>0</v>
      </c>
      <c r="E28" s="276">
        <v>100083.99</v>
      </c>
      <c r="F28" s="73"/>
      <c r="G28" s="73"/>
      <c r="H28" s="255"/>
      <c r="I28" s="255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255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255"/>
      <c r="J30" s="76"/>
    </row>
    <row r="31" spans="2:11" ht="13">
      <c r="B31" s="192" t="s">
        <v>8</v>
      </c>
      <c r="C31" s="185" t="s">
        <v>22</v>
      </c>
      <c r="D31" s="361"/>
      <c r="E31" s="277">
        <v>100083.99</v>
      </c>
      <c r="F31" s="73"/>
      <c r="G31" s="73"/>
      <c r="H31" s="255"/>
      <c r="I31" s="255"/>
      <c r="J31" s="76"/>
    </row>
    <row r="32" spans="2:11" ht="13">
      <c r="B32" s="95" t="s">
        <v>23</v>
      </c>
      <c r="C32" s="10" t="s">
        <v>24</v>
      </c>
      <c r="D32" s="360">
        <v>838827.39</v>
      </c>
      <c r="E32" s="276">
        <v>223556.94</v>
      </c>
      <c r="F32" s="73"/>
      <c r="G32" s="76"/>
      <c r="H32" s="255"/>
      <c r="I32" s="255"/>
      <c r="J32" s="76"/>
    </row>
    <row r="33" spans="2:10" ht="13">
      <c r="B33" s="192" t="s">
        <v>4</v>
      </c>
      <c r="C33" s="185" t="s">
        <v>25</v>
      </c>
      <c r="D33" s="361">
        <v>132996.57</v>
      </c>
      <c r="E33" s="277">
        <v>110503.34</v>
      </c>
      <c r="F33" s="73"/>
      <c r="G33" s="73"/>
      <c r="H33" s="255"/>
      <c r="I33" s="255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255"/>
      <c r="J34" s="76"/>
    </row>
    <row r="35" spans="2:10" ht="13">
      <c r="B35" s="192" t="s">
        <v>8</v>
      </c>
      <c r="C35" s="185" t="s">
        <v>27</v>
      </c>
      <c r="D35" s="361">
        <v>2793.62</v>
      </c>
      <c r="E35" s="277">
        <v>2093.36</v>
      </c>
      <c r="F35" s="73"/>
      <c r="G35" s="73"/>
      <c r="H35" s="255"/>
      <c r="I35" s="255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255"/>
      <c r="J36" s="76"/>
    </row>
    <row r="37" spans="2:10" ht="25.5">
      <c r="B37" s="192" t="s">
        <v>29</v>
      </c>
      <c r="C37" s="185" t="s">
        <v>30</v>
      </c>
      <c r="D37" s="361">
        <v>12203.48</v>
      </c>
      <c r="E37" s="277">
        <v>11729.08</v>
      </c>
      <c r="F37" s="73"/>
      <c r="G37" s="73"/>
      <c r="H37" s="255"/>
      <c r="I37" s="255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255"/>
      <c r="J38" s="76"/>
    </row>
    <row r="39" spans="2:10" ht="13">
      <c r="B39" s="193" t="s">
        <v>33</v>
      </c>
      <c r="C39" s="194" t="s">
        <v>34</v>
      </c>
      <c r="D39" s="362">
        <v>690833.72</v>
      </c>
      <c r="E39" s="278">
        <v>99231.16</v>
      </c>
      <c r="F39" s="73"/>
      <c r="G39" s="73"/>
      <c r="H39" s="255"/>
      <c r="I39" s="255"/>
      <c r="J39" s="76"/>
    </row>
    <row r="40" spans="2:10" ht="13.5" thickBot="1">
      <c r="B40" s="100" t="s">
        <v>35</v>
      </c>
      <c r="C40" s="101" t="s">
        <v>36</v>
      </c>
      <c r="D40" s="363">
        <v>41867.18</v>
      </c>
      <c r="E40" s="279">
        <v>9302.33</v>
      </c>
      <c r="G40" s="76"/>
      <c r="H40" s="242"/>
      <c r="I40" s="242"/>
    </row>
    <row r="41" spans="2:10" ht="13.5" thickBot="1">
      <c r="B41" s="102" t="s">
        <v>37</v>
      </c>
      <c r="C41" s="103" t="s">
        <v>38</v>
      </c>
      <c r="D41" s="364">
        <v>682369.39000000013</v>
      </c>
      <c r="E41" s="151">
        <f>E26+E27+E40</f>
        <v>568198.77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2653.5059999999999</v>
      </c>
      <c r="E47" s="152">
        <v>1062.037</v>
      </c>
      <c r="G47" s="73"/>
    </row>
    <row r="48" spans="2:10">
      <c r="B48" s="197" t="s">
        <v>6</v>
      </c>
      <c r="C48" s="198" t="s">
        <v>41</v>
      </c>
      <c r="D48" s="371">
        <v>1062.037</v>
      </c>
      <c r="E48" s="152">
        <v>877.22900000000004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557.5</v>
      </c>
      <c r="E50" s="152">
        <v>642.51</v>
      </c>
      <c r="G50" s="183"/>
    </row>
    <row r="51" spans="2:7">
      <c r="B51" s="195" t="s">
        <v>6</v>
      </c>
      <c r="C51" s="196" t="s">
        <v>114</v>
      </c>
      <c r="D51" s="371">
        <v>423.15</v>
      </c>
      <c r="E51" s="77">
        <v>631.11</v>
      </c>
      <c r="G51" s="183"/>
    </row>
    <row r="52" spans="2:7">
      <c r="B52" s="195" t="s">
        <v>8</v>
      </c>
      <c r="C52" s="196" t="s">
        <v>115</v>
      </c>
      <c r="D52" s="371">
        <v>642.51</v>
      </c>
      <c r="E52" s="77">
        <v>735.7</v>
      </c>
    </row>
    <row r="53" spans="2:7" ht="12.75" customHeight="1" thickBot="1">
      <c r="B53" s="199" t="s">
        <v>9</v>
      </c>
      <c r="C53" s="200" t="s">
        <v>41</v>
      </c>
      <c r="D53" s="369">
        <v>642.51</v>
      </c>
      <c r="E53" s="280">
        <v>647.72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568198.77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568198.77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568198.77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568198.77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9055118110236227" right="0.74803149606299213" top="0.55118110236220474" bottom="0.6692913385826772" header="0.51181102362204722" footer="0.51181102362204722"/>
  <pageSetup paperSize="9" scale="44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37"/>
      <c r="C4" s="13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172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10070311.060000001</v>
      </c>
      <c r="E11" s="245">
        <f>SUM(E12:E14)</f>
        <v>10812935.18</v>
      </c>
    </row>
    <row r="12" spans="2:12">
      <c r="B12" s="184" t="s">
        <v>4</v>
      </c>
      <c r="C12" s="185" t="s">
        <v>5</v>
      </c>
      <c r="D12" s="300">
        <v>10070311.060000001</v>
      </c>
      <c r="E12" s="250">
        <v>10812935.18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10070311.060000001</v>
      </c>
      <c r="E21" s="151">
        <f>E11-E17</f>
        <v>10812935.18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13263622.92</v>
      </c>
      <c r="E26" s="239">
        <f>D21</f>
        <v>10070311.060000001</v>
      </c>
      <c r="G26" s="76"/>
      <c r="H26" s="242"/>
    </row>
    <row r="27" spans="2:11" ht="13">
      <c r="B27" s="8" t="s">
        <v>17</v>
      </c>
      <c r="C27" s="9" t="s">
        <v>111</v>
      </c>
      <c r="D27" s="360">
        <v>-4672150.04</v>
      </c>
      <c r="E27" s="275">
        <v>-364282.67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263857.49</v>
      </c>
      <c r="E28" s="276">
        <v>0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263857.49</v>
      </c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4936007.53</v>
      </c>
      <c r="E32" s="276">
        <v>364282.67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4225638.8099999996</v>
      </c>
      <c r="E33" s="277">
        <v>177552.81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7524.6</v>
      </c>
      <c r="E35" s="277">
        <v>2061.2600000000002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163220.66</v>
      </c>
      <c r="E37" s="277">
        <v>167002.16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539623.46</v>
      </c>
      <c r="E39" s="278">
        <v>17666.439999999999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1478838.18</v>
      </c>
      <c r="E40" s="279">
        <v>1106906.79</v>
      </c>
      <c r="G40" s="76"/>
    </row>
    <row r="41" spans="2:10" ht="13.5" thickBot="1">
      <c r="B41" s="102" t="s">
        <v>37</v>
      </c>
      <c r="C41" s="103" t="s">
        <v>38</v>
      </c>
      <c r="D41" s="364">
        <v>10070311.059999999</v>
      </c>
      <c r="E41" s="151">
        <f>E26+E27+E40</f>
        <v>10812935.18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29204.093000000001</v>
      </c>
      <c r="E47" s="152">
        <v>18475.261999999999</v>
      </c>
      <c r="G47" s="73"/>
    </row>
    <row r="48" spans="2:10">
      <c r="B48" s="197" t="s">
        <v>6</v>
      </c>
      <c r="C48" s="198" t="s">
        <v>41</v>
      </c>
      <c r="D48" s="371">
        <v>18475.261999999999</v>
      </c>
      <c r="E48" s="152">
        <v>17731.937000000002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454.17</v>
      </c>
      <c r="E50" s="152">
        <v>545.07000000000005</v>
      </c>
      <c r="G50" s="183"/>
    </row>
    <row r="51" spans="2:7">
      <c r="B51" s="195" t="s">
        <v>6</v>
      </c>
      <c r="C51" s="196" t="s">
        <v>114</v>
      </c>
      <c r="D51" s="371">
        <v>353.41</v>
      </c>
      <c r="E51" s="77">
        <v>525.1</v>
      </c>
      <c r="G51" s="183"/>
    </row>
    <row r="52" spans="2:7">
      <c r="B52" s="195" t="s">
        <v>8</v>
      </c>
      <c r="C52" s="196" t="s">
        <v>115</v>
      </c>
      <c r="D52" s="371">
        <v>550.39</v>
      </c>
      <c r="E52" s="77">
        <v>617.85</v>
      </c>
    </row>
    <row r="53" spans="2:7" ht="14.25" customHeight="1" thickBot="1">
      <c r="B53" s="199" t="s">
        <v>9</v>
      </c>
      <c r="C53" s="200" t="s">
        <v>41</v>
      </c>
      <c r="D53" s="369">
        <v>545.07000000000005</v>
      </c>
      <c r="E53" s="280">
        <v>609.79999999999995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10812935.18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10812935.18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10812935.18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10812935.18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5"/>
  <dimension ref="A1:L81"/>
  <sheetViews>
    <sheetView zoomScale="80" zoomScaleNormal="80" workbookViewId="0">
      <selection activeCell="A8" sqref="A8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37"/>
      <c r="C4" s="137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173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114726.67</v>
      </c>
      <c r="E11" s="245">
        <f>SUM(E12:E14)</f>
        <v>67237.53</v>
      </c>
    </row>
    <row r="12" spans="2:12">
      <c r="B12" s="184" t="s">
        <v>4</v>
      </c>
      <c r="C12" s="185" t="s">
        <v>5</v>
      </c>
      <c r="D12" s="300">
        <v>114726.67</v>
      </c>
      <c r="E12" s="250">
        <v>67237.53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114726.67</v>
      </c>
      <c r="E21" s="151">
        <f>E11-E17</f>
        <v>67237.53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113347.15</v>
      </c>
      <c r="E26" s="239">
        <f>D21</f>
        <v>114726.67</v>
      </c>
      <c r="G26" s="76"/>
    </row>
    <row r="27" spans="2:11" ht="13">
      <c r="B27" s="8" t="s">
        <v>17</v>
      </c>
      <c r="C27" s="9" t="s">
        <v>111</v>
      </c>
      <c r="D27" s="360">
        <v>-3139.27</v>
      </c>
      <c r="E27" s="275">
        <v>-46747.86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3139.27</v>
      </c>
      <c r="E32" s="276">
        <v>46747.86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>
        <v>45501.599999999999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1495.19</v>
      </c>
      <c r="E35" s="277">
        <v>44.25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1644.08</v>
      </c>
      <c r="E37" s="277">
        <v>1202.01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4518.79</v>
      </c>
      <c r="E40" s="279">
        <v>-741.28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114726.66999999998</v>
      </c>
      <c r="E41" s="151">
        <f>E26+E27+E40</f>
        <v>67237.53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266.36700000000002</v>
      </c>
      <c r="E47" s="152">
        <v>258.96499999999997</v>
      </c>
      <c r="G47" s="73"/>
    </row>
    <row r="48" spans="2:10">
      <c r="B48" s="197" t="s">
        <v>6</v>
      </c>
      <c r="C48" s="198" t="s">
        <v>41</v>
      </c>
      <c r="D48" s="371">
        <v>258.96499999999997</v>
      </c>
      <c r="E48" s="152">
        <v>153.59100000000001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425.53</v>
      </c>
      <c r="E50" s="152">
        <v>443.02</v>
      </c>
      <c r="G50" s="183"/>
    </row>
    <row r="51" spans="2:7">
      <c r="B51" s="195" t="s">
        <v>6</v>
      </c>
      <c r="C51" s="196" t="s">
        <v>114</v>
      </c>
      <c r="D51" s="371">
        <v>402.71</v>
      </c>
      <c r="E51" s="77">
        <v>433.1</v>
      </c>
      <c r="G51" s="183"/>
    </row>
    <row r="52" spans="2:7">
      <c r="B52" s="195" t="s">
        <v>8</v>
      </c>
      <c r="C52" s="196" t="s">
        <v>115</v>
      </c>
      <c r="D52" s="371">
        <v>443.02</v>
      </c>
      <c r="E52" s="77">
        <v>445.25</v>
      </c>
    </row>
    <row r="53" spans="2:7" ht="13.5" customHeight="1" thickBot="1">
      <c r="B53" s="199" t="s">
        <v>9</v>
      </c>
      <c r="C53" s="200" t="s">
        <v>41</v>
      </c>
      <c r="D53" s="369">
        <v>443.02</v>
      </c>
      <c r="E53" s="280">
        <v>437.77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67237.53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67237.53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67237.53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67237.53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horizontalDpi="90" verticalDpi="9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="80" zoomScaleNormal="80" workbookViewId="0">
      <selection activeCell="G40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50"/>
      <c r="C4" s="150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241</v>
      </c>
      <c r="C6" s="403"/>
      <c r="D6" s="403"/>
      <c r="E6" s="403"/>
    </row>
    <row r="7" spans="2:12" ht="14">
      <c r="B7" s="223"/>
      <c r="C7" s="223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  <c r="G9" s="163"/>
    </row>
    <row r="10" spans="2:12" ht="13.5" thickBot="1">
      <c r="B10" s="222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15496.84</v>
      </c>
      <c r="E11" s="245" t="s">
        <v>123</v>
      </c>
    </row>
    <row r="12" spans="2:12">
      <c r="B12" s="184" t="s">
        <v>4</v>
      </c>
      <c r="C12" s="185" t="s">
        <v>5</v>
      </c>
      <c r="D12" s="300">
        <v>15496.84</v>
      </c>
      <c r="E12" s="250"/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15496.84</v>
      </c>
      <c r="E21" s="151"/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50099.44</v>
      </c>
      <c r="E26" s="239">
        <f>D21</f>
        <v>15496.84</v>
      </c>
      <c r="G26" s="76"/>
    </row>
    <row r="27" spans="2:11" ht="13">
      <c r="B27" s="8" t="s">
        <v>17</v>
      </c>
      <c r="C27" s="9" t="s">
        <v>111</v>
      </c>
      <c r="D27" s="360">
        <v>-37934.32</v>
      </c>
      <c r="E27" s="275">
        <v>-15924.83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125.6</v>
      </c>
      <c r="E28" s="276">
        <v>0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125.6</v>
      </c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38059.920000000006</v>
      </c>
      <c r="E32" s="276">
        <v>15924.83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37225.72</v>
      </c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272.23</v>
      </c>
      <c r="E35" s="277">
        <v>315.16000000000003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561.97</v>
      </c>
      <c r="E37" s="277">
        <v>207.98000000000002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>
        <v>15401.69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3331.72</v>
      </c>
      <c r="E40" s="279">
        <v>427.99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15496.840000000002</v>
      </c>
      <c r="E41" s="151">
        <f>E26+E27+E40</f>
        <v>0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45.19</v>
      </c>
      <c r="E47" s="152">
        <v>12.471</v>
      </c>
      <c r="G47" s="73"/>
    </row>
    <row r="48" spans="2:10">
      <c r="B48" s="197" t="s">
        <v>6</v>
      </c>
      <c r="C48" s="198" t="s">
        <v>41</v>
      </c>
      <c r="D48" s="371">
        <v>12.471</v>
      </c>
      <c r="E48" s="335" t="s">
        <v>123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1108.6400000000001</v>
      </c>
      <c r="E50" s="152">
        <v>1242.6300000000001</v>
      </c>
      <c r="G50" s="183"/>
    </row>
    <row r="51" spans="2:7">
      <c r="B51" s="195" t="s">
        <v>6</v>
      </c>
      <c r="C51" s="196" t="s">
        <v>114</v>
      </c>
      <c r="D51" s="371">
        <v>1108.6400000000001</v>
      </c>
      <c r="E51" s="309">
        <v>1230.56</v>
      </c>
      <c r="G51" s="183"/>
    </row>
    <row r="52" spans="2:7">
      <c r="B52" s="195" t="s">
        <v>8</v>
      </c>
      <c r="C52" s="196" t="s">
        <v>115</v>
      </c>
      <c r="D52" s="371">
        <v>1244.9100000000001</v>
      </c>
      <c r="E52" s="309">
        <v>1313.75</v>
      </c>
    </row>
    <row r="53" spans="2:7" ht="13.5" customHeight="1" thickBot="1">
      <c r="B53" s="199" t="s">
        <v>9</v>
      </c>
      <c r="C53" s="200" t="s">
        <v>41</v>
      </c>
      <c r="D53" s="369">
        <v>1242.6300000000001</v>
      </c>
      <c r="E53" s="296" t="s">
        <v>123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0</v>
      </c>
      <c r="E58" s="30">
        <v>0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0</v>
      </c>
      <c r="E64" s="83"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0</v>
      </c>
      <c r="E74" s="66">
        <f>E58+E72-E73</f>
        <v>0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0</v>
      </c>
      <c r="E76" s="81">
        <f>E74</f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3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37"/>
      <c r="C4" s="13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174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150999.05000000002</v>
      </c>
      <c r="E11" s="245">
        <f>SUM(E12:E14)</f>
        <v>151619.93</v>
      </c>
    </row>
    <row r="12" spans="2:12">
      <c r="B12" s="184" t="s">
        <v>4</v>
      </c>
      <c r="C12" s="185" t="s">
        <v>5</v>
      </c>
      <c r="D12" s="300">
        <v>150999.05000000002</v>
      </c>
      <c r="E12" s="250">
        <v>151619.93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150999.05000000002</v>
      </c>
      <c r="E21" s="151">
        <f>E11-E17</f>
        <v>151619.93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188189.18</v>
      </c>
      <c r="E26" s="239">
        <f>D21</f>
        <v>150999.05000000002</v>
      </c>
      <c r="G26" s="76"/>
    </row>
    <row r="27" spans="2:11" ht="13">
      <c r="B27" s="8" t="s">
        <v>17</v>
      </c>
      <c r="C27" s="9" t="s">
        <v>111</v>
      </c>
      <c r="D27" s="360">
        <v>-38081.5</v>
      </c>
      <c r="E27" s="275">
        <v>-9023.1200000000008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15607.91</v>
      </c>
      <c r="E28" s="276">
        <v>16264.960000000001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7274.02</v>
      </c>
      <c r="E29" s="277">
        <v>7278.96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8333.89</v>
      </c>
      <c r="E31" s="277">
        <v>8986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53689.41</v>
      </c>
      <c r="E32" s="276">
        <v>25288.080000000002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23611.279999999999</v>
      </c>
      <c r="E33" s="277">
        <v>18023.679999999997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706.45</v>
      </c>
      <c r="E35" s="277">
        <v>750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2226.96</v>
      </c>
      <c r="E37" s="277">
        <v>2656.36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27144.720000000001</v>
      </c>
      <c r="E39" s="278">
        <v>3858.04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891.37</v>
      </c>
      <c r="E40" s="279">
        <v>9644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150999.04999999999</v>
      </c>
      <c r="E41" s="151">
        <f>E26+E27+E40</f>
        <v>151619.93000000002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538.46799999999996</v>
      </c>
      <c r="E47" s="152">
        <v>402.83600000000001</v>
      </c>
      <c r="G47" s="292"/>
      <c r="H47" s="155"/>
    </row>
    <row r="48" spans="2:10">
      <c r="B48" s="197" t="s">
        <v>6</v>
      </c>
      <c r="C48" s="198" t="s">
        <v>41</v>
      </c>
      <c r="D48" s="371">
        <v>402.83600000000001</v>
      </c>
      <c r="E48" s="152">
        <v>381.40499999999997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349.49</v>
      </c>
      <c r="E50" s="152">
        <v>374.84</v>
      </c>
      <c r="G50" s="183"/>
    </row>
    <row r="51" spans="2:7">
      <c r="B51" s="195" t="s">
        <v>6</v>
      </c>
      <c r="C51" s="196" t="s">
        <v>114</v>
      </c>
      <c r="D51" s="371">
        <v>240.91</v>
      </c>
      <c r="E51" s="152">
        <v>374.84</v>
      </c>
      <c r="G51" s="183"/>
    </row>
    <row r="52" spans="2:7">
      <c r="B52" s="195" t="s">
        <v>8</v>
      </c>
      <c r="C52" s="196" t="s">
        <v>115</v>
      </c>
      <c r="D52" s="371">
        <v>374.94</v>
      </c>
      <c r="E52" s="77">
        <v>424.32</v>
      </c>
    </row>
    <row r="53" spans="2:7" ht="13.5" customHeight="1" thickBot="1">
      <c r="B53" s="199" t="s">
        <v>9</v>
      </c>
      <c r="C53" s="200" t="s">
        <v>41</v>
      </c>
      <c r="D53" s="369">
        <v>374.84</v>
      </c>
      <c r="E53" s="280">
        <v>397.53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151619.93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151619.93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151619.93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151619.93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5.269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37"/>
      <c r="C4" s="137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175</v>
      </c>
      <c r="C6" s="403"/>
      <c r="D6" s="403"/>
      <c r="E6" s="403"/>
    </row>
    <row r="7" spans="2:12" ht="14">
      <c r="B7" s="136"/>
      <c r="C7" s="136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38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574270.69999999995</v>
      </c>
      <c r="E11" s="245">
        <f>SUM(E12:E14)</f>
        <v>449585.2</v>
      </c>
    </row>
    <row r="12" spans="2:12">
      <c r="B12" s="184" t="s">
        <v>4</v>
      </c>
      <c r="C12" s="185" t="s">
        <v>5</v>
      </c>
      <c r="D12" s="300">
        <v>574270.69999999995</v>
      </c>
      <c r="E12" s="250">
        <v>449585.2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574270.69999999995</v>
      </c>
      <c r="E21" s="151">
        <f>E11-E17</f>
        <v>449585.2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  <c r="K22" s="67"/>
    </row>
    <row r="23" spans="2:11" ht="13.5">
      <c r="B23" s="405" t="s">
        <v>104</v>
      </c>
      <c r="C23" s="414"/>
      <c r="D23" s="414"/>
      <c r="E23" s="414"/>
      <c r="G23" s="163"/>
    </row>
    <row r="24" spans="2:11" ht="15.75" customHeight="1" thickBot="1">
      <c r="B24" s="404" t="s">
        <v>105</v>
      </c>
      <c r="C24" s="415"/>
      <c r="D24" s="415"/>
      <c r="E24" s="415"/>
      <c r="G24" s="73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639999.86</v>
      </c>
      <c r="E26" s="239">
        <f>D21</f>
        <v>574270.69999999995</v>
      </c>
      <c r="G26" s="76"/>
    </row>
    <row r="27" spans="2:11" ht="13">
      <c r="B27" s="8" t="s">
        <v>17</v>
      </c>
      <c r="C27" s="9" t="s">
        <v>111</v>
      </c>
      <c r="D27" s="360">
        <v>-101630.38</v>
      </c>
      <c r="E27" s="275">
        <v>-75641.289999999994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48232.82</v>
      </c>
      <c r="E28" s="276">
        <v>8823.34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24313.93</v>
      </c>
      <c r="E29" s="277">
        <v>8705.67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23918.89</v>
      </c>
      <c r="E31" s="277">
        <v>117.67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149863.20000000001</v>
      </c>
      <c r="E32" s="276">
        <v>84464.63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114228.81000000001</v>
      </c>
      <c r="E33" s="277">
        <v>74454.210000000006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1054.5</v>
      </c>
      <c r="E35" s="277">
        <v>978.37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11075.71</v>
      </c>
      <c r="E37" s="277">
        <v>8925.19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23504.18</v>
      </c>
      <c r="E39" s="278">
        <v>106.86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35901.22</v>
      </c>
      <c r="E40" s="279">
        <v>-49044.21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574270.69999999995</v>
      </c>
      <c r="E41" s="151">
        <f>E26+E27+E40</f>
        <v>449585.19999999995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2143.0480000000002</v>
      </c>
      <c r="E47" s="152">
        <v>1817.7150000000001</v>
      </c>
      <c r="G47" s="73"/>
      <c r="H47" s="162"/>
    </row>
    <row r="48" spans="2:10">
      <c r="B48" s="197" t="s">
        <v>6</v>
      </c>
      <c r="C48" s="198" t="s">
        <v>41</v>
      </c>
      <c r="D48" s="371">
        <v>1817.7150000000001</v>
      </c>
      <c r="E48" s="152">
        <v>1568.9590000000001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298.64</v>
      </c>
      <c r="E50" s="152">
        <v>315.93</v>
      </c>
      <c r="G50" s="183"/>
    </row>
    <row r="51" spans="2:7">
      <c r="B51" s="195" t="s">
        <v>6</v>
      </c>
      <c r="C51" s="196" t="s">
        <v>114</v>
      </c>
      <c r="D51" s="371">
        <v>296.79000000000002</v>
      </c>
      <c r="E51" s="77">
        <v>286.38</v>
      </c>
      <c r="G51" s="183"/>
    </row>
    <row r="52" spans="2:7">
      <c r="B52" s="195" t="s">
        <v>8</v>
      </c>
      <c r="C52" s="196" t="s">
        <v>115</v>
      </c>
      <c r="D52" s="371">
        <v>316.58</v>
      </c>
      <c r="E52" s="77">
        <v>317.18</v>
      </c>
    </row>
    <row r="53" spans="2:7" ht="14.25" customHeight="1" thickBot="1">
      <c r="B53" s="199" t="s">
        <v>9</v>
      </c>
      <c r="C53" s="200" t="s">
        <v>41</v>
      </c>
      <c r="D53" s="369">
        <v>315.93</v>
      </c>
      <c r="E53" s="280">
        <v>286.55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449585.2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449585.2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449585.2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449585.2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5000000000000004" right="0.75" top="0.56000000000000005" bottom="0.47" header="0.5" footer="0.5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7.54296875" customWidth="1"/>
    <col min="12" max="12" width="13.179687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89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89"/>
      <c r="C10" s="78" t="s">
        <v>2</v>
      </c>
      <c r="D10" s="291" t="s">
        <v>246</v>
      </c>
      <c r="E10" s="258" t="s">
        <v>262</v>
      </c>
      <c r="G10" s="73"/>
      <c r="I10" s="73"/>
    </row>
    <row r="11" spans="2:12" ht="13">
      <c r="B11" s="93" t="s">
        <v>3</v>
      </c>
      <c r="C11" s="207" t="s">
        <v>109</v>
      </c>
      <c r="D11" s="299">
        <f>SUM(D12:D14)</f>
        <v>64302553.339999996</v>
      </c>
      <c r="E11" s="245">
        <f>SUM(E12:E14)</f>
        <v>76708931.560000017</v>
      </c>
      <c r="I11" s="73"/>
    </row>
    <row r="12" spans="2:12">
      <c r="B12" s="109" t="s">
        <v>4</v>
      </c>
      <c r="C12" s="208" t="s">
        <v>5</v>
      </c>
      <c r="D12" s="300">
        <f>64375556.48+402796.6-595941.46</f>
        <v>64182411.619999997</v>
      </c>
      <c r="E12" s="250">
        <f>76891495.25+468564.31-659685.66</f>
        <v>76700373.900000006</v>
      </c>
      <c r="I12" s="73"/>
    </row>
    <row r="13" spans="2:12">
      <c r="B13" s="109" t="s">
        <v>6</v>
      </c>
      <c r="C13" s="208" t="s">
        <v>7</v>
      </c>
      <c r="D13" s="301"/>
      <c r="E13" s="251">
        <v>0.98</v>
      </c>
      <c r="I13" s="73"/>
    </row>
    <row r="14" spans="2:12">
      <c r="B14" s="109" t="s">
        <v>8</v>
      </c>
      <c r="C14" s="208" t="s">
        <v>10</v>
      </c>
      <c r="D14" s="301">
        <f>D15</f>
        <v>120141.72</v>
      </c>
      <c r="E14" s="251">
        <f>E15</f>
        <v>8556.68</v>
      </c>
      <c r="G14" s="73"/>
      <c r="I14" s="73"/>
    </row>
    <row r="15" spans="2:12">
      <c r="B15" s="109" t="s">
        <v>106</v>
      </c>
      <c r="C15" s="208" t="s">
        <v>11</v>
      </c>
      <c r="D15" s="301">
        <v>120141.72</v>
      </c>
      <c r="E15" s="251">
        <v>8556.68</v>
      </c>
      <c r="I15" s="73"/>
    </row>
    <row r="16" spans="2:12">
      <c r="B16" s="110" t="s">
        <v>107</v>
      </c>
      <c r="C16" s="209" t="s">
        <v>12</v>
      </c>
      <c r="D16" s="302"/>
      <c r="E16" s="252"/>
    </row>
    <row r="17" spans="2:11" ht="13">
      <c r="B17" s="8" t="s">
        <v>13</v>
      </c>
      <c r="C17" s="210" t="s">
        <v>65</v>
      </c>
      <c r="D17" s="303">
        <f>D18</f>
        <v>118696.25</v>
      </c>
      <c r="E17" s="253">
        <f>E18</f>
        <v>540245.54</v>
      </c>
    </row>
    <row r="18" spans="2:11">
      <c r="B18" s="109" t="s">
        <v>4</v>
      </c>
      <c r="C18" s="208" t="s">
        <v>11</v>
      </c>
      <c r="D18" s="302">
        <v>118696.25</v>
      </c>
      <c r="E18" s="252">
        <v>540245.54</v>
      </c>
    </row>
    <row r="19" spans="2:11" ht="15" customHeight="1">
      <c r="B19" s="109" t="s">
        <v>6</v>
      </c>
      <c r="C19" s="20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64183857.089999996</v>
      </c>
      <c r="E21" s="151">
        <f>E11-E17</f>
        <v>76168686.020000011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5.5">
      <c r="B23" s="405"/>
      <c r="C23" s="417"/>
      <c r="D23" s="417"/>
      <c r="E23" s="417"/>
      <c r="G23" s="73"/>
      <c r="K23" s="183"/>
    </row>
    <row r="24" spans="2:11" ht="17.25" customHeight="1" thickBot="1">
      <c r="B24" s="404" t="s">
        <v>105</v>
      </c>
      <c r="C24" s="418"/>
      <c r="D24" s="418"/>
      <c r="E24" s="418"/>
    </row>
    <row r="25" spans="2:11" ht="13.5" thickBot="1">
      <c r="B25" s="89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45806649.380000003</v>
      </c>
      <c r="E26" s="239">
        <f>D21</f>
        <v>64183857.089999996</v>
      </c>
      <c r="G26" s="76"/>
    </row>
    <row r="27" spans="2:11" ht="13">
      <c r="B27" s="8" t="s">
        <v>17</v>
      </c>
      <c r="C27" s="9" t="s">
        <v>111</v>
      </c>
      <c r="D27" s="360">
        <v>-1106071.5500000007</v>
      </c>
      <c r="E27" s="275">
        <v>636306.02</v>
      </c>
      <c r="F27" s="73"/>
      <c r="G27" s="156"/>
      <c r="H27" s="255"/>
      <c r="I27" s="255"/>
      <c r="J27" s="219"/>
    </row>
    <row r="28" spans="2:11" ht="13">
      <c r="B28" s="8" t="s">
        <v>18</v>
      </c>
      <c r="C28" s="9" t="s">
        <v>19</v>
      </c>
      <c r="D28" s="360">
        <v>14125633.84</v>
      </c>
      <c r="E28" s="276">
        <v>24591997.109999999</v>
      </c>
      <c r="F28" s="73"/>
      <c r="G28" s="156"/>
      <c r="H28" s="255"/>
      <c r="I28" s="255"/>
      <c r="J28" s="219"/>
    </row>
    <row r="29" spans="2:11">
      <c r="B29" s="107" t="s">
        <v>4</v>
      </c>
      <c r="C29" s="5" t="s">
        <v>20</v>
      </c>
      <c r="D29" s="361">
        <v>8642014.7599999998</v>
      </c>
      <c r="E29" s="277">
        <v>10091189.82</v>
      </c>
      <c r="F29" s="73"/>
      <c r="G29" s="156"/>
      <c r="H29" s="255"/>
      <c r="I29" s="255"/>
      <c r="J29" s="219"/>
    </row>
    <row r="30" spans="2:11">
      <c r="B30" s="107" t="s">
        <v>6</v>
      </c>
      <c r="C30" s="5" t="s">
        <v>21</v>
      </c>
      <c r="D30" s="361"/>
      <c r="E30" s="277"/>
      <c r="F30" s="73"/>
      <c r="G30" s="156"/>
      <c r="H30" s="255"/>
      <c r="I30" s="255"/>
      <c r="J30" s="219"/>
    </row>
    <row r="31" spans="2:11">
      <c r="B31" s="107" t="s">
        <v>8</v>
      </c>
      <c r="C31" s="5" t="s">
        <v>22</v>
      </c>
      <c r="D31" s="361">
        <v>5483619.0800000001</v>
      </c>
      <c r="E31" s="277">
        <v>14500807.290000001</v>
      </c>
      <c r="F31" s="73"/>
      <c r="G31" s="156"/>
      <c r="H31" s="255"/>
      <c r="I31" s="255"/>
      <c r="J31" s="219"/>
    </row>
    <row r="32" spans="2:11" ht="13">
      <c r="B32" s="95" t="s">
        <v>23</v>
      </c>
      <c r="C32" s="10" t="s">
        <v>24</v>
      </c>
      <c r="D32" s="360">
        <v>15231705.390000001</v>
      </c>
      <c r="E32" s="276">
        <v>23955691.09</v>
      </c>
      <c r="F32" s="73"/>
      <c r="G32" s="156"/>
      <c r="H32" s="255"/>
      <c r="I32" s="255"/>
      <c r="J32" s="219"/>
    </row>
    <row r="33" spans="2:10">
      <c r="B33" s="107" t="s">
        <v>4</v>
      </c>
      <c r="C33" s="5" t="s">
        <v>25</v>
      </c>
      <c r="D33" s="361">
        <v>6076504.6299999999</v>
      </c>
      <c r="E33" s="277">
        <v>8283673.4100000001</v>
      </c>
      <c r="F33" s="73"/>
      <c r="G33" s="156"/>
      <c r="H33" s="255"/>
      <c r="I33" s="255"/>
      <c r="J33" s="219"/>
    </row>
    <row r="34" spans="2:10">
      <c r="B34" s="107" t="s">
        <v>6</v>
      </c>
      <c r="C34" s="5" t="s">
        <v>26</v>
      </c>
      <c r="D34" s="361"/>
      <c r="E34" s="277"/>
      <c r="F34" s="73"/>
      <c r="G34" s="156"/>
      <c r="H34" s="255"/>
      <c r="I34" s="255"/>
      <c r="J34" s="219"/>
    </row>
    <row r="35" spans="2:10">
      <c r="B35" s="107" t="s">
        <v>8</v>
      </c>
      <c r="C35" s="5" t="s">
        <v>27</v>
      </c>
      <c r="D35" s="361">
        <v>1187684.97</v>
      </c>
      <c r="E35" s="277">
        <v>1211113.57</v>
      </c>
      <c r="F35" s="73"/>
      <c r="G35" s="156"/>
      <c r="H35" s="255"/>
      <c r="I35" s="255"/>
      <c r="J35" s="219"/>
    </row>
    <row r="36" spans="2:10">
      <c r="B36" s="107" t="s">
        <v>9</v>
      </c>
      <c r="C36" s="5" t="s">
        <v>28</v>
      </c>
      <c r="D36" s="361"/>
      <c r="E36" s="277"/>
      <c r="F36" s="73"/>
      <c r="G36" s="156"/>
      <c r="H36" s="255"/>
      <c r="I36" s="255"/>
      <c r="J36" s="219"/>
    </row>
    <row r="37" spans="2:10" ht="25">
      <c r="B37" s="107" t="s">
        <v>29</v>
      </c>
      <c r="C37" s="5" t="s">
        <v>30</v>
      </c>
      <c r="D37" s="361"/>
      <c r="E37" s="277"/>
      <c r="F37" s="73"/>
      <c r="G37" s="156"/>
      <c r="H37" s="255"/>
      <c r="I37" s="255"/>
      <c r="J37" s="219"/>
    </row>
    <row r="38" spans="2:10">
      <c r="B38" s="107" t="s">
        <v>31</v>
      </c>
      <c r="C38" s="5" t="s">
        <v>32</v>
      </c>
      <c r="D38" s="361"/>
      <c r="E38" s="277"/>
      <c r="F38" s="73"/>
      <c r="G38" s="156"/>
      <c r="H38" s="255"/>
      <c r="I38" s="255"/>
      <c r="J38" s="219"/>
    </row>
    <row r="39" spans="2:10">
      <c r="B39" s="108" t="s">
        <v>33</v>
      </c>
      <c r="C39" s="11" t="s">
        <v>34</v>
      </c>
      <c r="D39" s="362">
        <v>7967515.79</v>
      </c>
      <c r="E39" s="278">
        <v>14460904.109999999</v>
      </c>
      <c r="F39" s="73"/>
      <c r="G39" s="156"/>
      <c r="H39" s="255"/>
      <c r="I39" s="255"/>
      <c r="J39" s="219"/>
    </row>
    <row r="40" spans="2:10" ht="13.5" thickBot="1">
      <c r="B40" s="100" t="s">
        <v>35</v>
      </c>
      <c r="C40" s="101" t="s">
        <v>36</v>
      </c>
      <c r="D40" s="363">
        <v>19483279.260000002</v>
      </c>
      <c r="E40" s="279">
        <v>11348522.91</v>
      </c>
      <c r="G40" s="156"/>
      <c r="H40" s="183"/>
      <c r="I40" s="183"/>
      <c r="J40" s="183"/>
    </row>
    <row r="41" spans="2:10" ht="13.5" thickBot="1">
      <c r="B41" s="102" t="s">
        <v>37</v>
      </c>
      <c r="C41" s="103" t="s">
        <v>38</v>
      </c>
      <c r="D41" s="364">
        <v>64183857.090000004</v>
      </c>
      <c r="E41" s="151">
        <f>E26+E27+E40</f>
        <v>76168686.019999996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7.2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3778970.8491000002</v>
      </c>
      <c r="E47" s="309">
        <v>3718993.9479</v>
      </c>
      <c r="G47" s="204"/>
    </row>
    <row r="48" spans="2:10">
      <c r="B48" s="197" t="s">
        <v>6</v>
      </c>
      <c r="C48" s="198" t="s">
        <v>41</v>
      </c>
      <c r="D48" s="371">
        <v>3718993.9479</v>
      </c>
      <c r="E48" s="380">
        <v>3777786.9552000002</v>
      </c>
      <c r="G48" s="265"/>
      <c r="H48" s="265"/>
      <c r="J48" s="162"/>
    </row>
    <row r="49" spans="2:7" ht="13">
      <c r="B49" s="123" t="s">
        <v>23</v>
      </c>
      <c r="C49" s="127" t="s">
        <v>113</v>
      </c>
      <c r="D49" s="373"/>
      <c r="E49" s="309"/>
    </row>
    <row r="50" spans="2:7">
      <c r="B50" s="195" t="s">
        <v>4</v>
      </c>
      <c r="C50" s="196" t="s">
        <v>40</v>
      </c>
      <c r="D50" s="371">
        <v>12.121499999999999</v>
      </c>
      <c r="E50" s="309">
        <v>17.258400000000002</v>
      </c>
      <c r="G50" s="220"/>
    </row>
    <row r="51" spans="2:7">
      <c r="B51" s="195" t="s">
        <v>6</v>
      </c>
      <c r="C51" s="196" t="s">
        <v>114</v>
      </c>
      <c r="D51" s="371">
        <v>8.7685999999999993</v>
      </c>
      <c r="E51" s="309">
        <v>17.258400000000002</v>
      </c>
      <c r="G51" s="183"/>
    </row>
    <row r="52" spans="2:7">
      <c r="B52" s="195" t="s">
        <v>8</v>
      </c>
      <c r="C52" s="196" t="s">
        <v>115</v>
      </c>
      <c r="D52" s="371">
        <v>17.283999999999999</v>
      </c>
      <c r="E52" s="309">
        <v>22.044499999999999</v>
      </c>
    </row>
    <row r="53" spans="2:7" ht="13" thickBot="1">
      <c r="B53" s="199" t="s">
        <v>9</v>
      </c>
      <c r="C53" s="200" t="s">
        <v>41</v>
      </c>
      <c r="D53" s="369">
        <v>17.258400000000002</v>
      </c>
      <c r="E53" s="280">
        <v>20.162199999999999</v>
      </c>
    </row>
    <row r="54" spans="2:7">
      <c r="B54" s="201"/>
      <c r="C54" s="202"/>
      <c r="D54" s="114"/>
      <c r="E54" s="114"/>
    </row>
    <row r="55" spans="2:7" ht="13.5">
      <c r="B55" s="406" t="s">
        <v>62</v>
      </c>
      <c r="C55" s="407"/>
      <c r="D55" s="407"/>
      <c r="E55" s="407"/>
    </row>
    <row r="56" spans="2:7" ht="18" customHeight="1" thickBot="1">
      <c r="B56" s="404" t="s">
        <v>116</v>
      </c>
      <c r="C56" s="408"/>
      <c r="D56" s="408"/>
      <c r="E56" s="408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76700373.900000006</v>
      </c>
      <c r="E58" s="30">
        <f>D58/E21</f>
        <v>1.0069803997913314</v>
      </c>
    </row>
    <row r="59" spans="2:7" ht="25">
      <c r="B59" s="313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314" t="s">
        <v>6</v>
      </c>
      <c r="C60" s="196" t="s">
        <v>45</v>
      </c>
      <c r="D60" s="80">
        <v>0</v>
      </c>
      <c r="E60" s="81">
        <v>0</v>
      </c>
    </row>
    <row r="61" spans="2:7">
      <c r="B61" s="314" t="s">
        <v>8</v>
      </c>
      <c r="C61" s="196" t="s">
        <v>46</v>
      </c>
      <c r="D61" s="80">
        <v>0</v>
      </c>
      <c r="E61" s="81">
        <v>0</v>
      </c>
    </row>
    <row r="62" spans="2:7">
      <c r="B62" s="314" t="s">
        <v>9</v>
      </c>
      <c r="C62" s="196" t="s">
        <v>47</v>
      </c>
      <c r="D62" s="80">
        <v>0</v>
      </c>
      <c r="E62" s="81">
        <v>0</v>
      </c>
    </row>
    <row r="63" spans="2:7">
      <c r="B63" s="314" t="s">
        <v>29</v>
      </c>
      <c r="C63" s="196" t="s">
        <v>48</v>
      </c>
      <c r="D63" s="80">
        <v>0</v>
      </c>
      <c r="E63" s="81">
        <v>0</v>
      </c>
    </row>
    <row r="64" spans="2:7">
      <c r="B64" s="313" t="s">
        <v>31</v>
      </c>
      <c r="C64" s="198" t="s">
        <v>49</v>
      </c>
      <c r="D64" s="156">
        <f>76891495.25-659685.66</f>
        <v>76231809.590000004</v>
      </c>
      <c r="E64" s="83">
        <f>D64/E21</f>
        <v>1.0008287338708117</v>
      </c>
      <c r="G64" s="73"/>
    </row>
    <row r="65" spans="2:5">
      <c r="B65" s="313" t="s">
        <v>33</v>
      </c>
      <c r="C65" s="198" t="s">
        <v>118</v>
      </c>
      <c r="D65" s="82">
        <v>0</v>
      </c>
      <c r="E65" s="83">
        <v>0</v>
      </c>
    </row>
    <row r="66" spans="2:5">
      <c r="B66" s="313" t="s">
        <v>50</v>
      </c>
      <c r="C66" s="198" t="s">
        <v>51</v>
      </c>
      <c r="D66" s="82">
        <v>0</v>
      </c>
      <c r="E66" s="83">
        <v>0</v>
      </c>
    </row>
    <row r="67" spans="2:5">
      <c r="B67" s="314" t="s">
        <v>52</v>
      </c>
      <c r="C67" s="196" t="s">
        <v>53</v>
      </c>
      <c r="D67" s="80">
        <v>0</v>
      </c>
      <c r="E67" s="81">
        <v>0</v>
      </c>
    </row>
    <row r="68" spans="2:5">
      <c r="B68" s="314" t="s">
        <v>54</v>
      </c>
      <c r="C68" s="196" t="s">
        <v>55</v>
      </c>
      <c r="D68" s="80">
        <v>0</v>
      </c>
      <c r="E68" s="81">
        <v>0</v>
      </c>
    </row>
    <row r="69" spans="2:5">
      <c r="B69" s="314" t="s">
        <v>56</v>
      </c>
      <c r="C69" s="196" t="s">
        <v>57</v>
      </c>
      <c r="D69" s="370">
        <v>468564.31</v>
      </c>
      <c r="E69" s="81">
        <f>D69/E21</f>
        <v>6.1516659205197079E-3</v>
      </c>
    </row>
    <row r="70" spans="2:5">
      <c r="B70" s="315" t="s">
        <v>58</v>
      </c>
      <c r="C70" s="240" t="s">
        <v>59</v>
      </c>
      <c r="D70" s="117">
        <v>0</v>
      </c>
      <c r="E70" s="118">
        <v>0</v>
      </c>
    </row>
    <row r="71" spans="2:5" ht="13">
      <c r="B71" s="123" t="s">
        <v>23</v>
      </c>
      <c r="C71" s="124" t="s">
        <v>61</v>
      </c>
      <c r="D71" s="125">
        <f>E13</f>
        <v>0.98</v>
      </c>
      <c r="E71" s="66">
        <v>0</v>
      </c>
    </row>
    <row r="72" spans="2:5" ht="13">
      <c r="B72" s="119" t="s">
        <v>60</v>
      </c>
      <c r="C72" s="120" t="s">
        <v>63</v>
      </c>
      <c r="D72" s="121">
        <f>E14</f>
        <v>8556.68</v>
      </c>
      <c r="E72" s="122">
        <f>D72/E21</f>
        <v>1.1233855337550694E-4</v>
      </c>
    </row>
    <row r="73" spans="2:5" ht="13">
      <c r="B73" s="22" t="s">
        <v>62</v>
      </c>
      <c r="C73" s="23" t="s">
        <v>65</v>
      </c>
      <c r="D73" s="24">
        <f>E17</f>
        <v>540245.54</v>
      </c>
      <c r="E73" s="25">
        <f>D73/E21</f>
        <v>7.0927512108866489E-3</v>
      </c>
    </row>
    <row r="74" spans="2:5" ht="13">
      <c r="B74" s="123" t="s">
        <v>64</v>
      </c>
      <c r="C74" s="124" t="s">
        <v>66</v>
      </c>
      <c r="D74" s="125">
        <f>D58+D71+D72-D73</f>
        <v>76168686.020000011</v>
      </c>
      <c r="E74" s="66">
        <f>E58+E72-E73</f>
        <v>0.99999998713382021</v>
      </c>
    </row>
    <row r="75" spans="2:5">
      <c r="B75" s="314" t="s">
        <v>4</v>
      </c>
      <c r="C75" s="196" t="s">
        <v>67</v>
      </c>
      <c r="D75" s="80">
        <f>D74</f>
        <v>76168686.020000011</v>
      </c>
      <c r="E75" s="81">
        <f>E74</f>
        <v>0.99999998713382021</v>
      </c>
    </row>
    <row r="76" spans="2:5">
      <c r="B76" s="314" t="s">
        <v>6</v>
      </c>
      <c r="C76" s="196" t="s">
        <v>119</v>
      </c>
      <c r="D76" s="80">
        <v>0</v>
      </c>
      <c r="E76" s="81">
        <v>0</v>
      </c>
    </row>
    <row r="77" spans="2:5" ht="13" thickBot="1">
      <c r="B77" s="316" t="s">
        <v>8</v>
      </c>
      <c r="C77" s="200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2" right="0.75" top="0.52" bottom="0.47" header="0.5" footer="0.5"/>
  <pageSetup paperSize="9" scale="70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8"/>
  <dimension ref="A1:L81"/>
  <sheetViews>
    <sheetView zoomScale="80" zoomScaleNormal="80" workbookViewId="0">
      <selection activeCell="A21" sqref="A21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453125" customWidth="1"/>
    <col min="9" max="9" width="13.26953125" customWidth="1"/>
    <col min="10" max="10" width="13.54296875" customWidth="1"/>
    <col min="11" max="11" width="13.179687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243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286476.39</v>
      </c>
      <c r="E11" s="245">
        <f>SUM(E12:E14)</f>
        <v>221893.01</v>
      </c>
    </row>
    <row r="12" spans="2:12">
      <c r="B12" s="184" t="s">
        <v>4</v>
      </c>
      <c r="C12" s="185" t="s">
        <v>5</v>
      </c>
      <c r="D12" s="300">
        <v>286476.39</v>
      </c>
      <c r="E12" s="250">
        <v>221893.01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286476.39</v>
      </c>
      <c r="E21" s="151">
        <f>E11-E17</f>
        <v>221893.01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274039.97000000003</v>
      </c>
      <c r="E26" s="239">
        <f>D21</f>
        <v>286476.39</v>
      </c>
      <c r="G26" s="76"/>
    </row>
    <row r="27" spans="2:11" ht="13">
      <c r="B27" s="8" t="s">
        <v>17</v>
      </c>
      <c r="C27" s="9" t="s">
        <v>111</v>
      </c>
      <c r="D27" s="360">
        <v>8955.6900000000023</v>
      </c>
      <c r="E27" s="275">
        <v>-62840.35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112623.36</v>
      </c>
      <c r="E28" s="276">
        <v>28629.67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24877.86</v>
      </c>
      <c r="E29" s="277">
        <v>23998.86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87745.5</v>
      </c>
      <c r="E31" s="277">
        <v>4630.8100000000004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103667.67</v>
      </c>
      <c r="E32" s="276">
        <v>91470.02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35330.86</v>
      </c>
      <c r="E33" s="277">
        <v>45756.079999999994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2784.84</v>
      </c>
      <c r="E35" s="277">
        <v>2598.21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3631.71</v>
      </c>
      <c r="E37" s="277">
        <v>2905.26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61920.26</v>
      </c>
      <c r="E39" s="278">
        <v>40210.47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3480.73</v>
      </c>
      <c r="E40" s="279">
        <v>-1743.03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286476.39</v>
      </c>
      <c r="E41" s="151">
        <f>E26+E27+E40</f>
        <v>221893.01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  <c r="H42" s="242"/>
    </row>
    <row r="43" spans="2:10" ht="13.5">
      <c r="B43" s="406" t="s">
        <v>60</v>
      </c>
      <c r="C43" s="416"/>
      <c r="D43" s="416"/>
      <c r="E43" s="416"/>
      <c r="G43" s="73"/>
      <c r="H43" s="242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0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978.8889999999999</v>
      </c>
      <c r="E47" s="152">
        <v>1011.998</v>
      </c>
      <c r="G47" s="73"/>
      <c r="H47" s="162"/>
    </row>
    <row r="48" spans="2:10">
      <c r="B48" s="126" t="s">
        <v>6</v>
      </c>
      <c r="C48" s="21" t="s">
        <v>41</v>
      </c>
      <c r="D48" s="371">
        <v>1011.998</v>
      </c>
      <c r="E48" s="152">
        <v>790.35799999999995</v>
      </c>
      <c r="G48" s="162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279.95</v>
      </c>
      <c r="E50" s="152">
        <v>283.08</v>
      </c>
      <c r="G50" s="183"/>
    </row>
    <row r="51" spans="2:7">
      <c r="B51" s="105" t="s">
        <v>6</v>
      </c>
      <c r="C51" s="14" t="s">
        <v>114</v>
      </c>
      <c r="D51" s="371">
        <v>278.95</v>
      </c>
      <c r="E51" s="152">
        <v>280.23</v>
      </c>
      <c r="G51" s="183"/>
    </row>
    <row r="52" spans="2:7">
      <c r="B52" s="105" t="s">
        <v>8</v>
      </c>
      <c r="C52" s="14" t="s">
        <v>115</v>
      </c>
      <c r="D52" s="371">
        <v>283.18</v>
      </c>
      <c r="E52" s="77">
        <v>283.75</v>
      </c>
    </row>
    <row r="53" spans="2:7" ht="13.5" customHeight="1" thickBot="1">
      <c r="B53" s="106" t="s">
        <v>9</v>
      </c>
      <c r="C53" s="16" t="s">
        <v>41</v>
      </c>
      <c r="D53" s="369">
        <v>283.08</v>
      </c>
      <c r="E53" s="280">
        <v>280.75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221893.01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221893.01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5" ht="13">
      <c r="B74" s="133" t="s">
        <v>64</v>
      </c>
      <c r="C74" s="124" t="s">
        <v>66</v>
      </c>
      <c r="D74" s="125">
        <f>D58-D73</f>
        <v>221893.01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221893.01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9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45312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  <c r="H5" s="163"/>
      <c r="I5" s="163"/>
      <c r="J5" s="163"/>
    </row>
    <row r="6" spans="2:12" ht="14">
      <c r="B6" s="403" t="s">
        <v>260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251</v>
      </c>
    </row>
    <row r="11" spans="2:12" ht="13">
      <c r="B11" s="93" t="s">
        <v>3</v>
      </c>
      <c r="C11" s="131" t="s">
        <v>109</v>
      </c>
      <c r="D11" s="299">
        <v>90440.85</v>
      </c>
      <c r="E11" s="245">
        <f>SUM(E12:E14)</f>
        <v>89019.76</v>
      </c>
    </row>
    <row r="12" spans="2:12">
      <c r="B12" s="184" t="s">
        <v>4</v>
      </c>
      <c r="C12" s="185" t="s">
        <v>5</v>
      </c>
      <c r="D12" s="300">
        <v>90440.85</v>
      </c>
      <c r="E12" s="250">
        <v>89019.76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90440.85</v>
      </c>
      <c r="E21" s="151">
        <f>E11-E17</f>
        <v>89019.76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87485.23000000001</v>
      </c>
      <c r="E26" s="239">
        <f>D21</f>
        <v>90440.85</v>
      </c>
      <c r="G26" s="76"/>
    </row>
    <row r="27" spans="2:11" ht="13">
      <c r="B27" s="8" t="s">
        <v>17</v>
      </c>
      <c r="C27" s="9" t="s">
        <v>111</v>
      </c>
      <c r="D27" s="360">
        <v>-2812.45</v>
      </c>
      <c r="E27" s="275">
        <v>-12177.35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6303.04</v>
      </c>
      <c r="E28" s="276">
        <v>8996.35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6303.04</v>
      </c>
      <c r="E29" s="277">
        <v>4901.24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>
        <v>4095.11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9115.49</v>
      </c>
      <c r="E32" s="276">
        <v>21173.7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7599.7500000000009</v>
      </c>
      <c r="E33" s="277">
        <v>15521.96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300.94</v>
      </c>
      <c r="E35" s="277">
        <v>155.87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1214.8</v>
      </c>
      <c r="E37" s="277">
        <v>1370.69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>
        <v>4125.18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5768.07</v>
      </c>
      <c r="E40" s="279">
        <v>10756.26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90440.85</v>
      </c>
      <c r="E41" s="151">
        <f>E26+E27+E40</f>
        <v>89019.76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251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406.92699999999996</v>
      </c>
      <c r="E47" s="152">
        <v>393.88900000000001</v>
      </c>
      <c r="G47" s="73"/>
      <c r="H47" s="162"/>
    </row>
    <row r="48" spans="2:10">
      <c r="B48" s="197" t="s">
        <v>6</v>
      </c>
      <c r="C48" s="198" t="s">
        <v>41</v>
      </c>
      <c r="D48" s="371">
        <v>393.88900000000001</v>
      </c>
      <c r="E48" s="152">
        <v>345.185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214.99</v>
      </c>
      <c r="E50" s="152">
        <v>229.61</v>
      </c>
      <c r="G50" s="183"/>
    </row>
    <row r="51" spans="2:7">
      <c r="B51" s="195" t="s">
        <v>6</v>
      </c>
      <c r="C51" s="196" t="s">
        <v>114</v>
      </c>
      <c r="D51" s="371">
        <v>163.32</v>
      </c>
      <c r="E51" s="77">
        <v>229.61</v>
      </c>
      <c r="G51" s="183"/>
    </row>
    <row r="52" spans="2:7">
      <c r="B52" s="195" t="s">
        <v>8</v>
      </c>
      <c r="C52" s="196" t="s">
        <v>115</v>
      </c>
      <c r="D52" s="371">
        <v>230.13</v>
      </c>
      <c r="E52" s="77">
        <v>270.22000000000003</v>
      </c>
    </row>
    <row r="53" spans="2:7" ht="13" thickBot="1">
      <c r="B53" s="199" t="s">
        <v>9</v>
      </c>
      <c r="C53" s="200" t="s">
        <v>41</v>
      </c>
      <c r="D53" s="369">
        <v>229.61</v>
      </c>
      <c r="E53" s="280">
        <v>257.89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89019.76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24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89019.76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89019.76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89019.76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6000000000000005" right="0.75" top="0.53" bottom="0.55000000000000004" header="0.5" footer="0.5"/>
  <pageSetup paperSize="9" scale="70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0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2.26953125" customWidth="1"/>
    <col min="9" max="9" width="13.26953125" customWidth="1"/>
    <col min="10" max="10" width="13.54296875" customWidth="1"/>
    <col min="11" max="11" width="17.179687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77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29647958.43</v>
      </c>
      <c r="E11" s="245">
        <f>SUM(E12:E14)</f>
        <v>25879762.219999999</v>
      </c>
    </row>
    <row r="12" spans="2:12">
      <c r="B12" s="184" t="s">
        <v>4</v>
      </c>
      <c r="C12" s="185" t="s">
        <v>5</v>
      </c>
      <c r="D12" s="300">
        <v>29647958.43</v>
      </c>
      <c r="E12" s="250">
        <v>25879762.219999999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29647958.43</v>
      </c>
      <c r="E21" s="151">
        <f>E11-E17</f>
        <v>25879762.219999999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182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29426329.940000001</v>
      </c>
      <c r="E26" s="239">
        <f>D21</f>
        <v>29647958.43</v>
      </c>
      <c r="G26" s="76"/>
      <c r="H26" s="242"/>
    </row>
    <row r="27" spans="2:11" ht="13">
      <c r="B27" s="8" t="s">
        <v>17</v>
      </c>
      <c r="C27" s="9" t="s">
        <v>111</v>
      </c>
      <c r="D27" s="360">
        <v>-816483.63</v>
      </c>
      <c r="E27" s="275">
        <v>-2042425.9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1999683.97</v>
      </c>
      <c r="E28" s="276">
        <v>1739053.83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1999683.97</v>
      </c>
      <c r="E29" s="277">
        <v>1739053.83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2816167.6</v>
      </c>
      <c r="E32" s="276">
        <v>3781479.73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2816167.6</v>
      </c>
      <c r="E33" s="277">
        <v>3781479.73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/>
      <c r="E35" s="277"/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/>
      <c r="E37" s="277"/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1038112.12</v>
      </c>
      <c r="E40" s="279">
        <v>-1725770.31</v>
      </c>
      <c r="G40" s="76"/>
      <c r="H40" s="270"/>
    </row>
    <row r="41" spans="2:10" ht="13.5" thickBot="1">
      <c r="B41" s="102" t="s">
        <v>37</v>
      </c>
      <c r="C41" s="103" t="s">
        <v>38</v>
      </c>
      <c r="D41" s="364">
        <v>29647958.430000003</v>
      </c>
      <c r="E41" s="151">
        <f>E26+E27+E40</f>
        <v>25879762.220000003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0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1330370.4044999999</v>
      </c>
      <c r="E47" s="152">
        <v>1293828.8376</v>
      </c>
      <c r="G47" s="73"/>
    </row>
    <row r="48" spans="2:10">
      <c r="B48" s="126" t="s">
        <v>6</v>
      </c>
      <c r="C48" s="21" t="s">
        <v>41</v>
      </c>
      <c r="D48" s="371">
        <v>1293828.8376</v>
      </c>
      <c r="E48" s="152">
        <v>1204432.5301000001</v>
      </c>
      <c r="G48" s="162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22.1189</v>
      </c>
      <c r="E50" s="152">
        <v>22.914899999999999</v>
      </c>
      <c r="G50" s="183"/>
    </row>
    <row r="51" spans="2:7">
      <c r="B51" s="105" t="s">
        <v>6</v>
      </c>
      <c r="C51" s="14" t="s">
        <v>114</v>
      </c>
      <c r="D51" s="371">
        <v>20.298999999999999</v>
      </c>
      <c r="E51" s="77">
        <v>21.329000000000001</v>
      </c>
      <c r="G51" s="183"/>
    </row>
    <row r="52" spans="2:7">
      <c r="B52" s="105" t="s">
        <v>8</v>
      </c>
      <c r="C52" s="14" t="s">
        <v>115</v>
      </c>
      <c r="D52" s="371">
        <v>22.929300000000001</v>
      </c>
      <c r="E52" s="77">
        <v>23.974</v>
      </c>
    </row>
    <row r="53" spans="2:7" ht="13.5" customHeight="1" thickBot="1">
      <c r="B53" s="106" t="s">
        <v>9</v>
      </c>
      <c r="C53" s="16" t="s">
        <v>41</v>
      </c>
      <c r="D53" s="369">
        <v>22.914899999999999</v>
      </c>
      <c r="E53" s="280">
        <v>21.487100000000002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D70</f>
        <v>25879762.219999999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v>0</v>
      </c>
      <c r="E64" s="83"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f>E12</f>
        <v>25879762.219999999</v>
      </c>
      <c r="E70" s="118">
        <f>D70/E21</f>
        <v>1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25879762.219999999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25879762.219999999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6000000000000005" right="0.75" top="0.62" bottom="0.52" header="0.5" footer="0.5"/>
  <pageSetup paperSize="9" scale="70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/>
  <dimension ref="A1:L81"/>
  <sheetViews>
    <sheetView zoomScale="80" zoomScaleNormal="80" workbookViewId="0">
      <selection activeCell="A13" sqref="A13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7.179687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78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37715503.399999999</v>
      </c>
      <c r="E11" s="245">
        <f>SUM(E12:E14)</f>
        <v>0</v>
      </c>
    </row>
    <row r="12" spans="2:12">
      <c r="B12" s="184" t="s">
        <v>4</v>
      </c>
      <c r="C12" s="185" t="s">
        <v>5</v>
      </c>
      <c r="D12" s="300">
        <v>37715503.399999999</v>
      </c>
      <c r="E12" s="250"/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37715503.399999999</v>
      </c>
      <c r="E21" s="151">
        <f>E11-E17</f>
        <v>0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41088497.159999996</v>
      </c>
      <c r="E26" s="239">
        <f>D21</f>
        <v>37715503.399999999</v>
      </c>
      <c r="G26" s="76"/>
    </row>
    <row r="27" spans="2:11" ht="13">
      <c r="B27" s="8" t="s">
        <v>17</v>
      </c>
      <c r="C27" s="9" t="s">
        <v>111</v>
      </c>
      <c r="D27" s="360">
        <v>-1233902.8600000003</v>
      </c>
      <c r="E27" s="275">
        <v>-38138380.530000001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2847437.28</v>
      </c>
      <c r="E28" s="276">
        <v>0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2847437.28</v>
      </c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4081340.14</v>
      </c>
      <c r="E32" s="276">
        <v>38138380.530000001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4081340.14</v>
      </c>
      <c r="E33" s="277">
        <v>38138380.530000001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/>
      <c r="E35" s="277"/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/>
      <c r="E37" s="277"/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-2139090.9</v>
      </c>
      <c r="E40" s="279">
        <v>422877.12999999995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37715503.399999999</v>
      </c>
      <c r="E41" s="151" t="s">
        <v>123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0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787869.49459999998</v>
      </c>
      <c r="E47" s="152">
        <v>764380.01039999991</v>
      </c>
      <c r="G47" s="73"/>
    </row>
    <row r="48" spans="2:10">
      <c r="B48" s="126" t="s">
        <v>6</v>
      </c>
      <c r="C48" s="21" t="s">
        <v>41</v>
      </c>
      <c r="D48" s="371">
        <v>764380.01039999991</v>
      </c>
      <c r="E48" s="152"/>
      <c r="G48" s="205"/>
    </row>
    <row r="49" spans="2:7" ht="13">
      <c r="B49" s="123" t="s">
        <v>23</v>
      </c>
      <c r="C49" s="127" t="s">
        <v>113</v>
      </c>
      <c r="D49" s="373"/>
      <c r="E49" s="152"/>
      <c r="G49" s="205"/>
    </row>
    <row r="50" spans="2:7">
      <c r="B50" s="105" t="s">
        <v>4</v>
      </c>
      <c r="C50" s="14" t="s">
        <v>40</v>
      </c>
      <c r="D50" s="371">
        <v>52.151400000000002</v>
      </c>
      <c r="E50" s="152">
        <v>49.341299999999997</v>
      </c>
      <c r="G50" s="183"/>
    </row>
    <row r="51" spans="2:7">
      <c r="B51" s="105" t="s">
        <v>6</v>
      </c>
      <c r="C51" s="14" t="s">
        <v>114</v>
      </c>
      <c r="D51" s="371">
        <v>46.402000000000001</v>
      </c>
      <c r="E51" s="77">
        <v>49.183399999999999</v>
      </c>
      <c r="G51" s="183"/>
    </row>
    <row r="52" spans="2:7">
      <c r="B52" s="105" t="s">
        <v>8</v>
      </c>
      <c r="C52" s="14" t="s">
        <v>115</v>
      </c>
      <c r="D52" s="371">
        <v>53.927300000000002</v>
      </c>
      <c r="E52" s="77">
        <v>49.894599999999997</v>
      </c>
    </row>
    <row r="53" spans="2:7" ht="12.75" customHeight="1" thickBot="1">
      <c r="B53" s="106" t="s">
        <v>9</v>
      </c>
      <c r="C53" s="16" t="s">
        <v>41</v>
      </c>
      <c r="D53" s="369">
        <v>49.341299999999997</v>
      </c>
      <c r="E53" s="280"/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0</v>
      </c>
      <c r="E58" s="30">
        <v>0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0</v>
      </c>
      <c r="E64" s="83"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D58-D73</f>
        <v>0</v>
      </c>
      <c r="E74" s="66">
        <v>0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0</v>
      </c>
      <c r="E76" s="81">
        <f>E74</f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" right="0.75" top="0.62" bottom="0.61" header="0.5" footer="0.5"/>
  <pageSetup paperSize="9" scale="70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2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26953125" customWidth="1"/>
    <col min="9" max="9" width="13.26953125" customWidth="1"/>
    <col min="10" max="10" width="13.54296875" customWidth="1"/>
    <col min="11" max="11" width="17.179687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.25" customHeight="1">
      <c r="B6" s="403" t="s">
        <v>79</v>
      </c>
      <c r="C6" s="403"/>
      <c r="D6" s="403"/>
      <c r="E6" s="403"/>
    </row>
    <row r="7" spans="2:12" ht="14">
      <c r="B7" s="243"/>
      <c r="C7" s="243"/>
      <c r="D7" s="336"/>
      <c r="E7" s="336"/>
    </row>
    <row r="8" spans="2:12" ht="13.5" customHeight="1">
      <c r="B8" s="405" t="s">
        <v>18</v>
      </c>
      <c r="C8" s="405"/>
      <c r="D8" s="405"/>
      <c r="E8" s="405"/>
    </row>
    <row r="9" spans="2:12" ht="16.5" customHeight="1" thickBot="1">
      <c r="B9" s="404" t="s">
        <v>103</v>
      </c>
      <c r="C9" s="404"/>
      <c r="D9" s="404"/>
      <c r="E9" s="404"/>
    </row>
    <row r="10" spans="2:12" ht="13.5" thickBot="1">
      <c r="B10" s="244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33064935.779999997</v>
      </c>
      <c r="E11" s="245">
        <f>SUM(E12:E14)</f>
        <v>0</v>
      </c>
    </row>
    <row r="12" spans="2:12">
      <c r="B12" s="184" t="s">
        <v>4</v>
      </c>
      <c r="C12" s="185" t="s">
        <v>5</v>
      </c>
      <c r="D12" s="300">
        <v>33064935.779999997</v>
      </c>
      <c r="E12" s="250"/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customHeight="1" thickBot="1">
      <c r="B21" s="409" t="s">
        <v>110</v>
      </c>
      <c r="C21" s="421"/>
      <c r="D21" s="305">
        <v>33064935.779999997</v>
      </c>
      <c r="E21" s="151">
        <f>E11-E17</f>
        <v>0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 customHeight="1">
      <c r="B23" s="405" t="s">
        <v>104</v>
      </c>
      <c r="C23" s="405"/>
      <c r="D23" s="405"/>
      <c r="E23" s="405"/>
      <c r="G23" s="73"/>
    </row>
    <row r="24" spans="2:11" ht="15.75" customHeight="1" thickBot="1">
      <c r="B24" s="404" t="s">
        <v>105</v>
      </c>
      <c r="C24" s="404"/>
      <c r="D24" s="404"/>
      <c r="E24" s="404"/>
    </row>
    <row r="25" spans="2:11" ht="13.5" thickBot="1">
      <c r="B25" s="244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34774696.240000002</v>
      </c>
      <c r="E26" s="239">
        <f>D21</f>
        <v>33064935.779999997</v>
      </c>
      <c r="G26" s="76"/>
    </row>
    <row r="27" spans="2:11" ht="13">
      <c r="B27" s="8" t="s">
        <v>17</v>
      </c>
      <c r="C27" s="9" t="s">
        <v>111</v>
      </c>
      <c r="D27" s="360">
        <v>123793.26000000024</v>
      </c>
      <c r="E27" s="275">
        <v>-34120471.689999998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2401858.81</v>
      </c>
      <c r="E28" s="276">
        <v>192366.63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2401858.81</v>
      </c>
      <c r="E29" s="277">
        <v>192366.63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2278065.5499999998</v>
      </c>
      <c r="E32" s="276">
        <v>34312838.32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2278065.5499999998</v>
      </c>
      <c r="E33" s="277">
        <v>34312838.32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/>
      <c r="E35" s="277"/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/>
      <c r="E37" s="277"/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-1833553.72</v>
      </c>
      <c r="E40" s="279">
        <v>1055535.9099999999</v>
      </c>
      <c r="G40" s="76"/>
    </row>
    <row r="41" spans="2:10" ht="13.5" thickBot="1">
      <c r="B41" s="102" t="s">
        <v>37</v>
      </c>
      <c r="C41" s="103" t="s">
        <v>38</v>
      </c>
      <c r="D41" s="364">
        <v>33064935.780000001</v>
      </c>
      <c r="E41" s="151">
        <f>E26+E27+E40</f>
        <v>0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 customHeight="1">
      <c r="B43" s="406" t="s">
        <v>60</v>
      </c>
      <c r="C43" s="406"/>
      <c r="D43" s="406"/>
      <c r="E43" s="406"/>
      <c r="G43" s="73"/>
    </row>
    <row r="44" spans="2:10" ht="18" customHeight="1" thickBot="1">
      <c r="B44" s="404" t="s">
        <v>121</v>
      </c>
      <c r="C44" s="404"/>
      <c r="D44" s="404"/>
      <c r="E44" s="404"/>
      <c r="G44" s="73"/>
    </row>
    <row r="45" spans="2:10" ht="13.5" thickBot="1">
      <c r="B45" s="244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637508.68480000005</v>
      </c>
      <c r="E47" s="152">
        <v>640133.34649999999</v>
      </c>
      <c r="G47" s="73"/>
      <c r="H47" s="162"/>
    </row>
    <row r="48" spans="2:10">
      <c r="B48" s="197" t="s">
        <v>6</v>
      </c>
      <c r="C48" s="198" t="s">
        <v>41</v>
      </c>
      <c r="D48" s="371">
        <v>640133.34649999999</v>
      </c>
      <c r="E48" s="152"/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54.547800000000002</v>
      </c>
      <c r="E50" s="152">
        <v>51.653199999999998</v>
      </c>
      <c r="G50" s="183"/>
    </row>
    <row r="51" spans="2:7">
      <c r="B51" s="195" t="s">
        <v>6</v>
      </c>
      <c r="C51" s="196" t="s">
        <v>114</v>
      </c>
      <c r="D51" s="371">
        <v>48.3262</v>
      </c>
      <c r="E51" s="77">
        <v>51.491100000000003</v>
      </c>
      <c r="G51" s="183"/>
    </row>
    <row r="52" spans="2:7">
      <c r="B52" s="195" t="s">
        <v>8</v>
      </c>
      <c r="C52" s="196" t="s">
        <v>115</v>
      </c>
      <c r="D52" s="371">
        <v>56.163600000000002</v>
      </c>
      <c r="E52" s="77">
        <v>53.298999999999999</v>
      </c>
    </row>
    <row r="53" spans="2:7" ht="13.5" customHeight="1" thickBot="1">
      <c r="B53" s="199" t="s">
        <v>9</v>
      </c>
      <c r="C53" s="200" t="s">
        <v>41</v>
      </c>
      <c r="D53" s="369">
        <v>51.653199999999998</v>
      </c>
      <c r="E53" s="280"/>
    </row>
    <row r="54" spans="2:7">
      <c r="B54" s="112"/>
      <c r="C54" s="113"/>
      <c r="D54" s="114"/>
      <c r="E54" s="114"/>
    </row>
    <row r="55" spans="2:7" ht="13.5" customHeight="1">
      <c r="B55" s="406" t="s">
        <v>62</v>
      </c>
      <c r="C55" s="406"/>
      <c r="D55" s="406"/>
      <c r="E55" s="406"/>
    </row>
    <row r="56" spans="2:7" ht="18" customHeight="1" thickBot="1">
      <c r="B56" s="404" t="s">
        <v>116</v>
      </c>
      <c r="C56" s="404"/>
      <c r="D56" s="404"/>
      <c r="E56" s="404"/>
    </row>
    <row r="57" spans="2:7" ht="23.25" customHeight="1" thickBot="1">
      <c r="B57" s="419" t="s">
        <v>42</v>
      </c>
      <c r="C57" s="42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0</v>
      </c>
      <c r="E58" s="30">
        <v>0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0</v>
      </c>
      <c r="E64" s="83"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D58-D73</f>
        <v>0</v>
      </c>
      <c r="E74" s="66">
        <v>0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0</v>
      </c>
      <c r="E76" s="81">
        <f>E74</f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75" right="0.75" top="0.71" bottom="0.63" header="0.5" footer="0.5"/>
  <pageSetup paperSize="9" scale="70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3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7.179687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.25" customHeight="1">
      <c r="B6" s="403" t="s">
        <v>80</v>
      </c>
      <c r="C6" s="403"/>
      <c r="D6" s="403"/>
      <c r="E6" s="403"/>
    </row>
    <row r="7" spans="2:12" ht="14">
      <c r="B7" s="243"/>
      <c r="C7" s="243"/>
      <c r="D7" s="336"/>
      <c r="E7" s="336"/>
    </row>
    <row r="8" spans="2:12" ht="13.5" customHeight="1">
      <c r="B8" s="405" t="s">
        <v>18</v>
      </c>
      <c r="C8" s="405"/>
      <c r="D8" s="405"/>
      <c r="E8" s="405"/>
    </row>
    <row r="9" spans="2:12" ht="16.5" customHeight="1" thickBot="1">
      <c r="B9" s="404" t="s">
        <v>103</v>
      </c>
      <c r="C9" s="404"/>
      <c r="D9" s="404"/>
      <c r="E9" s="404"/>
    </row>
    <row r="10" spans="2:12" ht="13.5" thickBot="1">
      <c r="B10" s="244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31223838.18</v>
      </c>
      <c r="E11" s="245">
        <f>SUM(E12:E14)</f>
        <v>0</v>
      </c>
    </row>
    <row r="12" spans="2:12">
      <c r="B12" s="109" t="s">
        <v>4</v>
      </c>
      <c r="C12" s="5" t="s">
        <v>5</v>
      </c>
      <c r="D12" s="300">
        <v>31223838.18</v>
      </c>
      <c r="E12" s="250"/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customHeight="1" thickBot="1">
      <c r="B21" s="409" t="s">
        <v>110</v>
      </c>
      <c r="C21" s="421"/>
      <c r="D21" s="305">
        <v>31223838.18</v>
      </c>
      <c r="E21" s="151">
        <f>E11-E17</f>
        <v>0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 customHeight="1">
      <c r="B23" s="405" t="s">
        <v>104</v>
      </c>
      <c r="C23" s="405"/>
      <c r="D23" s="405"/>
      <c r="E23" s="405"/>
      <c r="G23" s="73"/>
    </row>
    <row r="24" spans="2:11" ht="15.75" customHeight="1" thickBot="1">
      <c r="B24" s="404" t="s">
        <v>105</v>
      </c>
      <c r="C24" s="404"/>
      <c r="D24" s="404"/>
      <c r="E24" s="404"/>
    </row>
    <row r="25" spans="2:11" ht="13.5" thickBot="1">
      <c r="B25" s="244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33465586.559999999</v>
      </c>
      <c r="E26" s="239">
        <f>D21</f>
        <v>31223838.18</v>
      </c>
      <c r="G26" s="76"/>
    </row>
    <row r="27" spans="2:11" ht="13">
      <c r="B27" s="8" t="s">
        <v>17</v>
      </c>
      <c r="C27" s="9" t="s">
        <v>111</v>
      </c>
      <c r="D27" s="360">
        <v>-482453.68999999994</v>
      </c>
      <c r="E27" s="275">
        <v>-32227420.98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2293102.9700000002</v>
      </c>
      <c r="E28" s="276">
        <v>364579.65</v>
      </c>
      <c r="F28" s="73"/>
      <c r="G28" s="73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2293102.9700000002</v>
      </c>
      <c r="E29" s="277">
        <v>364579.65</v>
      </c>
      <c r="F29" s="73"/>
      <c r="G29" s="73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2775556.66</v>
      </c>
      <c r="E32" s="276">
        <v>32592000.629999999</v>
      </c>
      <c r="F32" s="73"/>
      <c r="G32" s="7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2775556.66</v>
      </c>
      <c r="E33" s="277">
        <v>32592000.629999999</v>
      </c>
      <c r="F33" s="73"/>
      <c r="G33" s="73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07" t="s">
        <v>8</v>
      </c>
      <c r="C35" s="5" t="s">
        <v>27</v>
      </c>
      <c r="D35" s="361"/>
      <c r="E35" s="277"/>
      <c r="F35" s="73"/>
      <c r="G35" s="73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07" t="s">
        <v>29</v>
      </c>
      <c r="C37" s="5" t="s">
        <v>30</v>
      </c>
      <c r="D37" s="361"/>
      <c r="E37" s="277"/>
      <c r="F37" s="73"/>
      <c r="G37" s="73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08" t="s">
        <v>33</v>
      </c>
      <c r="C39" s="11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-1759294.69</v>
      </c>
      <c r="E40" s="279">
        <v>1003582.7999999999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31223838.179999996</v>
      </c>
      <c r="E41" s="151">
        <f>E26+E27+E40</f>
        <v>0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 customHeight="1">
      <c r="B43" s="406" t="s">
        <v>60</v>
      </c>
      <c r="C43" s="406"/>
      <c r="D43" s="406"/>
      <c r="E43" s="406"/>
      <c r="G43" s="73"/>
    </row>
    <row r="44" spans="2:10" ht="18" customHeight="1" thickBot="1">
      <c r="B44" s="404" t="s">
        <v>121</v>
      </c>
      <c r="C44" s="404"/>
      <c r="D44" s="404"/>
      <c r="E44" s="404"/>
      <c r="G44" s="73"/>
    </row>
    <row r="45" spans="2:10" ht="13.5" thickBot="1">
      <c r="B45" s="244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611651.35759999999</v>
      </c>
      <c r="E47" s="152">
        <v>602409.30579999997</v>
      </c>
      <c r="G47" s="73"/>
      <c r="H47" s="162"/>
    </row>
    <row r="48" spans="2:10">
      <c r="B48" s="126" t="s">
        <v>6</v>
      </c>
      <c r="C48" s="21" t="s">
        <v>41</v>
      </c>
      <c r="D48" s="371">
        <v>602409.30579999997</v>
      </c>
      <c r="E48" s="152"/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54.713500000000003</v>
      </c>
      <c r="E50" s="152">
        <v>51.831600000000002</v>
      </c>
      <c r="G50" s="183"/>
    </row>
    <row r="51" spans="2:7">
      <c r="B51" s="105" t="s">
        <v>6</v>
      </c>
      <c r="C51" s="14" t="s">
        <v>114</v>
      </c>
      <c r="D51" s="371">
        <v>48.468699999999998</v>
      </c>
      <c r="E51" s="152">
        <v>51.667499999999997</v>
      </c>
      <c r="G51" s="183"/>
    </row>
    <row r="52" spans="2:7">
      <c r="B52" s="105" t="s">
        <v>8</v>
      </c>
      <c r="C52" s="14" t="s">
        <v>115</v>
      </c>
      <c r="D52" s="371">
        <v>56.316099999999999</v>
      </c>
      <c r="E52" s="77">
        <v>53.685200000000002</v>
      </c>
    </row>
    <row r="53" spans="2:7" ht="13.5" customHeight="1" thickBot="1">
      <c r="B53" s="106" t="s">
        <v>9</v>
      </c>
      <c r="C53" s="16" t="s">
        <v>41</v>
      </c>
      <c r="D53" s="369">
        <v>51.831600000000002</v>
      </c>
      <c r="E53" s="280"/>
    </row>
    <row r="54" spans="2:7">
      <c r="B54" s="112"/>
      <c r="C54" s="113"/>
      <c r="D54" s="114"/>
      <c r="E54" s="114"/>
    </row>
    <row r="55" spans="2:7" ht="13.5" customHeight="1">
      <c r="B55" s="406" t="s">
        <v>62</v>
      </c>
      <c r="C55" s="406"/>
      <c r="D55" s="406"/>
      <c r="E55" s="406"/>
    </row>
    <row r="56" spans="2:7" ht="15.75" customHeight="1" thickBot="1">
      <c r="B56" s="404" t="s">
        <v>116</v>
      </c>
      <c r="C56" s="404"/>
      <c r="D56" s="404"/>
      <c r="E56" s="404"/>
    </row>
    <row r="57" spans="2:7" ht="23.25" customHeight="1" thickBot="1">
      <c r="B57" s="419" t="s">
        <v>42</v>
      </c>
      <c r="C57" s="42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0</v>
      </c>
      <c r="E58" s="30">
        <v>0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0</v>
      </c>
      <c r="E64" s="83"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D58-D73</f>
        <v>0</v>
      </c>
      <c r="E74" s="66">
        <v>0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0</v>
      </c>
      <c r="E76" s="81">
        <f>E74</f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1" right="0.75" top="0.56000000000000005" bottom="0.5" header="0.5" footer="0.5"/>
  <pageSetup paperSize="9" scale="70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4"/>
  <dimension ref="A1:L81"/>
  <sheetViews>
    <sheetView zoomScale="80" zoomScaleNormal="80" workbookViewId="0">
      <selection activeCell="A17" sqref="A17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4.269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81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27949104.030000001</v>
      </c>
      <c r="E11" s="245">
        <f>SUM(E12:E14)</f>
        <v>24167409.27</v>
      </c>
    </row>
    <row r="12" spans="2:12">
      <c r="B12" s="184" t="s">
        <v>4</v>
      </c>
      <c r="C12" s="185" t="s">
        <v>5</v>
      </c>
      <c r="D12" s="300">
        <v>27949104.030000001</v>
      </c>
      <c r="E12" s="250">
        <v>24167409.27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27949104.030000001</v>
      </c>
      <c r="E21" s="151">
        <f>E11-E17</f>
        <v>24167409.27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182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28398060.829999998</v>
      </c>
      <c r="E26" s="239">
        <f>D21</f>
        <v>27949104.030000001</v>
      </c>
      <c r="G26" s="76"/>
      <c r="H26" s="242"/>
    </row>
    <row r="27" spans="2:11" ht="13">
      <c r="B27" s="8" t="s">
        <v>17</v>
      </c>
      <c r="C27" s="9" t="s">
        <v>111</v>
      </c>
      <c r="D27" s="360">
        <v>-1300387.7399999998</v>
      </c>
      <c r="E27" s="275">
        <v>-2265238.2799999998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1853704.65</v>
      </c>
      <c r="E28" s="276">
        <v>1631949.9100000001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1853704.65</v>
      </c>
      <c r="E29" s="277">
        <v>1631949.9100000001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3154092.3899999997</v>
      </c>
      <c r="E32" s="276">
        <v>3897188.19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3154092.3899999997</v>
      </c>
      <c r="E33" s="277">
        <v>3897188.19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/>
      <c r="E35" s="277"/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/>
      <c r="E37" s="277"/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851430.94</v>
      </c>
      <c r="E40" s="279">
        <v>-1516456.48</v>
      </c>
      <c r="G40" s="76"/>
    </row>
    <row r="41" spans="2:10" ht="13.5" thickBot="1">
      <c r="B41" s="102" t="s">
        <v>37</v>
      </c>
      <c r="C41" s="103" t="s">
        <v>38</v>
      </c>
      <c r="D41" s="364">
        <v>27949104.030000001</v>
      </c>
      <c r="E41" s="151">
        <f>E26+E27+E40</f>
        <v>24167409.27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0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1139102.8084999998</v>
      </c>
      <c r="E47" s="152">
        <v>1086178.2413000001</v>
      </c>
      <c r="G47" s="73"/>
      <c r="H47" s="162"/>
    </row>
    <row r="48" spans="2:10">
      <c r="B48" s="126" t="s">
        <v>6</v>
      </c>
      <c r="C48" s="21" t="s">
        <v>41</v>
      </c>
      <c r="D48" s="371">
        <v>1086178.2413000001</v>
      </c>
      <c r="E48" s="152">
        <v>998401.61239999998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24.930199999999999</v>
      </c>
      <c r="E50" s="152">
        <v>25.7316</v>
      </c>
      <c r="G50" s="183"/>
    </row>
    <row r="51" spans="2:7">
      <c r="B51" s="105" t="s">
        <v>6</v>
      </c>
      <c r="C51" s="14" t="s">
        <v>114</v>
      </c>
      <c r="D51" s="371">
        <v>22.602499999999999</v>
      </c>
      <c r="E51" s="152">
        <v>23.6252</v>
      </c>
      <c r="G51" s="183"/>
    </row>
    <row r="52" spans="2:7">
      <c r="B52" s="105" t="s">
        <v>8</v>
      </c>
      <c r="C52" s="14" t="s">
        <v>115</v>
      </c>
      <c r="D52" s="371">
        <v>25.954499999999999</v>
      </c>
      <c r="E52" s="77">
        <v>27.116399999999999</v>
      </c>
    </row>
    <row r="53" spans="2:7" ht="12.75" customHeight="1" thickBot="1">
      <c r="B53" s="106" t="s">
        <v>9</v>
      </c>
      <c r="C53" s="16" t="s">
        <v>41</v>
      </c>
      <c r="D53" s="369">
        <v>25.7316</v>
      </c>
      <c r="E53" s="280">
        <v>24.206099999999999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D70</f>
        <v>24167409.27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v>0</v>
      </c>
      <c r="E64" s="83"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f>E12</f>
        <v>24167409.27</v>
      </c>
      <c r="E70" s="118">
        <f>D70/E21</f>
        <v>1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24167409.27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24167409.27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9" right="0.75" top="0.61" bottom="0.51" header="0.5" footer="0.5"/>
  <pageSetup paperSize="9" scale="70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.81640625" customWidth="1"/>
    <col min="9" max="9" width="13.26953125" customWidth="1"/>
    <col min="10" max="10" width="13.54296875" customWidth="1"/>
    <col min="11" max="11" width="13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82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20569987.079999998</v>
      </c>
      <c r="E11" s="245">
        <f>SUM(E12:E14)</f>
        <v>18232401.43</v>
      </c>
    </row>
    <row r="12" spans="2:12">
      <c r="B12" s="109" t="s">
        <v>4</v>
      </c>
      <c r="C12" s="5" t="s">
        <v>5</v>
      </c>
      <c r="D12" s="300">
        <v>20569987.079999998</v>
      </c>
      <c r="E12" s="250">
        <v>18232401.43</v>
      </c>
    </row>
    <row r="13" spans="2:12">
      <c r="B13" s="109" t="s">
        <v>6</v>
      </c>
      <c r="C13" s="68" t="s">
        <v>7</v>
      </c>
      <c r="D13" s="301"/>
      <c r="E13" s="251"/>
    </row>
    <row r="14" spans="2:12">
      <c r="B14" s="109" t="s">
        <v>8</v>
      </c>
      <c r="C14" s="68" t="s">
        <v>10</v>
      </c>
      <c r="D14" s="301"/>
      <c r="E14" s="251"/>
      <c r="G14" s="67"/>
    </row>
    <row r="15" spans="2:12">
      <c r="B15" s="109" t="s">
        <v>106</v>
      </c>
      <c r="C15" s="68" t="s">
        <v>11</v>
      </c>
      <c r="D15" s="301"/>
      <c r="E15" s="251"/>
    </row>
    <row r="16" spans="2:12">
      <c r="B16" s="110" t="s">
        <v>107</v>
      </c>
      <c r="C16" s="94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09" t="s">
        <v>4</v>
      </c>
      <c r="C18" s="5" t="s">
        <v>11</v>
      </c>
      <c r="D18" s="302"/>
      <c r="E18" s="252"/>
    </row>
    <row r="19" spans="2:11" ht="15" customHeight="1">
      <c r="B19" s="109" t="s">
        <v>6</v>
      </c>
      <c r="C19" s="68" t="s">
        <v>108</v>
      </c>
      <c r="D19" s="301"/>
      <c r="E19" s="251"/>
    </row>
    <row r="20" spans="2:11" ht="13" thickBot="1">
      <c r="B20" s="111" t="s">
        <v>8</v>
      </c>
      <c r="C20" s="69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20569987.079999998</v>
      </c>
      <c r="E21" s="151">
        <f>E11-E17</f>
        <v>18232401.43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7"/>
      <c r="D23" s="417"/>
      <c r="E23" s="417"/>
      <c r="G23" s="73"/>
    </row>
    <row r="24" spans="2:11" ht="15.75" customHeight="1" thickBot="1">
      <c r="B24" s="404" t="s">
        <v>105</v>
      </c>
      <c r="C24" s="418"/>
      <c r="D24" s="418"/>
      <c r="E24" s="418"/>
    </row>
    <row r="25" spans="2:11" ht="13.5" thickBot="1">
      <c r="B25" s="140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20469519.77</v>
      </c>
      <c r="E26" s="239">
        <f>D21</f>
        <v>20569987.079999998</v>
      </c>
      <c r="G26" s="76"/>
    </row>
    <row r="27" spans="2:11" ht="13">
      <c r="B27" s="8" t="s">
        <v>17</v>
      </c>
      <c r="C27" s="9" t="s">
        <v>111</v>
      </c>
      <c r="D27" s="360">
        <v>-559577.25</v>
      </c>
      <c r="E27" s="275">
        <v>-1145780.1499999999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1373641.22</v>
      </c>
      <c r="E28" s="276">
        <v>1236256.51</v>
      </c>
      <c r="F28" s="73"/>
      <c r="G28" s="73"/>
      <c r="H28" s="255"/>
      <c r="I28" s="73"/>
      <c r="J28" s="76"/>
    </row>
    <row r="29" spans="2:11" ht="13">
      <c r="B29" s="107" t="s">
        <v>4</v>
      </c>
      <c r="C29" s="5" t="s">
        <v>20</v>
      </c>
      <c r="D29" s="361">
        <v>1373641.22</v>
      </c>
      <c r="E29" s="277">
        <v>1236256.51</v>
      </c>
      <c r="F29" s="73"/>
      <c r="G29" s="73"/>
      <c r="H29" s="255"/>
      <c r="I29" s="73"/>
      <c r="J29" s="76"/>
    </row>
    <row r="30" spans="2:11" ht="13">
      <c r="B30" s="107" t="s">
        <v>6</v>
      </c>
      <c r="C30" s="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07" t="s">
        <v>8</v>
      </c>
      <c r="C31" s="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1933218.47</v>
      </c>
      <c r="E32" s="276">
        <v>2382036.66</v>
      </c>
      <c r="F32" s="73"/>
      <c r="G32" s="76"/>
      <c r="H32" s="255"/>
      <c r="I32" s="73"/>
      <c r="J32" s="76"/>
    </row>
    <row r="33" spans="2:10" ht="13">
      <c r="B33" s="107" t="s">
        <v>4</v>
      </c>
      <c r="C33" s="5" t="s">
        <v>25</v>
      </c>
      <c r="D33" s="361">
        <v>1933218.47</v>
      </c>
      <c r="E33" s="277">
        <v>2382036.66</v>
      </c>
      <c r="F33" s="73"/>
      <c r="G33" s="73"/>
      <c r="H33" s="255"/>
      <c r="I33" s="73"/>
      <c r="J33" s="76"/>
    </row>
    <row r="34" spans="2:10" ht="13">
      <c r="B34" s="107" t="s">
        <v>6</v>
      </c>
      <c r="C34" s="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07" t="s">
        <v>8</v>
      </c>
      <c r="C35" s="5" t="s">
        <v>27</v>
      </c>
      <c r="D35" s="361"/>
      <c r="E35" s="277"/>
      <c r="F35" s="73"/>
      <c r="G35" s="73"/>
      <c r="H35" s="255"/>
      <c r="I35" s="73"/>
      <c r="J35" s="76"/>
    </row>
    <row r="36" spans="2:10" ht="13">
      <c r="B36" s="107" t="s">
        <v>9</v>
      </c>
      <c r="C36" s="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07" t="s">
        <v>29</v>
      </c>
      <c r="C37" s="5" t="s">
        <v>30</v>
      </c>
      <c r="D37" s="361"/>
      <c r="E37" s="277"/>
      <c r="F37" s="73"/>
      <c r="G37" s="73"/>
      <c r="H37" s="255"/>
      <c r="I37" s="73"/>
      <c r="J37" s="76"/>
    </row>
    <row r="38" spans="2:10" ht="13">
      <c r="B38" s="107" t="s">
        <v>31</v>
      </c>
      <c r="C38" s="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08" t="s">
        <v>33</v>
      </c>
      <c r="C39" s="11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660044.56000000006</v>
      </c>
      <c r="E40" s="279">
        <v>-1191805.5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20569987.079999998</v>
      </c>
      <c r="E41" s="151">
        <f>E26+E27+E40</f>
        <v>18232401.43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8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140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05" t="s">
        <v>4</v>
      </c>
      <c r="C47" s="14" t="s">
        <v>40</v>
      </c>
      <c r="D47" s="371">
        <v>881307.81790000002</v>
      </c>
      <c r="E47" s="152">
        <v>856633.06259999995</v>
      </c>
      <c r="G47" s="73"/>
    </row>
    <row r="48" spans="2:10">
      <c r="B48" s="126" t="s">
        <v>6</v>
      </c>
      <c r="C48" s="21" t="s">
        <v>41</v>
      </c>
      <c r="D48" s="371">
        <v>856633.06259999995</v>
      </c>
      <c r="E48" s="152">
        <v>809027.31740000006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05" t="s">
        <v>4</v>
      </c>
      <c r="C50" s="14" t="s">
        <v>40</v>
      </c>
      <c r="D50" s="371">
        <v>23.226299999999998</v>
      </c>
      <c r="E50" s="152">
        <v>24.012599999999999</v>
      </c>
      <c r="G50" s="183"/>
    </row>
    <row r="51" spans="2:7">
      <c r="B51" s="105" t="s">
        <v>6</v>
      </c>
      <c r="C51" s="14" t="s">
        <v>114</v>
      </c>
      <c r="D51" s="371">
        <v>21.341799999999999</v>
      </c>
      <c r="E51" s="152">
        <v>22.184699999999999</v>
      </c>
      <c r="G51" s="183"/>
    </row>
    <row r="52" spans="2:7">
      <c r="B52" s="105" t="s">
        <v>8</v>
      </c>
      <c r="C52" s="14" t="s">
        <v>115</v>
      </c>
      <c r="D52" s="371">
        <v>24.155200000000001</v>
      </c>
      <c r="E52" s="77">
        <v>25.2639</v>
      </c>
    </row>
    <row r="53" spans="2:7" ht="13.5" customHeight="1" thickBot="1">
      <c r="B53" s="106" t="s">
        <v>9</v>
      </c>
      <c r="C53" s="16" t="s">
        <v>41</v>
      </c>
      <c r="D53" s="369">
        <v>24.012599999999999</v>
      </c>
      <c r="E53" s="280">
        <v>22.536200000000001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D70</f>
        <v>18232401.43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v>0</v>
      </c>
      <c r="E64" s="83"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f>E12</f>
        <v>18232401.43</v>
      </c>
      <c r="E70" s="118">
        <f>D70/E21</f>
        <v>1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18232401.43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18232401.43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1" right="0.75" top="0.68" bottom="0.65" header="0.5" footer="0.5"/>
  <pageSetup paperSize="9" scale="70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81640625" customWidth="1"/>
    <col min="9" max="9" width="13.26953125" customWidth="1"/>
    <col min="10" max="10" width="13.54296875" customWidth="1"/>
    <col min="11" max="11" width="16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83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25815889.300000001</v>
      </c>
      <c r="E11" s="245">
        <f>SUM(E12:E14)</f>
        <v>22337013.109999999</v>
      </c>
    </row>
    <row r="12" spans="2:12">
      <c r="B12" s="184" t="s">
        <v>4</v>
      </c>
      <c r="C12" s="185" t="s">
        <v>5</v>
      </c>
      <c r="D12" s="300">
        <v>25815889.300000001</v>
      </c>
      <c r="E12" s="250">
        <v>22337013.109999999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25815889.300000001</v>
      </c>
      <c r="E21" s="151">
        <f>E11-E17</f>
        <v>22337013.109999999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165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26495747.399999999</v>
      </c>
      <c r="E26" s="239">
        <f>D21</f>
        <v>25815889.300000001</v>
      </c>
      <c r="G26" s="76"/>
    </row>
    <row r="27" spans="2:11" ht="13">
      <c r="B27" s="8" t="s">
        <v>17</v>
      </c>
      <c r="C27" s="9" t="s">
        <v>111</v>
      </c>
      <c r="D27" s="360">
        <v>-1478707.66</v>
      </c>
      <c r="E27" s="275">
        <v>-1961726.41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1740698.82</v>
      </c>
      <c r="E28" s="276">
        <v>1539592.19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1740698.82</v>
      </c>
      <c r="E29" s="277">
        <v>1539592.19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3219406.48</v>
      </c>
      <c r="E32" s="276">
        <v>3501318.6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3219406.48</v>
      </c>
      <c r="E33" s="277">
        <v>3501318.6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/>
      <c r="E35" s="277"/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/>
      <c r="E37" s="277"/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798849.56</v>
      </c>
      <c r="E40" s="279">
        <v>-1517149.78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25815889.299999997</v>
      </c>
      <c r="E41" s="151">
        <f>E26+E27+E40</f>
        <v>22337013.109999999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93">
        <v>1081657.7492</v>
      </c>
      <c r="E47" s="152">
        <v>1019915.1899</v>
      </c>
      <c r="G47" s="73"/>
    </row>
    <row r="48" spans="2:10">
      <c r="B48" s="197" t="s">
        <v>6</v>
      </c>
      <c r="C48" s="198" t="s">
        <v>41</v>
      </c>
      <c r="D48" s="393">
        <v>1019915.1899</v>
      </c>
      <c r="E48" s="152">
        <v>943035.1348</v>
      </c>
      <c r="G48" s="162"/>
    </row>
    <row r="49" spans="2:7" ht="13">
      <c r="B49" s="123" t="s">
        <v>23</v>
      </c>
      <c r="C49" s="127" t="s">
        <v>113</v>
      </c>
      <c r="D49" s="394"/>
      <c r="E49" s="152"/>
    </row>
    <row r="50" spans="2:7">
      <c r="B50" s="195" t="s">
        <v>4</v>
      </c>
      <c r="C50" s="196" t="s">
        <v>40</v>
      </c>
      <c r="D50" s="393">
        <v>24.4955</v>
      </c>
      <c r="E50" s="152">
        <v>25.311800000000002</v>
      </c>
      <c r="G50" s="183"/>
    </row>
    <row r="51" spans="2:7">
      <c r="B51" s="195" t="s">
        <v>6</v>
      </c>
      <c r="C51" s="196" t="s">
        <v>114</v>
      </c>
      <c r="D51" s="393">
        <v>22.2988</v>
      </c>
      <c r="E51" s="77">
        <v>23.381</v>
      </c>
      <c r="G51" s="183"/>
    </row>
    <row r="52" spans="2:7">
      <c r="B52" s="195" t="s">
        <v>8</v>
      </c>
      <c r="C52" s="196" t="s">
        <v>115</v>
      </c>
      <c r="D52" s="393">
        <v>25.5197</v>
      </c>
      <c r="E52" s="77">
        <v>26.669</v>
      </c>
    </row>
    <row r="53" spans="2:7" ht="13.5" customHeight="1" thickBot="1">
      <c r="B53" s="199" t="s">
        <v>9</v>
      </c>
      <c r="C53" s="200" t="s">
        <v>41</v>
      </c>
      <c r="D53" s="395">
        <v>25.311800000000002</v>
      </c>
      <c r="E53" s="280">
        <v>23.686299999999999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D70</f>
        <v>22337013.109999999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v>0</v>
      </c>
      <c r="E64" s="83"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f>E12</f>
        <v>22337013.109999999</v>
      </c>
      <c r="E70" s="118">
        <f>D70/E21</f>
        <v>1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22337013.109999999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v>0</v>
      </c>
      <c r="E75" s="81">
        <v>0</v>
      </c>
    </row>
    <row r="76" spans="2:5">
      <c r="B76" s="105" t="s">
        <v>6</v>
      </c>
      <c r="C76" s="14" t="s">
        <v>119</v>
      </c>
      <c r="D76" s="80">
        <f>D74</f>
        <v>22337013.109999999</v>
      </c>
      <c r="E76" s="81">
        <f>E74</f>
        <v>1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1" right="0.75" top="0.56999999999999995" bottom="0.55000000000000004" header="0.5" footer="0.5"/>
  <pageSetup paperSize="9" scale="70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7.1796875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176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1173730.01</v>
      </c>
      <c r="E11" s="245">
        <f>SUM(E12:E14)</f>
        <v>1359304.74</v>
      </c>
    </row>
    <row r="12" spans="2:12">
      <c r="B12" s="184" t="s">
        <v>4</v>
      </c>
      <c r="C12" s="185" t="s">
        <v>5</v>
      </c>
      <c r="D12" s="300">
        <v>1173730.01</v>
      </c>
      <c r="E12" s="250">
        <v>1359304.74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1173730.01</v>
      </c>
      <c r="E21" s="151">
        <f>E11-E17</f>
        <v>1359304.74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1782520.5999999999</v>
      </c>
      <c r="E26" s="239">
        <f>D21</f>
        <v>1173730.01</v>
      </c>
      <c r="G26" s="76"/>
    </row>
    <row r="27" spans="2:11" ht="13">
      <c r="B27" s="8" t="s">
        <v>17</v>
      </c>
      <c r="C27" s="9" t="s">
        <v>111</v>
      </c>
      <c r="D27" s="360">
        <v>-504047.03000000009</v>
      </c>
      <c r="E27" s="275">
        <v>-51470.16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106196.54999999999</v>
      </c>
      <c r="E28" s="276">
        <v>41897.19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26441.87</v>
      </c>
      <c r="E29" s="277">
        <v>23594.41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79754.679999999993</v>
      </c>
      <c r="E31" s="277">
        <v>18302.78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610243.58000000007</v>
      </c>
      <c r="E32" s="276">
        <v>93367.35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136226.49000000002</v>
      </c>
      <c r="E33" s="277">
        <v>54302.799999999996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3930.11</v>
      </c>
      <c r="E35" s="277">
        <v>1626.32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18579.900000000001</v>
      </c>
      <c r="E37" s="277">
        <v>19896.260000000002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451507.08</v>
      </c>
      <c r="E39" s="278">
        <v>17541.97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-104743.56</v>
      </c>
      <c r="E40" s="279">
        <v>237044.89</v>
      </c>
      <c r="G40" s="76"/>
      <c r="H40" s="270"/>
    </row>
    <row r="41" spans="2:10" ht="13.5" thickBot="1">
      <c r="B41" s="102" t="s">
        <v>37</v>
      </c>
      <c r="C41" s="103" t="s">
        <v>38</v>
      </c>
      <c r="D41" s="364">
        <v>1173730.0099999998</v>
      </c>
      <c r="E41" s="151">
        <f>E26+E27+E40</f>
        <v>1359304.7400000002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5862.2047869999997</v>
      </c>
      <c r="E47" s="152">
        <v>3599.736285</v>
      </c>
      <c r="G47" s="73"/>
      <c r="H47" s="162"/>
    </row>
    <row r="48" spans="2:10">
      <c r="B48" s="197" t="s">
        <v>6</v>
      </c>
      <c r="C48" s="198" t="s">
        <v>41</v>
      </c>
      <c r="D48" s="371">
        <v>3599.736285</v>
      </c>
      <c r="E48" s="152">
        <v>3450.449912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304.07</v>
      </c>
      <c r="E50" s="152">
        <v>326.06</v>
      </c>
      <c r="G50" s="183"/>
    </row>
    <row r="51" spans="2:7">
      <c r="B51" s="195" t="s">
        <v>6</v>
      </c>
      <c r="C51" s="196" t="s">
        <v>114</v>
      </c>
      <c r="D51" s="371">
        <v>207.64</v>
      </c>
      <c r="E51" s="77">
        <v>324.48</v>
      </c>
      <c r="G51" s="183"/>
    </row>
    <row r="52" spans="2:7">
      <c r="B52" s="195" t="s">
        <v>8</v>
      </c>
      <c r="C52" s="196" t="s">
        <v>115</v>
      </c>
      <c r="D52" s="371">
        <v>328.61</v>
      </c>
      <c r="E52" s="77">
        <v>423.07</v>
      </c>
    </row>
    <row r="53" spans="2:7" ht="13.5" customHeight="1" thickBot="1">
      <c r="B53" s="199" t="s">
        <v>9</v>
      </c>
      <c r="C53" s="200" t="s">
        <v>41</v>
      </c>
      <c r="D53" s="369">
        <v>326.06</v>
      </c>
      <c r="E53" s="280">
        <v>393.95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1359304.74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1359304.74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1359304.74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1359304.74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" right="0.75" top="0.65" bottom="0.33" header="0.5" footer="0.5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7265625" customWidth="1"/>
    <col min="9" max="9" width="13.26953125" customWidth="1"/>
    <col min="10" max="10" width="14.1796875" customWidth="1"/>
    <col min="11" max="11" width="15.81640625" customWidth="1"/>
    <col min="12" max="12" width="12.45312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  <c r="I4" s="73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99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244"/>
      <c r="C10" s="227" t="s">
        <v>2</v>
      </c>
      <c r="D10" s="291" t="s">
        <v>246</v>
      </c>
      <c r="E10" s="258" t="s">
        <v>262</v>
      </c>
      <c r="G10" s="73"/>
      <c r="I10" s="73"/>
    </row>
    <row r="11" spans="2:12" ht="13">
      <c r="B11" s="93" t="s">
        <v>3</v>
      </c>
      <c r="C11" s="207" t="s">
        <v>109</v>
      </c>
      <c r="D11" s="299">
        <f>SUM(D12:D14)</f>
        <v>84657160.230000004</v>
      </c>
      <c r="E11" s="245">
        <f>SUM(E12:E14)</f>
        <v>85283242.609999985</v>
      </c>
      <c r="I11" s="73"/>
    </row>
    <row r="12" spans="2:12">
      <c r="B12" s="184" t="s">
        <v>4</v>
      </c>
      <c r="C12" s="248" t="s">
        <v>5</v>
      </c>
      <c r="D12" s="300">
        <f>85493859.47+373642.15-1324966.96</f>
        <v>84542534.660000011</v>
      </c>
      <c r="E12" s="250">
        <f>86335737.23+152032.21-1249278.98</f>
        <v>85238490.459999993</v>
      </c>
      <c r="I12" s="73"/>
    </row>
    <row r="13" spans="2:12">
      <c r="B13" s="184" t="s">
        <v>6</v>
      </c>
      <c r="C13" s="248" t="s">
        <v>7</v>
      </c>
      <c r="D13" s="301"/>
      <c r="E13" s="251">
        <v>2.0499999999999998</v>
      </c>
      <c r="I13" s="73"/>
    </row>
    <row r="14" spans="2:12">
      <c r="B14" s="184" t="s">
        <v>8</v>
      </c>
      <c r="C14" s="248" t="s">
        <v>10</v>
      </c>
      <c r="D14" s="301">
        <f>D15</f>
        <v>114625.57</v>
      </c>
      <c r="E14" s="251">
        <f>E15</f>
        <v>44750.1</v>
      </c>
      <c r="G14" s="73"/>
      <c r="I14" s="73"/>
    </row>
    <row r="15" spans="2:12">
      <c r="B15" s="184" t="s">
        <v>106</v>
      </c>
      <c r="C15" s="248" t="s">
        <v>11</v>
      </c>
      <c r="D15" s="301">
        <v>114625.57</v>
      </c>
      <c r="E15" s="251">
        <v>44750.1</v>
      </c>
      <c r="I15" s="73"/>
    </row>
    <row r="16" spans="2:12">
      <c r="B16" s="187" t="s">
        <v>107</v>
      </c>
      <c r="C16" s="249" t="s">
        <v>12</v>
      </c>
      <c r="D16" s="302"/>
      <c r="E16" s="252"/>
    </row>
    <row r="17" spans="2:11" ht="13">
      <c r="B17" s="8" t="s">
        <v>13</v>
      </c>
      <c r="C17" s="210" t="s">
        <v>65</v>
      </c>
      <c r="D17" s="303">
        <f>D18</f>
        <v>36427.96</v>
      </c>
      <c r="E17" s="253">
        <f>E18</f>
        <v>36849.480000000003</v>
      </c>
    </row>
    <row r="18" spans="2:11">
      <c r="B18" s="184" t="s">
        <v>4</v>
      </c>
      <c r="C18" s="248" t="s">
        <v>11</v>
      </c>
      <c r="D18" s="302">
        <v>36427.96</v>
      </c>
      <c r="E18" s="252">
        <v>36849.480000000003</v>
      </c>
    </row>
    <row r="19" spans="2:11" ht="15" customHeight="1">
      <c r="B19" s="184" t="s">
        <v>6</v>
      </c>
      <c r="C19" s="248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f>D11-D17</f>
        <v>84620732.270000011</v>
      </c>
      <c r="E21" s="151">
        <f>E11-E17</f>
        <v>85246393.12999998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7"/>
      <c r="D23" s="417"/>
      <c r="E23" s="417"/>
      <c r="G23" s="73"/>
      <c r="K23" s="183"/>
    </row>
    <row r="24" spans="2:11" ht="17.25" customHeight="1" thickBot="1">
      <c r="B24" s="404" t="s">
        <v>105</v>
      </c>
      <c r="C24" s="418"/>
      <c r="D24" s="418"/>
      <c r="E24" s="418"/>
    </row>
    <row r="25" spans="2:11" ht="13.5" thickBot="1">
      <c r="B25" s="89"/>
      <c r="C25" s="4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78428958.989999995</v>
      </c>
      <c r="E26" s="239">
        <f>D21</f>
        <v>84620732.270000011</v>
      </c>
      <c r="G26" s="76"/>
    </row>
    <row r="27" spans="2:11" ht="13">
      <c r="B27" s="8" t="s">
        <v>17</v>
      </c>
      <c r="C27" s="9" t="s">
        <v>111</v>
      </c>
      <c r="D27" s="360">
        <v>5358876.26</v>
      </c>
      <c r="E27" s="275">
        <v>3021575.55</v>
      </c>
      <c r="F27" s="73"/>
      <c r="G27" s="156"/>
      <c r="H27" s="255"/>
      <c r="I27" s="255"/>
    </row>
    <row r="28" spans="2:11" ht="13">
      <c r="B28" s="8" t="s">
        <v>18</v>
      </c>
      <c r="C28" s="9" t="s">
        <v>19</v>
      </c>
      <c r="D28" s="360">
        <v>19972365.32</v>
      </c>
      <c r="E28" s="276">
        <v>17131503.050000001</v>
      </c>
      <c r="F28" s="73"/>
      <c r="G28" s="156"/>
      <c r="H28" s="255"/>
      <c r="I28" s="255"/>
    </row>
    <row r="29" spans="2:11">
      <c r="B29" s="107" t="s">
        <v>4</v>
      </c>
      <c r="C29" s="5" t="s">
        <v>20</v>
      </c>
      <c r="D29" s="361">
        <v>17084236.140000001</v>
      </c>
      <c r="E29" s="277">
        <v>14544880.470000001</v>
      </c>
      <c r="F29" s="73"/>
      <c r="G29" s="156"/>
      <c r="H29" s="255"/>
      <c r="I29" s="255"/>
    </row>
    <row r="30" spans="2:11">
      <c r="B30" s="107" t="s">
        <v>6</v>
      </c>
      <c r="C30" s="5" t="s">
        <v>21</v>
      </c>
      <c r="D30" s="361"/>
      <c r="E30" s="277"/>
      <c r="F30" s="73"/>
      <c r="G30" s="156"/>
      <c r="H30" s="255"/>
      <c r="I30" s="255"/>
    </row>
    <row r="31" spans="2:11">
      <c r="B31" s="107" t="s">
        <v>8</v>
      </c>
      <c r="C31" s="5" t="s">
        <v>22</v>
      </c>
      <c r="D31" s="361">
        <v>2888129.1799999997</v>
      </c>
      <c r="E31" s="277">
        <v>2586622.58</v>
      </c>
      <c r="F31" s="73"/>
      <c r="G31" s="156"/>
      <c r="H31" s="255"/>
      <c r="I31" s="255"/>
    </row>
    <row r="32" spans="2:11" ht="13">
      <c r="B32" s="95" t="s">
        <v>23</v>
      </c>
      <c r="C32" s="10" t="s">
        <v>24</v>
      </c>
      <c r="D32" s="360">
        <v>14613489.060000001</v>
      </c>
      <c r="E32" s="276">
        <v>14109927.5</v>
      </c>
      <c r="F32" s="73"/>
      <c r="G32" s="156"/>
      <c r="H32" s="255"/>
      <c r="I32" s="255"/>
    </row>
    <row r="33" spans="2:10">
      <c r="B33" s="107" t="s">
        <v>4</v>
      </c>
      <c r="C33" s="5" t="s">
        <v>25</v>
      </c>
      <c r="D33" s="361">
        <v>10880829.4</v>
      </c>
      <c r="E33" s="277">
        <v>9750889.5999999996</v>
      </c>
      <c r="F33" s="73"/>
      <c r="G33" s="156"/>
      <c r="H33" s="255"/>
      <c r="I33" s="255"/>
    </row>
    <row r="34" spans="2:10">
      <c r="B34" s="107" t="s">
        <v>6</v>
      </c>
      <c r="C34" s="5" t="s">
        <v>26</v>
      </c>
      <c r="D34" s="361"/>
      <c r="E34" s="277"/>
      <c r="F34" s="73"/>
      <c r="G34" s="156"/>
      <c r="H34" s="255"/>
      <c r="I34" s="255"/>
    </row>
    <row r="35" spans="2:10">
      <c r="B35" s="107" t="s">
        <v>8</v>
      </c>
      <c r="C35" s="5" t="s">
        <v>27</v>
      </c>
      <c r="D35" s="361">
        <v>1492532.55</v>
      </c>
      <c r="E35" s="277">
        <v>1493462.22</v>
      </c>
      <c r="F35" s="73"/>
      <c r="G35" s="156"/>
      <c r="H35" s="255"/>
      <c r="I35" s="255"/>
    </row>
    <row r="36" spans="2:10">
      <c r="B36" s="107" t="s">
        <v>9</v>
      </c>
      <c r="C36" s="5" t="s">
        <v>28</v>
      </c>
      <c r="D36" s="361"/>
      <c r="E36" s="277"/>
      <c r="F36" s="73"/>
      <c r="G36" s="156"/>
      <c r="H36" s="255"/>
      <c r="I36" s="255"/>
    </row>
    <row r="37" spans="2:10" ht="25">
      <c r="B37" s="107" t="s">
        <v>29</v>
      </c>
      <c r="C37" s="5" t="s">
        <v>30</v>
      </c>
      <c r="D37" s="361"/>
      <c r="E37" s="277"/>
      <c r="F37" s="73"/>
      <c r="G37" s="156"/>
      <c r="H37" s="255"/>
      <c r="I37" s="255"/>
    </row>
    <row r="38" spans="2:10">
      <c r="B38" s="107" t="s">
        <v>31</v>
      </c>
      <c r="C38" s="5" t="s">
        <v>32</v>
      </c>
      <c r="D38" s="361"/>
      <c r="E38" s="277"/>
      <c r="F38" s="73"/>
      <c r="G38" s="156"/>
      <c r="H38" s="255"/>
      <c r="I38" s="255"/>
    </row>
    <row r="39" spans="2:10">
      <c r="B39" s="108" t="s">
        <v>33</v>
      </c>
      <c r="C39" s="11" t="s">
        <v>34</v>
      </c>
      <c r="D39" s="362">
        <v>2240127.11</v>
      </c>
      <c r="E39" s="278">
        <v>2865575.68</v>
      </c>
      <c r="F39" s="73"/>
      <c r="G39" s="156"/>
      <c r="H39" s="255"/>
      <c r="I39" s="255"/>
    </row>
    <row r="40" spans="2:10" ht="13.5" thickBot="1">
      <c r="B40" s="100" t="s">
        <v>35</v>
      </c>
      <c r="C40" s="101" t="s">
        <v>36</v>
      </c>
      <c r="D40" s="363">
        <v>832897.02</v>
      </c>
      <c r="E40" s="279">
        <v>-2395914.69</v>
      </c>
      <c r="G40" s="76"/>
    </row>
    <row r="41" spans="2:10" ht="13.5" thickBot="1">
      <c r="B41" s="102" t="s">
        <v>37</v>
      </c>
      <c r="C41" s="103" t="s">
        <v>38</v>
      </c>
      <c r="D41" s="364">
        <v>84620732.269999996</v>
      </c>
      <c r="E41" s="151">
        <f>E26+E27+E40</f>
        <v>85246393.13000001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7.2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6897366.5948000001</v>
      </c>
      <c r="E47" s="309">
        <v>7366784.1241999995</v>
      </c>
      <c r="G47" s="203"/>
    </row>
    <row r="48" spans="2:10">
      <c r="B48" s="197" t="s">
        <v>6</v>
      </c>
      <c r="C48" s="198" t="s">
        <v>41</v>
      </c>
      <c r="D48" s="371">
        <v>7366784.1241999995</v>
      </c>
      <c r="E48" s="380">
        <v>7626761.6675000004</v>
      </c>
      <c r="G48" s="206"/>
      <c r="I48" s="206"/>
      <c r="J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11.370900000000001</v>
      </c>
      <c r="E50" s="308">
        <v>11.486800000000001</v>
      </c>
      <c r="G50" s="220"/>
    </row>
    <row r="51" spans="2:7">
      <c r="B51" s="195" t="s">
        <v>6</v>
      </c>
      <c r="C51" s="196" t="s">
        <v>114</v>
      </c>
      <c r="D51" s="371">
        <v>11.3017</v>
      </c>
      <c r="E51" s="368">
        <v>11.1676</v>
      </c>
      <c r="G51" s="183"/>
    </row>
    <row r="52" spans="2:7" ht="12.75" customHeight="1">
      <c r="B52" s="195" t="s">
        <v>8</v>
      </c>
      <c r="C52" s="196" t="s">
        <v>115</v>
      </c>
      <c r="D52" s="371">
        <v>11.4994</v>
      </c>
      <c r="E52" s="368">
        <v>11.5229</v>
      </c>
    </row>
    <row r="53" spans="2:7" ht="13" thickBot="1">
      <c r="B53" s="199" t="s">
        <v>9</v>
      </c>
      <c r="C53" s="200" t="s">
        <v>41</v>
      </c>
      <c r="D53" s="369">
        <v>11.486800000000001</v>
      </c>
      <c r="E53" s="381">
        <v>11.177300000000001</v>
      </c>
    </row>
    <row r="54" spans="2:7">
      <c r="B54" s="201"/>
      <c r="C54" s="202"/>
      <c r="D54" s="114"/>
      <c r="E54" s="114"/>
    </row>
    <row r="55" spans="2:7" ht="13.5">
      <c r="B55" s="406" t="s">
        <v>62</v>
      </c>
      <c r="C55" s="407"/>
      <c r="D55" s="407"/>
      <c r="E55" s="407"/>
    </row>
    <row r="56" spans="2:7" ht="16.5" customHeight="1" thickBot="1">
      <c r="B56" s="404" t="s">
        <v>116</v>
      </c>
      <c r="C56" s="408"/>
      <c r="D56" s="408"/>
      <c r="E56" s="408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85238490.459999993</v>
      </c>
      <c r="E58" s="30">
        <f>D58/E21</f>
        <v>0.99990729613641327</v>
      </c>
    </row>
    <row r="59" spans="2:7" ht="25">
      <c r="B59" s="313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314" t="s">
        <v>6</v>
      </c>
      <c r="C60" s="196" t="s">
        <v>45</v>
      </c>
      <c r="D60" s="80">
        <v>0</v>
      </c>
      <c r="E60" s="81">
        <v>0</v>
      </c>
    </row>
    <row r="61" spans="2:7">
      <c r="B61" s="314" t="s">
        <v>8</v>
      </c>
      <c r="C61" s="196" t="s">
        <v>46</v>
      </c>
      <c r="D61" s="80">
        <v>0</v>
      </c>
      <c r="E61" s="81">
        <v>0</v>
      </c>
    </row>
    <row r="62" spans="2:7">
      <c r="B62" s="314" t="s">
        <v>9</v>
      </c>
      <c r="C62" s="196" t="s">
        <v>47</v>
      </c>
      <c r="D62" s="80">
        <v>0</v>
      </c>
      <c r="E62" s="81">
        <v>0</v>
      </c>
    </row>
    <row r="63" spans="2:7">
      <c r="B63" s="314" t="s">
        <v>29</v>
      </c>
      <c r="C63" s="196" t="s">
        <v>48</v>
      </c>
      <c r="D63" s="80">
        <v>0</v>
      </c>
      <c r="E63" s="81">
        <v>0</v>
      </c>
    </row>
    <row r="64" spans="2:7">
      <c r="B64" s="313" t="s">
        <v>31</v>
      </c>
      <c r="C64" s="198" t="s">
        <v>49</v>
      </c>
      <c r="D64" s="377">
        <f>86335737.23-1249278.98</f>
        <v>85086458.25</v>
      </c>
      <c r="E64" s="83">
        <f>D64/E21</f>
        <v>0.9981238516478218</v>
      </c>
      <c r="G64" s="73"/>
    </row>
    <row r="65" spans="2:5">
      <c r="B65" s="313" t="s">
        <v>33</v>
      </c>
      <c r="C65" s="198" t="s">
        <v>118</v>
      </c>
      <c r="D65" s="82">
        <v>0</v>
      </c>
      <c r="E65" s="83">
        <v>0</v>
      </c>
    </row>
    <row r="66" spans="2:5">
      <c r="B66" s="313" t="s">
        <v>50</v>
      </c>
      <c r="C66" s="198" t="s">
        <v>51</v>
      </c>
      <c r="D66" s="82">
        <v>0</v>
      </c>
      <c r="E66" s="83">
        <v>0</v>
      </c>
    </row>
    <row r="67" spans="2:5">
      <c r="B67" s="314" t="s">
        <v>52</v>
      </c>
      <c r="C67" s="196" t="s">
        <v>53</v>
      </c>
      <c r="D67" s="80">
        <v>0</v>
      </c>
      <c r="E67" s="81">
        <v>0</v>
      </c>
    </row>
    <row r="68" spans="2:5">
      <c r="B68" s="314" t="s">
        <v>54</v>
      </c>
      <c r="C68" s="196" t="s">
        <v>55</v>
      </c>
      <c r="D68" s="80">
        <v>0</v>
      </c>
      <c r="E68" s="81">
        <v>0</v>
      </c>
    </row>
    <row r="69" spans="2:5">
      <c r="B69" s="314" t="s">
        <v>56</v>
      </c>
      <c r="C69" s="196" t="s">
        <v>57</v>
      </c>
      <c r="D69" s="370">
        <v>152032.21</v>
      </c>
      <c r="E69" s="81">
        <f>D69/E21</f>
        <v>1.7834444885914673E-3</v>
      </c>
    </row>
    <row r="70" spans="2:5">
      <c r="B70" s="315" t="s">
        <v>58</v>
      </c>
      <c r="C70" s="240" t="s">
        <v>59</v>
      </c>
      <c r="D70" s="117">
        <v>0</v>
      </c>
      <c r="E70" s="118">
        <v>0</v>
      </c>
    </row>
    <row r="71" spans="2:5" ht="13">
      <c r="B71" s="123" t="s">
        <v>23</v>
      </c>
      <c r="C71" s="124" t="s">
        <v>61</v>
      </c>
      <c r="D71" s="125">
        <f>E13</f>
        <v>2.0499999999999998</v>
      </c>
      <c r="E71" s="66">
        <v>0</v>
      </c>
    </row>
    <row r="72" spans="2:5" ht="13">
      <c r="B72" s="119" t="s">
        <v>60</v>
      </c>
      <c r="C72" s="120" t="s">
        <v>63</v>
      </c>
      <c r="D72" s="121">
        <f>E14</f>
        <v>44750.1</v>
      </c>
      <c r="E72" s="122">
        <f>D72/E21</f>
        <v>5.2495006952090633E-4</v>
      </c>
    </row>
    <row r="73" spans="2:5" ht="13">
      <c r="B73" s="22" t="s">
        <v>62</v>
      </c>
      <c r="C73" s="23" t="s">
        <v>65</v>
      </c>
      <c r="D73" s="24">
        <f>E17</f>
        <v>36849.480000000003</v>
      </c>
      <c r="E73" s="25">
        <f>D73/E21</f>
        <v>4.3227025387226507E-4</v>
      </c>
    </row>
    <row r="74" spans="2:5" ht="13">
      <c r="B74" s="123" t="s">
        <v>64</v>
      </c>
      <c r="C74" s="124" t="s">
        <v>66</v>
      </c>
      <c r="D74" s="125">
        <f>D58+D71+D72-D73</f>
        <v>85246393.12999998</v>
      </c>
      <c r="E74" s="66">
        <f>E58+E72-E73</f>
        <v>0.9999999759520618</v>
      </c>
    </row>
    <row r="75" spans="2:5">
      <c r="B75" s="314" t="s">
        <v>4</v>
      </c>
      <c r="C75" s="196" t="s">
        <v>67</v>
      </c>
      <c r="D75" s="80">
        <f>D74</f>
        <v>85246393.12999998</v>
      </c>
      <c r="E75" s="81">
        <f>E74</f>
        <v>0.9999999759520618</v>
      </c>
    </row>
    <row r="76" spans="2:5">
      <c r="B76" s="314" t="s">
        <v>6</v>
      </c>
      <c r="C76" s="196" t="s">
        <v>119</v>
      </c>
      <c r="D76" s="80">
        <v>0</v>
      </c>
      <c r="E76" s="81">
        <v>0</v>
      </c>
    </row>
    <row r="77" spans="2:5" ht="13" thickBot="1">
      <c r="B77" s="316" t="s">
        <v>8</v>
      </c>
      <c r="C77" s="200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" right="0.75" top="0.61" bottom="0.55000000000000004" header="0.5" footer="0.5"/>
  <pageSetup paperSize="9" scale="70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8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2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177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1042910.51</v>
      </c>
      <c r="E11" s="245">
        <f>SUM(E12:E14)</f>
        <v>881398.23</v>
      </c>
    </row>
    <row r="12" spans="2:12">
      <c r="B12" s="184" t="s">
        <v>4</v>
      </c>
      <c r="C12" s="185" t="s">
        <v>5</v>
      </c>
      <c r="D12" s="300">
        <v>1042910.51</v>
      </c>
      <c r="E12" s="250">
        <v>881398.23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1042910.51</v>
      </c>
      <c r="E21" s="151">
        <f>E11-E17</f>
        <v>881398.23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1076420.6200000001</v>
      </c>
      <c r="E26" s="239">
        <f>D21</f>
        <v>1042910.51</v>
      </c>
      <c r="G26" s="76"/>
    </row>
    <row r="27" spans="2:11" ht="13">
      <c r="B27" s="8" t="s">
        <v>17</v>
      </c>
      <c r="C27" s="9" t="s">
        <v>111</v>
      </c>
      <c r="D27" s="360">
        <v>-115356.79000000004</v>
      </c>
      <c r="E27" s="275">
        <v>-95321.66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683788.3</v>
      </c>
      <c r="E28" s="276">
        <v>143326.62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22801.19</v>
      </c>
      <c r="E29" s="277">
        <v>29372.49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660987.11</v>
      </c>
      <c r="E31" s="277">
        <v>113954.13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799145.09000000008</v>
      </c>
      <c r="E32" s="276">
        <v>238648.28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256641.94</v>
      </c>
      <c r="E33" s="277">
        <v>65153.14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5248.31</v>
      </c>
      <c r="E35" s="277">
        <v>3732.11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15154.95</v>
      </c>
      <c r="E37" s="277">
        <v>13820.460000000001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522099.89</v>
      </c>
      <c r="E39" s="278">
        <v>155942.57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81846.679999999993</v>
      </c>
      <c r="E40" s="279">
        <v>-66190.62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1042910.51</v>
      </c>
      <c r="E41" s="151">
        <f>E26+E27+E40</f>
        <v>881398.23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3294.6272800000002</v>
      </c>
      <c r="E47" s="152">
        <v>2958.8631810000002</v>
      </c>
      <c r="G47" s="73"/>
    </row>
    <row r="48" spans="2:10">
      <c r="B48" s="197" t="s">
        <v>6</v>
      </c>
      <c r="C48" s="198" t="s">
        <v>41</v>
      </c>
      <c r="D48" s="371">
        <v>2958.8631810000002</v>
      </c>
      <c r="E48" s="152">
        <v>2685.5521910000002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326.72000000000003</v>
      </c>
      <c r="E50" s="152">
        <v>352.47</v>
      </c>
      <c r="G50" s="183"/>
    </row>
    <row r="51" spans="2:7">
      <c r="B51" s="195" t="s">
        <v>6</v>
      </c>
      <c r="C51" s="196" t="s">
        <v>114</v>
      </c>
      <c r="D51" s="371">
        <v>325.04000000000002</v>
      </c>
      <c r="E51" s="77">
        <v>328.2</v>
      </c>
      <c r="G51" s="183"/>
    </row>
    <row r="52" spans="2:7">
      <c r="B52" s="195" t="s">
        <v>8</v>
      </c>
      <c r="C52" s="196" t="s">
        <v>115</v>
      </c>
      <c r="D52" s="371">
        <v>352.79</v>
      </c>
      <c r="E52" s="77">
        <v>354.82</v>
      </c>
    </row>
    <row r="53" spans="2:7" ht="12.75" customHeight="1" thickBot="1">
      <c r="B53" s="199" t="s">
        <v>9</v>
      </c>
      <c r="C53" s="200" t="s">
        <v>41</v>
      </c>
      <c r="D53" s="369">
        <v>352.47</v>
      </c>
      <c r="E53" s="280">
        <v>328.2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881398.23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881398.23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881398.23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881398.23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6999999999999995" right="0.75" top="0.61" bottom="0.6" header="0.5" footer="0.5"/>
  <pageSetup paperSize="9" scale="70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9"/>
  <dimension ref="A1:L81"/>
  <sheetViews>
    <sheetView zoomScale="80" zoomScaleNormal="80" workbookViewId="0">
      <selection activeCell="C28" sqref="C28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3.17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225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16257.28</v>
      </c>
      <c r="E11" s="245">
        <f>SUM(E12:E14)</f>
        <v>7698.95</v>
      </c>
    </row>
    <row r="12" spans="2:12">
      <c r="B12" s="184" t="s">
        <v>4</v>
      </c>
      <c r="C12" s="185" t="s">
        <v>5</v>
      </c>
      <c r="D12" s="300">
        <v>16257.28</v>
      </c>
      <c r="E12" s="250">
        <v>7698.95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16257.28</v>
      </c>
      <c r="E21" s="151">
        <f>E11-E17</f>
        <v>7698.95</v>
      </c>
      <c r="F21" s="79"/>
      <c r="G21" s="156"/>
      <c r="H21" s="171"/>
      <c r="J21" s="232"/>
      <c r="K21" s="171"/>
    </row>
    <row r="22" spans="2:11" ht="13">
      <c r="B22" s="3"/>
      <c r="C22" s="6"/>
      <c r="D22" s="7"/>
      <c r="E22" s="7"/>
      <c r="G22" s="76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  <c r="G24" s="73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  <c r="G25" s="73"/>
    </row>
    <row r="26" spans="2:11" ht="13">
      <c r="B26" s="98" t="s">
        <v>15</v>
      </c>
      <c r="C26" s="99" t="s">
        <v>16</v>
      </c>
      <c r="D26" s="359">
        <v>16385.25</v>
      </c>
      <c r="E26" s="239">
        <f>D21</f>
        <v>16257.28</v>
      </c>
      <c r="G26" s="73"/>
    </row>
    <row r="27" spans="2:11" ht="13">
      <c r="B27" s="8" t="s">
        <v>17</v>
      </c>
      <c r="C27" s="9" t="s">
        <v>111</v>
      </c>
      <c r="D27" s="360">
        <v>-2390.7999999999997</v>
      </c>
      <c r="E27" s="275">
        <v>-11780.83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1283.9000000000001</v>
      </c>
      <c r="E28" s="276">
        <v>771.85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1283.9000000000001</v>
      </c>
      <c r="E29" s="277">
        <v>771.85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3674.7</v>
      </c>
      <c r="E32" s="276">
        <v>12552.68</v>
      </c>
      <c r="F32" s="73"/>
      <c r="G32" s="73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1384.76</v>
      </c>
      <c r="E33" s="277">
        <v>12113.24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134.74</v>
      </c>
      <c r="E35" s="277">
        <v>174.08</v>
      </c>
      <c r="F35" s="73"/>
      <c r="G35" s="7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152.11000000000001</v>
      </c>
      <c r="E37" s="277">
        <v>265.36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2003.09</v>
      </c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2262.83</v>
      </c>
      <c r="E40" s="279">
        <v>3222.5</v>
      </c>
      <c r="G40" s="76"/>
    </row>
    <row r="41" spans="2:10" ht="13.5" thickBot="1">
      <c r="B41" s="102" t="s">
        <v>37</v>
      </c>
      <c r="C41" s="103" t="s">
        <v>38</v>
      </c>
      <c r="D41" s="364">
        <v>16257.28</v>
      </c>
      <c r="E41" s="151">
        <f>E26+E27+E40</f>
        <v>7698.9500000000007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113.62861700000001</v>
      </c>
      <c r="E47" s="152">
        <v>99.033127000000007</v>
      </c>
      <c r="G47" s="73"/>
      <c r="H47" s="162"/>
    </row>
    <row r="48" spans="2:10">
      <c r="B48" s="197" t="s">
        <v>6</v>
      </c>
      <c r="C48" s="198" t="s">
        <v>41</v>
      </c>
      <c r="D48" s="371">
        <v>99.033127000000007</v>
      </c>
      <c r="E48" s="152">
        <v>38.899284999999999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144.19999999999999</v>
      </c>
      <c r="E50" s="152">
        <v>164.16</v>
      </c>
      <c r="G50" s="183"/>
    </row>
    <row r="51" spans="2:7">
      <c r="B51" s="195" t="s">
        <v>6</v>
      </c>
      <c r="C51" s="196" t="s">
        <v>114</v>
      </c>
      <c r="D51" s="371">
        <v>103.79</v>
      </c>
      <c r="E51" s="77">
        <v>162.46</v>
      </c>
      <c r="G51" s="183"/>
    </row>
    <row r="52" spans="2:7">
      <c r="B52" s="195" t="s">
        <v>8</v>
      </c>
      <c r="C52" s="196" t="s">
        <v>115</v>
      </c>
      <c r="D52" s="371">
        <v>165.42</v>
      </c>
      <c r="E52" s="77">
        <v>211.3</v>
      </c>
    </row>
    <row r="53" spans="2:7" ht="13.5" customHeight="1" thickBot="1">
      <c r="B53" s="199" t="s">
        <v>9</v>
      </c>
      <c r="C53" s="200" t="s">
        <v>41</v>
      </c>
      <c r="D53" s="369">
        <v>164.16</v>
      </c>
      <c r="E53" s="280">
        <v>197.92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7698.95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7698.95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5" ht="13">
      <c r="B74" s="133" t="s">
        <v>64</v>
      </c>
      <c r="C74" s="124" t="s">
        <v>66</v>
      </c>
      <c r="D74" s="125">
        <f>D58-D73</f>
        <v>7698.95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7698.95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3" right="0.75" top="0.53" bottom="0.56000000000000005" header="0.5" footer="0.5"/>
  <pageSetup paperSize="9" scale="70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0"/>
  <dimension ref="A1:L81"/>
  <sheetViews>
    <sheetView zoomScale="80" zoomScaleNormal="80" workbookViewId="0">
      <selection activeCell="G1" sqref="G1:L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178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18957.599999999999</v>
      </c>
      <c r="E11" s="245">
        <f>SUM(E12:E14)</f>
        <v>23820.28</v>
      </c>
    </row>
    <row r="12" spans="2:12">
      <c r="B12" s="184" t="s">
        <v>4</v>
      </c>
      <c r="C12" s="185" t="s">
        <v>5</v>
      </c>
      <c r="D12" s="300">
        <v>18957.599999999999</v>
      </c>
      <c r="E12" s="250">
        <v>23820.28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18957.599999999999</v>
      </c>
      <c r="E21" s="151">
        <f>E11-E17</f>
        <v>23820.28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16010.75</v>
      </c>
      <c r="E26" s="239">
        <f>D21</f>
        <v>18957.599999999999</v>
      </c>
      <c r="G26" s="76"/>
    </row>
    <row r="27" spans="2:11" ht="13">
      <c r="B27" s="8" t="s">
        <v>17</v>
      </c>
      <c r="C27" s="9" t="s">
        <v>111</v>
      </c>
      <c r="D27" s="360">
        <v>-205.9</v>
      </c>
      <c r="E27" s="275">
        <v>-423.5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205.9</v>
      </c>
      <c r="E32" s="276">
        <v>423.5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27.67</v>
      </c>
      <c r="E35" s="277">
        <v>48.68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178.23</v>
      </c>
      <c r="E37" s="277">
        <v>374.82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3152.75</v>
      </c>
      <c r="E40" s="279">
        <v>5286.18</v>
      </c>
      <c r="G40" s="76"/>
      <c r="H40" s="270"/>
    </row>
    <row r="41" spans="2:10" ht="13.5" thickBot="1">
      <c r="B41" s="102" t="s">
        <v>37</v>
      </c>
      <c r="C41" s="103" t="s">
        <v>38</v>
      </c>
      <c r="D41" s="364">
        <v>18957.599999999999</v>
      </c>
      <c r="E41" s="151">
        <f>E26+E27+E40</f>
        <v>23820.28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83.77328</v>
      </c>
      <c r="E47" s="152">
        <v>82.686779999999999</v>
      </c>
      <c r="G47" s="73"/>
    </row>
    <row r="48" spans="2:10">
      <c r="B48" s="197" t="s">
        <v>6</v>
      </c>
      <c r="C48" s="198" t="s">
        <v>41</v>
      </c>
      <c r="D48" s="371">
        <v>82.686779999999999</v>
      </c>
      <c r="E48" s="152">
        <v>81.11242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191.12</v>
      </c>
      <c r="E50" s="152">
        <v>229.27</v>
      </c>
      <c r="G50" s="183"/>
    </row>
    <row r="51" spans="2:7">
      <c r="B51" s="195" t="s">
        <v>6</v>
      </c>
      <c r="C51" s="196" t="s">
        <v>114</v>
      </c>
      <c r="D51" s="371">
        <v>144.97</v>
      </c>
      <c r="E51" s="77">
        <v>229.27</v>
      </c>
      <c r="G51" s="183"/>
    </row>
    <row r="52" spans="2:7">
      <c r="B52" s="195" t="s">
        <v>8</v>
      </c>
      <c r="C52" s="196" t="s">
        <v>115</v>
      </c>
      <c r="D52" s="371">
        <v>229.27</v>
      </c>
      <c r="E52" s="77">
        <v>316.44</v>
      </c>
    </row>
    <row r="53" spans="2:7" ht="14.25" customHeight="1" thickBot="1">
      <c r="B53" s="199" t="s">
        <v>9</v>
      </c>
      <c r="C53" s="200" t="s">
        <v>41</v>
      </c>
      <c r="D53" s="369">
        <v>229.27</v>
      </c>
      <c r="E53" s="280">
        <v>293.67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23820.28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23820.28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23820.28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23820.28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1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1"/>
      <c r="C4" s="141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179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3153633.93</v>
      </c>
      <c r="E11" s="245">
        <f>SUM(E12:E14)</f>
        <v>3186802.69</v>
      </c>
    </row>
    <row r="12" spans="2:12">
      <c r="B12" s="184" t="s">
        <v>4</v>
      </c>
      <c r="C12" s="185" t="s">
        <v>5</v>
      </c>
      <c r="D12" s="300">
        <v>3153633.93</v>
      </c>
      <c r="E12" s="250">
        <v>3186802.69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3153633.93</v>
      </c>
      <c r="E21" s="151">
        <f>E11-E17</f>
        <v>3186802.69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4523465.21</v>
      </c>
      <c r="E26" s="239">
        <f>D21</f>
        <v>3153633.93</v>
      </c>
      <c r="G26" s="76"/>
    </row>
    <row r="27" spans="2:11" ht="13">
      <c r="B27" s="8" t="s">
        <v>17</v>
      </c>
      <c r="C27" s="9" t="s">
        <v>111</v>
      </c>
      <c r="D27" s="360">
        <v>-1047467.24</v>
      </c>
      <c r="E27" s="275">
        <v>-598250.81999999995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25267.39</v>
      </c>
      <c r="E28" s="276">
        <v>307577.14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25267.39</v>
      </c>
      <c r="E31" s="277">
        <v>307577.14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1072734.6300000001</v>
      </c>
      <c r="E32" s="276">
        <v>905827.96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974477.46</v>
      </c>
      <c r="E33" s="277">
        <v>832899.61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27902.33</v>
      </c>
      <c r="E35" s="277">
        <v>17009.599999999999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53301.49</v>
      </c>
      <c r="E37" s="277">
        <v>50770.450000000004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17053.349999999999</v>
      </c>
      <c r="E39" s="278">
        <v>5148.3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-322364.03999999998</v>
      </c>
      <c r="E40" s="279">
        <v>631419.57999999996</v>
      </c>
      <c r="G40" s="76"/>
    </row>
    <row r="41" spans="2:10" ht="13.5" thickBot="1">
      <c r="B41" s="102" t="s">
        <v>37</v>
      </c>
      <c r="C41" s="103" t="s">
        <v>38</v>
      </c>
      <c r="D41" s="364">
        <v>3153633.9299999997</v>
      </c>
      <c r="E41" s="151">
        <f>E26+E27+E40</f>
        <v>3186802.6900000004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24924.046539999999</v>
      </c>
      <c r="E47" s="152">
        <v>18575.91994</v>
      </c>
      <c r="G47" s="73"/>
    </row>
    <row r="48" spans="2:10">
      <c r="B48" s="197" t="s">
        <v>6</v>
      </c>
      <c r="C48" s="198" t="s">
        <v>41</v>
      </c>
      <c r="D48" s="371">
        <v>18575.91994</v>
      </c>
      <c r="E48" s="152">
        <v>15349.20861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181.49</v>
      </c>
      <c r="E50" s="152">
        <v>169.77</v>
      </c>
      <c r="G50" s="183"/>
    </row>
    <row r="51" spans="2:7">
      <c r="B51" s="195" t="s">
        <v>6</v>
      </c>
      <c r="C51" s="196" t="s">
        <v>114</v>
      </c>
      <c r="D51" s="371">
        <v>122.21</v>
      </c>
      <c r="E51" s="77">
        <v>168.25</v>
      </c>
      <c r="G51" s="183"/>
    </row>
    <row r="52" spans="2:7">
      <c r="B52" s="195" t="s">
        <v>8</v>
      </c>
      <c r="C52" s="196" t="s">
        <v>115</v>
      </c>
      <c r="D52" s="371">
        <v>189.48</v>
      </c>
      <c r="E52" s="77">
        <v>207.88</v>
      </c>
    </row>
    <row r="53" spans="2:7" ht="12.75" customHeight="1" thickBot="1">
      <c r="B53" s="199" t="s">
        <v>9</v>
      </c>
      <c r="C53" s="200" t="s">
        <v>41</v>
      </c>
      <c r="D53" s="369">
        <v>169.77</v>
      </c>
      <c r="E53" s="280">
        <v>207.62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3186802.69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3186802.69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3186802.69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3186802.69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2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1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1"/>
      <c r="C4" s="141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180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4994971.47</v>
      </c>
      <c r="E11" s="245">
        <f>SUM(E12:E14)</f>
        <v>3650897.28</v>
      </c>
    </row>
    <row r="12" spans="2:12">
      <c r="B12" s="184" t="s">
        <v>4</v>
      </c>
      <c r="C12" s="185" t="s">
        <v>5</v>
      </c>
      <c r="D12" s="300">
        <v>4994971.47</v>
      </c>
      <c r="E12" s="250">
        <v>3650897.28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4994971.47</v>
      </c>
      <c r="E21" s="151">
        <f>E11-E17</f>
        <v>3650897.28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6222312.5700000003</v>
      </c>
      <c r="E26" s="239">
        <f>D21</f>
        <v>4994971.47</v>
      </c>
      <c r="G26" s="76"/>
    </row>
    <row r="27" spans="2:11" ht="13">
      <c r="B27" s="8" t="s">
        <v>17</v>
      </c>
      <c r="C27" s="9" t="s">
        <v>111</v>
      </c>
      <c r="D27" s="360">
        <v>-1345297.99</v>
      </c>
      <c r="E27" s="275">
        <v>-1480580.24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300</v>
      </c>
      <c r="E28" s="276">
        <v>0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300</v>
      </c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1345597.99</v>
      </c>
      <c r="E32" s="276">
        <v>1480580.24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1237156.44</v>
      </c>
      <c r="E33" s="277">
        <v>1390935.27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18889.39</v>
      </c>
      <c r="E35" s="277">
        <v>17202.939999999999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86931.81</v>
      </c>
      <c r="E37" s="277">
        <v>72442.03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2620.35</v>
      </c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117956.89</v>
      </c>
      <c r="E40" s="279">
        <v>136506.04999999999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4994971.47</v>
      </c>
      <c r="E41" s="151">
        <f>E26+E27+E40</f>
        <v>3650897.2799999993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33056.965250000001</v>
      </c>
      <c r="E47" s="152">
        <v>25624.436819999999</v>
      </c>
      <c r="G47" s="73"/>
    </row>
    <row r="48" spans="2:10">
      <c r="B48" s="197" t="s">
        <v>6</v>
      </c>
      <c r="C48" s="198" t="s">
        <v>41</v>
      </c>
      <c r="D48" s="371">
        <v>25624.436819999999</v>
      </c>
      <c r="E48" s="152">
        <v>18151.928021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188.23</v>
      </c>
      <c r="E50" s="152">
        <v>194.93</v>
      </c>
      <c r="G50" s="183"/>
    </row>
    <row r="51" spans="2:7">
      <c r="B51" s="195" t="s">
        <v>6</v>
      </c>
      <c r="C51" s="196" t="s">
        <v>114</v>
      </c>
      <c r="D51" s="371">
        <v>150.76</v>
      </c>
      <c r="E51" s="152">
        <v>194.93</v>
      </c>
      <c r="G51" s="183"/>
    </row>
    <row r="52" spans="2:7">
      <c r="B52" s="195" t="s">
        <v>8</v>
      </c>
      <c r="C52" s="196" t="s">
        <v>115</v>
      </c>
      <c r="D52" s="371">
        <v>194.99</v>
      </c>
      <c r="E52" s="77">
        <v>201.67</v>
      </c>
    </row>
    <row r="53" spans="2:7" ht="13.5" customHeight="1" thickBot="1">
      <c r="B53" s="199" t="s">
        <v>9</v>
      </c>
      <c r="C53" s="200" t="s">
        <v>41</v>
      </c>
      <c r="D53" s="369">
        <v>194.93</v>
      </c>
      <c r="E53" s="280">
        <v>201.13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3650897.28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3650897.28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3650897.28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3650897.28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3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0.81640625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181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131" t="s">
        <v>109</v>
      </c>
      <c r="D11" s="299">
        <v>3763913.8200000003</v>
      </c>
      <c r="E11" s="245">
        <f>SUM(E12:E14)</f>
        <v>3440587.31</v>
      </c>
    </row>
    <row r="12" spans="2:12">
      <c r="B12" s="184" t="s">
        <v>4</v>
      </c>
      <c r="C12" s="185" t="s">
        <v>5</v>
      </c>
      <c r="D12" s="300">
        <v>3763913.8200000003</v>
      </c>
      <c r="E12" s="250">
        <v>3440587.31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3763913.8200000003</v>
      </c>
      <c r="E21" s="151">
        <f>E11-E17</f>
        <v>3440587.31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5901768.1600000001</v>
      </c>
      <c r="E26" s="239">
        <f>D21</f>
        <v>3763913.8200000003</v>
      </c>
      <c r="G26" s="76"/>
      <c r="H26" s="242"/>
    </row>
    <row r="27" spans="2:11" ht="13">
      <c r="B27" s="8" t="s">
        <v>17</v>
      </c>
      <c r="C27" s="9" t="s">
        <v>111</v>
      </c>
      <c r="D27" s="360">
        <v>-1506709.49</v>
      </c>
      <c r="E27" s="275">
        <v>-1198003.58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22274.41</v>
      </c>
      <c r="E28" s="276">
        <v>307577.15000000002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22274.41</v>
      </c>
      <c r="E31" s="277">
        <v>307577.15000000002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1528983.9</v>
      </c>
      <c r="E32" s="276">
        <v>1505580.73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569546.49</v>
      </c>
      <c r="E33" s="277">
        <v>1436308.77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16003.3</v>
      </c>
      <c r="E35" s="277">
        <v>2508.9700000000003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67562.66</v>
      </c>
      <c r="E37" s="277">
        <v>61538.75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875871.45</v>
      </c>
      <c r="E39" s="278">
        <v>5224.24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-631144.85</v>
      </c>
      <c r="E40" s="279">
        <v>874677.07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3763913.82</v>
      </c>
      <c r="E41" s="151">
        <f>E26+E27+E40</f>
        <v>3440587.31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22821.11349</v>
      </c>
      <c r="E47" s="152">
        <v>15739.373689999999</v>
      </c>
      <c r="G47" s="73"/>
      <c r="H47" s="162"/>
    </row>
    <row r="48" spans="2:10">
      <c r="B48" s="197" t="s">
        <v>6</v>
      </c>
      <c r="C48" s="198" t="s">
        <v>41</v>
      </c>
      <c r="D48" s="371">
        <v>15739.373689999999</v>
      </c>
      <c r="E48" s="152">
        <v>11449.54178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258.61</v>
      </c>
      <c r="E50" s="152">
        <v>239.14</v>
      </c>
      <c r="G50" s="183"/>
    </row>
    <row r="51" spans="2:7">
      <c r="B51" s="195" t="s">
        <v>6</v>
      </c>
      <c r="C51" s="196" t="s">
        <v>114</v>
      </c>
      <c r="D51" s="371">
        <v>176.86</v>
      </c>
      <c r="E51" s="77">
        <v>238.98</v>
      </c>
      <c r="G51" s="183"/>
    </row>
    <row r="52" spans="2:7">
      <c r="B52" s="195" t="s">
        <v>8</v>
      </c>
      <c r="C52" s="196" t="s">
        <v>115</v>
      </c>
      <c r="D52" s="371">
        <v>269.08</v>
      </c>
      <c r="E52" s="77">
        <v>301.45999999999998</v>
      </c>
    </row>
    <row r="53" spans="2:7" ht="13.5" customHeight="1" thickBot="1">
      <c r="B53" s="199" t="s">
        <v>9</v>
      </c>
      <c r="C53" s="200" t="s">
        <v>41</v>
      </c>
      <c r="D53" s="369">
        <v>239.14</v>
      </c>
      <c r="E53" s="280">
        <v>300.5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3440587.31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E12</f>
        <v>3440587.31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f>E17</f>
        <v>0</v>
      </c>
      <c r="E73" s="25">
        <f>D73/E21</f>
        <v>0</v>
      </c>
    </row>
    <row r="74" spans="2:5" ht="13">
      <c r="B74" s="133" t="s">
        <v>64</v>
      </c>
      <c r="C74" s="124" t="s">
        <v>66</v>
      </c>
      <c r="D74" s="125">
        <f>D58-D73</f>
        <v>3440587.31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3440587.31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4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6" bestFit="1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182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653808.55000000005</v>
      </c>
      <c r="E11" s="245">
        <f>SUM(E12:E14)</f>
        <v>870489.85</v>
      </c>
    </row>
    <row r="12" spans="2:12">
      <c r="B12" s="184" t="s">
        <v>4</v>
      </c>
      <c r="C12" s="185" t="s">
        <v>5</v>
      </c>
      <c r="D12" s="300">
        <v>653808.55000000005</v>
      </c>
      <c r="E12" s="250">
        <v>870489.85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653808.55000000005</v>
      </c>
      <c r="E21" s="151">
        <f>E11-E17</f>
        <v>870489.85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165"/>
      <c r="H22" s="16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3708226.65</v>
      </c>
      <c r="E26" s="239">
        <f>D21</f>
        <v>653808.55000000005</v>
      </c>
      <c r="G26" s="76"/>
    </row>
    <row r="27" spans="2:11" ht="13">
      <c r="B27" s="8" t="s">
        <v>17</v>
      </c>
      <c r="C27" s="9" t="s">
        <v>111</v>
      </c>
      <c r="D27" s="360">
        <v>-2116819.6800000002</v>
      </c>
      <c r="E27" s="275">
        <v>99255.27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20073.439999999999</v>
      </c>
      <c r="E28" s="276">
        <v>286306.23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20073.439999999999</v>
      </c>
      <c r="E31" s="277">
        <v>286306.23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2136893.12</v>
      </c>
      <c r="E32" s="276">
        <v>187050.96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59346.73</v>
      </c>
      <c r="E33" s="277">
        <v>149505.84999999998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2939.26</v>
      </c>
      <c r="E35" s="277">
        <v>1727.93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20745.400000000001</v>
      </c>
      <c r="E37" s="277">
        <v>11782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2053861.73</v>
      </c>
      <c r="E39" s="278">
        <v>24035.18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-937598.42</v>
      </c>
      <c r="E40" s="279">
        <v>117426.03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653808.5499999997</v>
      </c>
      <c r="E41" s="151">
        <f>E26+E27+E40</f>
        <v>870489.85000000009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17901.166561999999</v>
      </c>
      <c r="E47" s="152">
        <v>3343.2631919999999</v>
      </c>
      <c r="G47" s="73"/>
      <c r="H47" s="162"/>
    </row>
    <row r="48" spans="2:10">
      <c r="B48" s="197" t="s">
        <v>6</v>
      </c>
      <c r="C48" s="198" t="s">
        <v>41</v>
      </c>
      <c r="D48" s="371">
        <v>3343.2631919999999</v>
      </c>
      <c r="E48" s="152">
        <v>3819.2780320000002</v>
      </c>
      <c r="G48" s="20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207.15</v>
      </c>
      <c r="E50" s="152">
        <v>195.56</v>
      </c>
      <c r="G50" s="183"/>
    </row>
    <row r="51" spans="2:7">
      <c r="B51" s="195" t="s">
        <v>6</v>
      </c>
      <c r="C51" s="196" t="s">
        <v>114</v>
      </c>
      <c r="D51" s="371">
        <v>136.03</v>
      </c>
      <c r="E51" s="77">
        <v>193.41</v>
      </c>
      <c r="G51" s="183"/>
    </row>
    <row r="52" spans="2:7">
      <c r="B52" s="195" t="s">
        <v>8</v>
      </c>
      <c r="C52" s="196" t="s">
        <v>115</v>
      </c>
      <c r="D52" s="371">
        <v>208.83</v>
      </c>
      <c r="E52" s="77">
        <v>238.87</v>
      </c>
    </row>
    <row r="53" spans="2:7" ht="12.75" customHeight="1" thickBot="1">
      <c r="B53" s="199" t="s">
        <v>9</v>
      </c>
      <c r="C53" s="200" t="s">
        <v>41</v>
      </c>
      <c r="D53" s="369">
        <v>195.56</v>
      </c>
      <c r="E53" s="280">
        <v>227.92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870489.85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870489.85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870489.85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870489.85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56999999999999995" right="0.75" top="0.6" bottom="0.49" header="0.5" footer="0.5"/>
  <pageSetup paperSize="9" scale="70"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1"/>
      <c r="C4" s="141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254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162095.23000000001</v>
      </c>
      <c r="E11" s="245">
        <f>SUM(E12:E14)</f>
        <v>200642.45</v>
      </c>
    </row>
    <row r="12" spans="2:12">
      <c r="B12" s="184" t="s">
        <v>4</v>
      </c>
      <c r="C12" s="185" t="s">
        <v>5</v>
      </c>
      <c r="D12" s="300">
        <v>162095.23000000001</v>
      </c>
      <c r="E12" s="250">
        <v>200642.45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162095.23000000001</v>
      </c>
      <c r="E21" s="151">
        <f>E11-E17</f>
        <v>200642.45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246269.2</v>
      </c>
      <c r="E26" s="239">
        <f>D21</f>
        <v>162095.23000000001</v>
      </c>
      <c r="G26" s="76"/>
    </row>
    <row r="27" spans="2:11" ht="13">
      <c r="B27" s="8" t="s">
        <v>17</v>
      </c>
      <c r="C27" s="9" t="s">
        <v>111</v>
      </c>
      <c r="D27" s="360">
        <v>-125446.16000000002</v>
      </c>
      <c r="E27" s="275">
        <v>-3044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100599.7</v>
      </c>
      <c r="E28" s="276">
        <v>0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100599.7</v>
      </c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226045.86000000002</v>
      </c>
      <c r="E32" s="276">
        <v>3044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222809.87</v>
      </c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99.1</v>
      </c>
      <c r="E35" s="277"/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3136.89</v>
      </c>
      <c r="E37" s="277">
        <v>3044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41272.19</v>
      </c>
      <c r="E40" s="279">
        <v>41591.22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162095.22999999998</v>
      </c>
      <c r="E41" s="151">
        <f>E26+E27+E40</f>
        <v>200642.45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1782.75083</v>
      </c>
      <c r="E47" s="152">
        <v>1015.44339</v>
      </c>
      <c r="G47" s="73"/>
    </row>
    <row r="48" spans="2:10">
      <c r="B48" s="197" t="s">
        <v>6</v>
      </c>
      <c r="C48" s="198" t="s">
        <v>41</v>
      </c>
      <c r="D48" s="371">
        <v>1015.44339</v>
      </c>
      <c r="E48" s="152">
        <v>999.31493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138.13999999999999</v>
      </c>
      <c r="E50" s="152">
        <v>159.63</v>
      </c>
      <c r="G50" s="183"/>
    </row>
    <row r="51" spans="2:7">
      <c r="B51" s="195" t="s">
        <v>6</v>
      </c>
      <c r="C51" s="196" t="s">
        <v>114</v>
      </c>
      <c r="D51" s="371">
        <v>99.47</v>
      </c>
      <c r="E51" s="77">
        <v>159.63</v>
      </c>
      <c r="G51" s="183"/>
    </row>
    <row r="52" spans="2:7">
      <c r="B52" s="195" t="s">
        <v>8</v>
      </c>
      <c r="C52" s="196" t="s">
        <v>115</v>
      </c>
      <c r="D52" s="371">
        <v>159.63</v>
      </c>
      <c r="E52" s="77">
        <v>212.3</v>
      </c>
    </row>
    <row r="53" spans="2:7" ht="13.5" customHeight="1" thickBot="1">
      <c r="B53" s="199" t="s">
        <v>9</v>
      </c>
      <c r="C53" s="200" t="s">
        <v>41</v>
      </c>
      <c r="D53" s="369">
        <v>159.63</v>
      </c>
      <c r="E53" s="280">
        <v>200.78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5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200642.45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200642.45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200642.45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200642.45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6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1"/>
      <c r="C4" s="141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183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3902970.36</v>
      </c>
      <c r="E11" s="245">
        <f>SUM(E12:E14)</f>
        <v>2610659.35</v>
      </c>
    </row>
    <row r="12" spans="2:12">
      <c r="B12" s="184" t="s">
        <v>4</v>
      </c>
      <c r="C12" s="185" t="s">
        <v>5</v>
      </c>
      <c r="D12" s="300">
        <v>3902970.36</v>
      </c>
      <c r="E12" s="250">
        <v>2610659.35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3902970.36</v>
      </c>
      <c r="E21" s="151">
        <f>E11-E17</f>
        <v>2610659.35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1848451.8</v>
      </c>
      <c r="E26" s="239">
        <f>D21</f>
        <v>3902970.36</v>
      </c>
      <c r="G26" s="76"/>
    </row>
    <row r="27" spans="2:11" ht="13">
      <c r="B27" s="8" t="s">
        <v>17</v>
      </c>
      <c r="C27" s="9" t="s">
        <v>111</v>
      </c>
      <c r="D27" s="360">
        <v>2122434.61</v>
      </c>
      <c r="E27" s="275">
        <v>-932166.81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2511610.96</v>
      </c>
      <c r="E28" s="276">
        <v>0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2511610.96</v>
      </c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389176.35</v>
      </c>
      <c r="E32" s="276">
        <v>932166.81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140199.41</v>
      </c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1624.13</v>
      </c>
      <c r="E35" s="277">
        <v>903.53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57245.440000000002</v>
      </c>
      <c r="E37" s="277">
        <v>52471.590000000004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190107.37</v>
      </c>
      <c r="E39" s="278">
        <v>878791.69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-67916.05</v>
      </c>
      <c r="E40" s="279">
        <v>-360144.2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3902970.3600000003</v>
      </c>
      <c r="E41" s="151">
        <f>E26+E27+E40</f>
        <v>2610659.3499999996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19721.026320000001</v>
      </c>
      <c r="E47" s="152">
        <v>41980.965429999997</v>
      </c>
      <c r="G47" s="73"/>
    </row>
    <row r="48" spans="2:10">
      <c r="B48" s="197" t="s">
        <v>6</v>
      </c>
      <c r="C48" s="198" t="s">
        <v>41</v>
      </c>
      <c r="D48" s="371">
        <v>41980.965429999997</v>
      </c>
      <c r="E48" s="152">
        <v>31340.448410000001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93.73</v>
      </c>
      <c r="E50" s="152">
        <v>92.97</v>
      </c>
      <c r="G50" s="183"/>
    </row>
    <row r="51" spans="2:7">
      <c r="B51" s="195" t="s">
        <v>6</v>
      </c>
      <c r="C51" s="196" t="s">
        <v>114</v>
      </c>
      <c r="D51" s="371">
        <v>75.56</v>
      </c>
      <c r="E51" s="152">
        <v>81.400000000000006</v>
      </c>
      <c r="G51" s="183"/>
    </row>
    <row r="52" spans="2:7">
      <c r="B52" s="195" t="s">
        <v>8</v>
      </c>
      <c r="C52" s="196" t="s">
        <v>115</v>
      </c>
      <c r="D52" s="371">
        <v>93.97</v>
      </c>
      <c r="E52" s="77">
        <v>93.42</v>
      </c>
    </row>
    <row r="53" spans="2:7" ht="12.75" customHeight="1" thickBot="1">
      <c r="B53" s="199" t="s">
        <v>9</v>
      </c>
      <c r="C53" s="200" t="s">
        <v>41</v>
      </c>
      <c r="D53" s="369">
        <v>92.97</v>
      </c>
      <c r="E53" s="280">
        <v>83.3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2610659.35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2610659.35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2610659.35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2610659.35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1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1"/>
      <c r="C4" s="141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184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156439.49</v>
      </c>
      <c r="E11" s="245">
        <f>SUM(E12:E14)</f>
        <v>169184.49</v>
      </c>
    </row>
    <row r="12" spans="2:12">
      <c r="B12" s="184" t="s">
        <v>4</v>
      </c>
      <c r="C12" s="185" t="s">
        <v>5</v>
      </c>
      <c r="D12" s="300">
        <v>156439.49</v>
      </c>
      <c r="E12" s="250">
        <v>169184.49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156439.49</v>
      </c>
      <c r="E21" s="151">
        <f>E11-E17</f>
        <v>169184.49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614174.27</v>
      </c>
      <c r="E26" s="239">
        <f>D21</f>
        <v>156439.49</v>
      </c>
      <c r="G26" s="76"/>
    </row>
    <row r="27" spans="2:11" ht="13">
      <c r="B27" s="8" t="s">
        <v>17</v>
      </c>
      <c r="C27" s="9" t="s">
        <v>111</v>
      </c>
      <c r="D27" s="360">
        <v>-415653.64</v>
      </c>
      <c r="E27" s="275">
        <v>-16178.62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11403.01</v>
      </c>
      <c r="E28" s="276">
        <v>0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11403.01</v>
      </c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427056.65</v>
      </c>
      <c r="E32" s="276">
        <v>16178.62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169140.86</v>
      </c>
      <c r="E33" s="277">
        <v>13357.31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321.22000000000003</v>
      </c>
      <c r="E35" s="277">
        <v>41.95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5309.13</v>
      </c>
      <c r="E37" s="277">
        <v>2779.36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252285.44</v>
      </c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-42081.14</v>
      </c>
      <c r="E40" s="279">
        <v>28923.62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156439.49</v>
      </c>
      <c r="E41" s="151">
        <f>E26+E27+E40</f>
        <v>169184.49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2707.7606500000002</v>
      </c>
      <c r="E47" s="152">
        <v>698.17238999999995</v>
      </c>
      <c r="G47" s="73"/>
    </row>
    <row r="48" spans="2:10">
      <c r="B48" s="197" t="s">
        <v>6</v>
      </c>
      <c r="C48" s="198" t="s">
        <v>41</v>
      </c>
      <c r="D48" s="371">
        <v>698.17238999999995</v>
      </c>
      <c r="E48" s="152">
        <v>628.56476999999995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226.82</v>
      </c>
      <c r="E50" s="152">
        <v>224.07</v>
      </c>
      <c r="G50" s="183"/>
    </row>
    <row r="51" spans="2:7">
      <c r="B51" s="195" t="s">
        <v>6</v>
      </c>
      <c r="C51" s="196" t="s">
        <v>114</v>
      </c>
      <c r="D51" s="371">
        <v>151.97</v>
      </c>
      <c r="E51" s="77">
        <v>221.81</v>
      </c>
      <c r="G51" s="183"/>
    </row>
    <row r="52" spans="2:7">
      <c r="B52" s="195" t="s">
        <v>8</v>
      </c>
      <c r="C52" s="196" t="s">
        <v>115</v>
      </c>
      <c r="D52" s="371">
        <v>231.55</v>
      </c>
      <c r="E52" s="77">
        <v>269.91000000000003</v>
      </c>
    </row>
    <row r="53" spans="2:7" ht="12.75" customHeight="1" thickBot="1">
      <c r="B53" s="199" t="s">
        <v>9</v>
      </c>
      <c r="C53" s="200" t="s">
        <v>41</v>
      </c>
      <c r="D53" s="369">
        <v>224.07</v>
      </c>
      <c r="E53" s="280">
        <v>269.16000000000003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169184.49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169184.49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169184.49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169184.49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M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6" customWidth="1"/>
    <col min="12" max="12" width="12.453125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88"/>
      <c r="C4" s="88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91</v>
      </c>
      <c r="C6" s="403"/>
      <c r="D6" s="403"/>
      <c r="E6" s="403"/>
    </row>
    <row r="7" spans="2:12" ht="14">
      <c r="B7" s="92"/>
      <c r="C7" s="9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89"/>
      <c r="C10" s="78" t="s">
        <v>2</v>
      </c>
      <c r="D10" s="291" t="s">
        <v>246</v>
      </c>
      <c r="E10" s="258" t="s">
        <v>262</v>
      </c>
      <c r="G10" s="73"/>
    </row>
    <row r="11" spans="2:12" ht="13">
      <c r="B11" s="93" t="s">
        <v>3</v>
      </c>
      <c r="C11" s="207" t="s">
        <v>109</v>
      </c>
      <c r="D11" s="299">
        <f>SUM(D12:D14)</f>
        <v>85196263.070000008</v>
      </c>
      <c r="E11" s="245">
        <f>SUM(E12:E14)</f>
        <v>76953796.170000002</v>
      </c>
      <c r="H11" s="73"/>
    </row>
    <row r="12" spans="2:12">
      <c r="B12" s="109" t="s">
        <v>4</v>
      </c>
      <c r="C12" s="208" t="s">
        <v>5</v>
      </c>
      <c r="D12" s="300">
        <f>84824449.73+351096.55-615049.97</f>
        <v>84560496.310000002</v>
      </c>
      <c r="E12" s="250">
        <f>77053640.34+309094.7-436482.35</f>
        <v>76926252.690000013</v>
      </c>
      <c r="H12" s="73"/>
    </row>
    <row r="13" spans="2:12">
      <c r="B13" s="109" t="s">
        <v>6</v>
      </c>
      <c r="C13" s="208" t="s">
        <v>7</v>
      </c>
      <c r="D13" s="301"/>
      <c r="E13" s="251">
        <v>6.16</v>
      </c>
      <c r="H13" s="73"/>
    </row>
    <row r="14" spans="2:12">
      <c r="B14" s="109" t="s">
        <v>8</v>
      </c>
      <c r="C14" s="208" t="s">
        <v>10</v>
      </c>
      <c r="D14" s="301">
        <f>D15</f>
        <v>635766.76</v>
      </c>
      <c r="E14" s="251">
        <f>E15</f>
        <v>27537.32</v>
      </c>
      <c r="H14" s="73"/>
    </row>
    <row r="15" spans="2:12">
      <c r="B15" s="109" t="s">
        <v>106</v>
      </c>
      <c r="C15" s="208" t="s">
        <v>11</v>
      </c>
      <c r="D15" s="301">
        <v>635766.76</v>
      </c>
      <c r="E15" s="251">
        <v>27537.32</v>
      </c>
      <c r="H15" s="73"/>
    </row>
    <row r="16" spans="2:12">
      <c r="B16" s="110" t="s">
        <v>107</v>
      </c>
      <c r="C16" s="209" t="s">
        <v>12</v>
      </c>
      <c r="D16" s="302"/>
      <c r="E16" s="252"/>
      <c r="H16" s="73"/>
    </row>
    <row r="17" spans="2:13" ht="13">
      <c r="B17" s="8" t="s">
        <v>13</v>
      </c>
      <c r="C17" s="210" t="s">
        <v>65</v>
      </c>
      <c r="D17" s="303">
        <f>D18</f>
        <v>108280.82</v>
      </c>
      <c r="E17" s="253">
        <f>E18</f>
        <v>100259.79</v>
      </c>
    </row>
    <row r="18" spans="2:13">
      <c r="B18" s="109" t="s">
        <v>4</v>
      </c>
      <c r="C18" s="208" t="s">
        <v>11</v>
      </c>
      <c r="D18" s="302">
        <v>108280.82</v>
      </c>
      <c r="E18" s="252">
        <v>100259.79</v>
      </c>
      <c r="M18" s="67"/>
    </row>
    <row r="19" spans="2:13" ht="15" customHeight="1">
      <c r="B19" s="109" t="s">
        <v>6</v>
      </c>
      <c r="C19" s="208" t="s">
        <v>108</v>
      </c>
      <c r="D19" s="301"/>
      <c r="E19" s="251"/>
    </row>
    <row r="20" spans="2:13" ht="13" thickBot="1">
      <c r="B20" s="111" t="s">
        <v>8</v>
      </c>
      <c r="C20" s="69" t="s">
        <v>14</v>
      </c>
      <c r="D20" s="304"/>
      <c r="E20" s="246"/>
    </row>
    <row r="21" spans="2:13" ht="13.5" thickBot="1">
      <c r="B21" s="412" t="s">
        <v>110</v>
      </c>
      <c r="C21" s="413"/>
      <c r="D21" s="305">
        <f>D11-D17</f>
        <v>85087982.250000015</v>
      </c>
      <c r="E21" s="151">
        <f>E11-E17</f>
        <v>76853536.379999995</v>
      </c>
      <c r="F21" s="79"/>
      <c r="G21" s="79"/>
      <c r="H21" s="171"/>
      <c r="J21" s="232"/>
      <c r="K21" s="171"/>
    </row>
    <row r="22" spans="2:13">
      <c r="B22" s="3"/>
      <c r="C22" s="6"/>
      <c r="D22" s="7"/>
      <c r="E22" s="7"/>
      <c r="G22" s="73"/>
    </row>
    <row r="23" spans="2:13" ht="13.5">
      <c r="B23" s="405" t="s">
        <v>104</v>
      </c>
      <c r="C23" s="417"/>
      <c r="D23" s="417"/>
      <c r="E23" s="417"/>
      <c r="G23" s="73"/>
    </row>
    <row r="24" spans="2:13" ht="15.75" customHeight="1" thickBot="1">
      <c r="B24" s="404" t="s">
        <v>105</v>
      </c>
      <c r="C24" s="418"/>
      <c r="D24" s="418"/>
      <c r="E24" s="418"/>
      <c r="K24" s="183"/>
    </row>
    <row r="25" spans="2:13" ht="13.5" thickBot="1">
      <c r="B25" s="89"/>
      <c r="C25" s="4" t="s">
        <v>2</v>
      </c>
      <c r="D25" s="291" t="s">
        <v>246</v>
      </c>
      <c r="E25" s="258" t="s">
        <v>262</v>
      </c>
    </row>
    <row r="26" spans="2:13" ht="13">
      <c r="B26" s="98" t="s">
        <v>15</v>
      </c>
      <c r="C26" s="99" t="s">
        <v>16</v>
      </c>
      <c r="D26" s="359">
        <v>68289446.690000013</v>
      </c>
      <c r="E26" s="239">
        <f>D21</f>
        <v>85087982.250000015</v>
      </c>
      <c r="G26" s="76"/>
    </row>
    <row r="27" spans="2:13" ht="13">
      <c r="B27" s="8" t="s">
        <v>17</v>
      </c>
      <c r="C27" s="9" t="s">
        <v>111</v>
      </c>
      <c r="D27" s="360">
        <v>12785511.190000001</v>
      </c>
      <c r="E27" s="275">
        <v>2243240.9900000002</v>
      </c>
      <c r="F27" s="73"/>
      <c r="G27" s="156"/>
      <c r="H27" s="255"/>
      <c r="I27" s="255"/>
      <c r="J27" s="219"/>
    </row>
    <row r="28" spans="2:13" ht="13">
      <c r="B28" s="8" t="s">
        <v>18</v>
      </c>
      <c r="C28" s="9" t="s">
        <v>19</v>
      </c>
      <c r="D28" s="360">
        <v>29072909.940000001</v>
      </c>
      <c r="E28" s="276">
        <v>22471648.859999999</v>
      </c>
      <c r="F28" s="73"/>
      <c r="G28" s="156"/>
      <c r="H28" s="255"/>
      <c r="I28" s="255"/>
      <c r="J28" s="219"/>
    </row>
    <row r="29" spans="2:13">
      <c r="B29" s="107" t="s">
        <v>4</v>
      </c>
      <c r="C29" s="5" t="s">
        <v>20</v>
      </c>
      <c r="D29" s="361">
        <v>19738099.960000001</v>
      </c>
      <c r="E29" s="277">
        <v>17190451.210000001</v>
      </c>
      <c r="F29" s="73"/>
      <c r="G29" s="156"/>
      <c r="H29" s="255"/>
      <c r="I29" s="255"/>
      <c r="J29" s="219"/>
    </row>
    <row r="30" spans="2:13">
      <c r="B30" s="107" t="s">
        <v>6</v>
      </c>
      <c r="C30" s="5" t="s">
        <v>21</v>
      </c>
      <c r="D30" s="361"/>
      <c r="E30" s="277"/>
      <c r="F30" s="73"/>
      <c r="G30" s="156"/>
      <c r="H30" s="255"/>
      <c r="I30" s="255"/>
      <c r="J30" s="219"/>
    </row>
    <row r="31" spans="2:13">
      <c r="B31" s="107" t="s">
        <v>8</v>
      </c>
      <c r="C31" s="5" t="s">
        <v>22</v>
      </c>
      <c r="D31" s="361">
        <v>9334809.9800000004</v>
      </c>
      <c r="E31" s="277">
        <v>5281197.6500000004</v>
      </c>
      <c r="F31" s="73"/>
      <c r="G31" s="156"/>
      <c r="H31" s="255"/>
      <c r="I31" s="255"/>
      <c r="J31" s="219"/>
    </row>
    <row r="32" spans="2:13" ht="13">
      <c r="B32" s="95" t="s">
        <v>23</v>
      </c>
      <c r="C32" s="10" t="s">
        <v>24</v>
      </c>
      <c r="D32" s="360">
        <v>16287398.75</v>
      </c>
      <c r="E32" s="276">
        <v>20228407.870000001</v>
      </c>
      <c r="F32" s="73"/>
      <c r="G32" s="156"/>
      <c r="H32" s="255"/>
      <c r="I32" s="255"/>
      <c r="J32" s="219"/>
    </row>
    <row r="33" spans="2:10">
      <c r="B33" s="107" t="s">
        <v>4</v>
      </c>
      <c r="C33" s="5" t="s">
        <v>25</v>
      </c>
      <c r="D33" s="361">
        <v>9806639.1099999994</v>
      </c>
      <c r="E33" s="277">
        <v>9520896.3100000005</v>
      </c>
      <c r="F33" s="73"/>
      <c r="G33" s="156"/>
      <c r="H33" s="255"/>
      <c r="I33" s="255"/>
      <c r="J33" s="219"/>
    </row>
    <row r="34" spans="2:10">
      <c r="B34" s="107" t="s">
        <v>6</v>
      </c>
      <c r="C34" s="5" t="s">
        <v>26</v>
      </c>
      <c r="D34" s="361"/>
      <c r="E34" s="277"/>
      <c r="F34" s="73"/>
      <c r="G34" s="156"/>
      <c r="H34" s="255"/>
      <c r="I34" s="255"/>
      <c r="J34" s="219"/>
    </row>
    <row r="35" spans="2:10">
      <c r="B35" s="107" t="s">
        <v>8</v>
      </c>
      <c r="C35" s="5" t="s">
        <v>27</v>
      </c>
      <c r="D35" s="361">
        <v>1626653.97</v>
      </c>
      <c r="E35" s="277">
        <v>1599395.35</v>
      </c>
      <c r="F35" s="73"/>
      <c r="G35" s="156"/>
      <c r="H35" s="255"/>
      <c r="I35" s="255"/>
      <c r="J35" s="219"/>
    </row>
    <row r="36" spans="2:10">
      <c r="B36" s="107" t="s">
        <v>9</v>
      </c>
      <c r="C36" s="5" t="s">
        <v>28</v>
      </c>
      <c r="D36" s="361"/>
      <c r="E36" s="277"/>
      <c r="F36" s="73"/>
      <c r="G36" s="156"/>
      <c r="H36" s="255"/>
      <c r="I36" s="255"/>
      <c r="J36" s="219"/>
    </row>
    <row r="37" spans="2:10" ht="25">
      <c r="B37" s="107" t="s">
        <v>29</v>
      </c>
      <c r="C37" s="5" t="s">
        <v>30</v>
      </c>
      <c r="D37" s="361"/>
      <c r="E37" s="277"/>
      <c r="F37" s="73"/>
      <c r="G37" s="156"/>
      <c r="H37" s="255"/>
      <c r="I37" s="255"/>
      <c r="J37" s="219"/>
    </row>
    <row r="38" spans="2:10">
      <c r="B38" s="107" t="s">
        <v>31</v>
      </c>
      <c r="C38" s="5" t="s">
        <v>32</v>
      </c>
      <c r="D38" s="361"/>
      <c r="E38" s="277"/>
      <c r="F38" s="73"/>
      <c r="G38" s="156"/>
      <c r="H38" s="255"/>
      <c r="I38" s="255"/>
      <c r="J38" s="219"/>
    </row>
    <row r="39" spans="2:10">
      <c r="B39" s="108" t="s">
        <v>33</v>
      </c>
      <c r="C39" s="11" t="s">
        <v>34</v>
      </c>
      <c r="D39" s="362">
        <v>4854105.67</v>
      </c>
      <c r="E39" s="278">
        <v>9108116.2100000009</v>
      </c>
      <c r="F39" s="73"/>
      <c r="G39" s="156"/>
      <c r="H39" s="255"/>
      <c r="I39" s="255"/>
      <c r="J39" s="219"/>
    </row>
    <row r="40" spans="2:10" ht="13.5" thickBot="1">
      <c r="B40" s="100" t="s">
        <v>35</v>
      </c>
      <c r="C40" s="101" t="s">
        <v>36</v>
      </c>
      <c r="D40" s="363">
        <v>4013024.37</v>
      </c>
      <c r="E40" s="279">
        <v>-10477686.859999999</v>
      </c>
      <c r="G40" s="76"/>
      <c r="J40" s="163"/>
    </row>
    <row r="41" spans="2:10" ht="13.5" thickBot="1">
      <c r="B41" s="102" t="s">
        <v>37</v>
      </c>
      <c r="C41" s="103" t="s">
        <v>38</v>
      </c>
      <c r="D41" s="364">
        <v>85087982.250000015</v>
      </c>
      <c r="E41" s="151">
        <f>E26+E27+E40</f>
        <v>76853536.38000001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16"/>
      <c r="D43" s="416"/>
      <c r="E43" s="416"/>
      <c r="G43" s="73"/>
    </row>
    <row r="44" spans="2:10" ht="17.25" customHeight="1" thickBot="1">
      <c r="B44" s="404" t="s">
        <v>121</v>
      </c>
      <c r="C44" s="411"/>
      <c r="D44" s="411"/>
      <c r="E44" s="411"/>
      <c r="G44" s="73"/>
    </row>
    <row r="45" spans="2:10" ht="13.5" thickBot="1">
      <c r="B45" s="89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5494161.6903999997</v>
      </c>
      <c r="E47" s="309">
        <v>6483694.3091000002</v>
      </c>
      <c r="G47" s="203"/>
    </row>
    <row r="48" spans="2:10">
      <c r="B48" s="197" t="s">
        <v>6</v>
      </c>
      <c r="C48" s="198" t="s">
        <v>41</v>
      </c>
      <c r="D48" s="371">
        <v>6483694.3091000002</v>
      </c>
      <c r="E48" s="380">
        <v>6646924.0060000001</v>
      </c>
      <c r="G48" s="206"/>
      <c r="I48" s="206"/>
      <c r="J48" s="203"/>
    </row>
    <row r="49" spans="2:7" ht="13">
      <c r="B49" s="123" t="s">
        <v>23</v>
      </c>
      <c r="C49" s="127" t="s">
        <v>113</v>
      </c>
      <c r="D49" s="373"/>
      <c r="E49" s="128"/>
    </row>
    <row r="50" spans="2:7">
      <c r="B50" s="195" t="s">
        <v>4</v>
      </c>
      <c r="C50" s="196" t="s">
        <v>40</v>
      </c>
      <c r="D50" s="371">
        <v>12.429500000000001</v>
      </c>
      <c r="E50" s="310">
        <v>13.1234</v>
      </c>
      <c r="G50" s="220"/>
    </row>
    <row r="51" spans="2:7">
      <c r="B51" s="195" t="s">
        <v>6</v>
      </c>
      <c r="C51" s="196" t="s">
        <v>114</v>
      </c>
      <c r="D51" s="371">
        <v>12.3536</v>
      </c>
      <c r="E51" s="311">
        <v>11.5623</v>
      </c>
      <c r="G51" s="183"/>
    </row>
    <row r="52" spans="2:7" ht="12" customHeight="1">
      <c r="B52" s="195" t="s">
        <v>8</v>
      </c>
      <c r="C52" s="196" t="s">
        <v>115</v>
      </c>
      <c r="D52" s="371">
        <v>13.225099999999999</v>
      </c>
      <c r="E52" s="77">
        <v>13.194800000000001</v>
      </c>
    </row>
    <row r="53" spans="2:7" ht="13" thickBot="1">
      <c r="B53" s="199" t="s">
        <v>9</v>
      </c>
      <c r="C53" s="200" t="s">
        <v>41</v>
      </c>
      <c r="D53" s="369">
        <v>13.1234</v>
      </c>
      <c r="E53" s="280">
        <v>11.5623</v>
      </c>
    </row>
    <row r="54" spans="2:7">
      <c r="B54" s="201"/>
      <c r="C54" s="202"/>
      <c r="D54" s="114"/>
      <c r="E54" s="114"/>
    </row>
    <row r="55" spans="2:7" ht="13.5">
      <c r="B55" s="406" t="s">
        <v>62</v>
      </c>
      <c r="C55" s="407"/>
      <c r="D55" s="407"/>
      <c r="E55" s="407"/>
    </row>
    <row r="56" spans="2:7" ht="16.5" customHeight="1" thickBot="1">
      <c r="B56" s="404" t="s">
        <v>116</v>
      </c>
      <c r="C56" s="408"/>
      <c r="D56" s="408"/>
      <c r="E56" s="408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SUM(D59:D70)</f>
        <v>76926252.690000013</v>
      </c>
      <c r="E58" s="30">
        <f>D58/E21</f>
        <v>1.000946167390925</v>
      </c>
    </row>
    <row r="59" spans="2:7" ht="25">
      <c r="B59" s="313" t="s">
        <v>4</v>
      </c>
      <c r="C59" s="198" t="s">
        <v>44</v>
      </c>
      <c r="D59" s="82">
        <v>0</v>
      </c>
      <c r="E59" s="83">
        <v>0</v>
      </c>
    </row>
    <row r="60" spans="2:7" ht="24" customHeight="1">
      <c r="B60" s="314" t="s">
        <v>6</v>
      </c>
      <c r="C60" s="196" t="s">
        <v>45</v>
      </c>
      <c r="D60" s="80">
        <v>0</v>
      </c>
      <c r="E60" s="81">
        <v>0</v>
      </c>
    </row>
    <row r="61" spans="2:7">
      <c r="B61" s="314" t="s">
        <v>8</v>
      </c>
      <c r="C61" s="196" t="s">
        <v>46</v>
      </c>
      <c r="D61" s="80">
        <v>0</v>
      </c>
      <c r="E61" s="81">
        <v>0</v>
      </c>
    </row>
    <row r="62" spans="2:7">
      <c r="B62" s="314" t="s">
        <v>9</v>
      </c>
      <c r="C62" s="196" t="s">
        <v>47</v>
      </c>
      <c r="D62" s="80">
        <v>0</v>
      </c>
      <c r="E62" s="81">
        <v>0</v>
      </c>
    </row>
    <row r="63" spans="2:7">
      <c r="B63" s="314" t="s">
        <v>29</v>
      </c>
      <c r="C63" s="196" t="s">
        <v>48</v>
      </c>
      <c r="D63" s="80">
        <v>0</v>
      </c>
      <c r="E63" s="81">
        <v>0</v>
      </c>
    </row>
    <row r="64" spans="2:7">
      <c r="B64" s="313" t="s">
        <v>31</v>
      </c>
      <c r="C64" s="198" t="s">
        <v>49</v>
      </c>
      <c r="D64" s="377">
        <f>77053640.34-436482.35</f>
        <v>76617157.99000001</v>
      </c>
      <c r="E64" s="83">
        <f>D64/E21</f>
        <v>0.99692430041434632</v>
      </c>
      <c r="G64" s="73"/>
    </row>
    <row r="65" spans="2:7">
      <c r="B65" s="313" t="s">
        <v>33</v>
      </c>
      <c r="C65" s="198" t="s">
        <v>118</v>
      </c>
      <c r="D65" s="82">
        <v>0</v>
      </c>
      <c r="E65" s="83">
        <v>0</v>
      </c>
      <c r="G65" s="73"/>
    </row>
    <row r="66" spans="2:7">
      <c r="B66" s="313" t="s">
        <v>50</v>
      </c>
      <c r="C66" s="198" t="s">
        <v>51</v>
      </c>
      <c r="D66" s="82">
        <v>0</v>
      </c>
      <c r="E66" s="83">
        <v>0</v>
      </c>
    </row>
    <row r="67" spans="2:7">
      <c r="B67" s="314" t="s">
        <v>52</v>
      </c>
      <c r="C67" s="196" t="s">
        <v>53</v>
      </c>
      <c r="D67" s="80">
        <v>0</v>
      </c>
      <c r="E67" s="81">
        <v>0</v>
      </c>
    </row>
    <row r="68" spans="2:7">
      <c r="B68" s="314" t="s">
        <v>54</v>
      </c>
      <c r="C68" s="196" t="s">
        <v>55</v>
      </c>
      <c r="D68" s="80">
        <v>0</v>
      </c>
      <c r="E68" s="81">
        <v>0</v>
      </c>
    </row>
    <row r="69" spans="2:7">
      <c r="B69" s="314" t="s">
        <v>56</v>
      </c>
      <c r="C69" s="196" t="s">
        <v>57</v>
      </c>
      <c r="D69" s="370">
        <v>309094.7</v>
      </c>
      <c r="E69" s="81">
        <f>D69/E21</f>
        <v>4.0218669765785479E-3</v>
      </c>
    </row>
    <row r="70" spans="2:7">
      <c r="B70" s="315" t="s">
        <v>58</v>
      </c>
      <c r="C70" s="240" t="s">
        <v>59</v>
      </c>
      <c r="D70" s="117">
        <v>0</v>
      </c>
      <c r="E70" s="118">
        <v>0</v>
      </c>
    </row>
    <row r="71" spans="2:7" ht="13">
      <c r="B71" s="123" t="s">
        <v>23</v>
      </c>
      <c r="C71" s="124" t="s">
        <v>61</v>
      </c>
      <c r="D71" s="125">
        <f>E13</f>
        <v>6.16</v>
      </c>
      <c r="E71" s="66">
        <v>0</v>
      </c>
    </row>
    <row r="72" spans="2:7" ht="13">
      <c r="B72" s="119" t="s">
        <v>60</v>
      </c>
      <c r="C72" s="120" t="s">
        <v>63</v>
      </c>
      <c r="D72" s="121">
        <f>E14</f>
        <v>27537.32</v>
      </c>
      <c r="E72" s="122">
        <f>D72/E21</f>
        <v>3.583090811051628E-4</v>
      </c>
    </row>
    <row r="73" spans="2:7" ht="13">
      <c r="B73" s="22" t="s">
        <v>62</v>
      </c>
      <c r="C73" s="23" t="s">
        <v>65</v>
      </c>
      <c r="D73" s="24">
        <f>E17</f>
        <v>100259.79</v>
      </c>
      <c r="E73" s="25">
        <f>D73/E21</f>
        <v>1.304556624489841E-3</v>
      </c>
    </row>
    <row r="74" spans="2:7" ht="13">
      <c r="B74" s="123" t="s">
        <v>64</v>
      </c>
      <c r="C74" s="124" t="s">
        <v>66</v>
      </c>
      <c r="D74" s="125">
        <f>D58+D71+D72-D73</f>
        <v>76853536.379999995</v>
      </c>
      <c r="E74" s="66">
        <f>E58+E72-E73</f>
        <v>0.99999991984754044</v>
      </c>
    </row>
    <row r="75" spans="2:7">
      <c r="B75" s="314" t="s">
        <v>4</v>
      </c>
      <c r="C75" s="196" t="s">
        <v>67</v>
      </c>
      <c r="D75" s="80">
        <f>D74</f>
        <v>76853536.379999995</v>
      </c>
      <c r="E75" s="81">
        <f>E74</f>
        <v>0.99999991984754044</v>
      </c>
    </row>
    <row r="76" spans="2:7">
      <c r="B76" s="314" t="s">
        <v>6</v>
      </c>
      <c r="C76" s="196" t="s">
        <v>119</v>
      </c>
      <c r="D76" s="80">
        <v>0</v>
      </c>
      <c r="E76" s="81">
        <v>0</v>
      </c>
    </row>
    <row r="77" spans="2:7" ht="13" thickBot="1">
      <c r="B77" s="15" t="s">
        <v>8</v>
      </c>
      <c r="C77" s="16" t="s">
        <v>120</v>
      </c>
      <c r="D77" s="84">
        <v>0</v>
      </c>
      <c r="E77" s="85">
        <v>0</v>
      </c>
    </row>
    <row r="78" spans="2:7">
      <c r="B78" s="1"/>
      <c r="C78" s="1"/>
      <c r="D78" s="2"/>
      <c r="E78" s="2"/>
    </row>
    <row r="79" spans="2:7">
      <c r="B79" s="1"/>
      <c r="C79" s="1"/>
      <c r="D79" s="2"/>
      <c r="E79" s="2"/>
    </row>
    <row r="80" spans="2:7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8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1"/>
      <c r="C4" s="141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261</v>
      </c>
      <c r="C6" s="403"/>
      <c r="D6" s="403"/>
      <c r="E6" s="403"/>
    </row>
    <row r="7" spans="2:12" ht="14">
      <c r="B7" s="139"/>
      <c r="C7" s="139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0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50262.98</v>
      </c>
      <c r="E11" s="245">
        <f>SUM(E12:E14)</f>
        <v>51043.71</v>
      </c>
    </row>
    <row r="12" spans="2:12">
      <c r="B12" s="184" t="s">
        <v>4</v>
      </c>
      <c r="C12" s="185" t="s">
        <v>5</v>
      </c>
      <c r="D12" s="300">
        <v>50262.98</v>
      </c>
      <c r="E12" s="250">
        <v>51043.71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50262.98</v>
      </c>
      <c r="E21" s="151">
        <f>E11-E17</f>
        <v>51043.71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53043.67</v>
      </c>
      <c r="E26" s="239">
        <f>D21</f>
        <v>50262.98</v>
      </c>
      <c r="G26" s="76"/>
    </row>
    <row r="27" spans="2:11" ht="13">
      <c r="B27" s="8" t="s">
        <v>17</v>
      </c>
      <c r="C27" s="9" t="s">
        <v>111</v>
      </c>
      <c r="D27" s="360">
        <v>-3105</v>
      </c>
      <c r="E27" s="275">
        <v>-989.95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3105</v>
      </c>
      <c r="E32" s="276">
        <v>989.95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1994.28</v>
      </c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373.63</v>
      </c>
      <c r="E35" s="277">
        <v>326.73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737.09</v>
      </c>
      <c r="E37" s="277">
        <v>663.22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324.31</v>
      </c>
      <c r="E40" s="279">
        <v>1770.68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50262.979999999996</v>
      </c>
      <c r="E41" s="151">
        <f>E26+E27+E40</f>
        <v>51043.710000000006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429.39909999999998</v>
      </c>
      <c r="E47" s="152">
        <v>403.97832</v>
      </c>
      <c r="G47" s="73"/>
    </row>
    <row r="48" spans="2:10">
      <c r="B48" s="197" t="s">
        <v>6</v>
      </c>
      <c r="C48" s="198" t="s">
        <v>41</v>
      </c>
      <c r="D48" s="371">
        <v>403.97832</v>
      </c>
      <c r="E48" s="152">
        <v>396.20983999999999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123.53</v>
      </c>
      <c r="E50" s="152">
        <v>124.42</v>
      </c>
      <c r="G50" s="183"/>
    </row>
    <row r="51" spans="2:7">
      <c r="B51" s="195" t="s">
        <v>6</v>
      </c>
      <c r="C51" s="196" t="s">
        <v>114</v>
      </c>
      <c r="D51" s="371">
        <v>112.78</v>
      </c>
      <c r="E51" s="152">
        <v>123.74</v>
      </c>
      <c r="G51" s="183"/>
    </row>
    <row r="52" spans="2:7">
      <c r="B52" s="195" t="s">
        <v>8</v>
      </c>
      <c r="C52" s="196" t="s">
        <v>115</v>
      </c>
      <c r="D52" s="371">
        <v>126.54</v>
      </c>
      <c r="E52" s="77">
        <v>129.96</v>
      </c>
    </row>
    <row r="53" spans="2:7" ht="13.5" customHeight="1" thickBot="1">
      <c r="B53" s="199" t="s">
        <v>9</v>
      </c>
      <c r="C53" s="200" t="s">
        <v>41</v>
      </c>
      <c r="D53" s="369">
        <v>124.42</v>
      </c>
      <c r="E53" s="280">
        <v>128.83000000000001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.7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51043.71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51043.71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51043.71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51043.71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9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21.26953125" customWidth="1"/>
    <col min="9" max="9" width="13.26953125" customWidth="1"/>
    <col min="10" max="10" width="13.54296875" customWidth="1"/>
    <col min="11" max="11" width="12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50"/>
      <c r="C4" s="150"/>
      <c r="D4" s="150"/>
      <c r="E4" s="150"/>
    </row>
    <row r="5" spans="2:12" ht="14">
      <c r="B5" s="402" t="s">
        <v>1</v>
      </c>
      <c r="C5" s="402"/>
      <c r="D5" s="402"/>
      <c r="E5" s="402"/>
    </row>
    <row r="6" spans="2:12" ht="14">
      <c r="B6" s="403" t="s">
        <v>185</v>
      </c>
      <c r="C6" s="403"/>
      <c r="D6" s="403"/>
      <c r="E6" s="403"/>
    </row>
    <row r="7" spans="2:12" ht="14">
      <c r="B7" s="174"/>
      <c r="C7" s="174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75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/>
      <c r="E11" s="245"/>
    </row>
    <row r="12" spans="2:12">
      <c r="B12" s="184" t="s">
        <v>4</v>
      </c>
      <c r="C12" s="185" t="s">
        <v>5</v>
      </c>
      <c r="D12" s="300"/>
      <c r="E12" s="250"/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/>
      <c r="E21" s="151"/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0</v>
      </c>
      <c r="E26" s="239">
        <f>D21</f>
        <v>0</v>
      </c>
      <c r="G26" s="76"/>
    </row>
    <row r="27" spans="2:11" ht="13">
      <c r="B27" s="8" t="s">
        <v>17</v>
      </c>
      <c r="C27" s="9" t="s">
        <v>111</v>
      </c>
      <c r="D27" s="360">
        <v>-2369.2700000000004</v>
      </c>
      <c r="E27" s="275">
        <v>-0.27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30002.6</v>
      </c>
      <c r="E28" s="276">
        <v>0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30002.6</v>
      </c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32371.87</v>
      </c>
      <c r="E32" s="276">
        <v>0.27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1.77</v>
      </c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25.13</v>
      </c>
      <c r="E35" s="277"/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207.81</v>
      </c>
      <c r="E37" s="277"/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32137.16</v>
      </c>
      <c r="E39" s="278">
        <v>0.27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2369.27</v>
      </c>
      <c r="E40" s="279">
        <v>0.27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0</v>
      </c>
      <c r="E41" s="151">
        <f>E26+E27+E40</f>
        <v>0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/>
      <c r="E47" s="152"/>
      <c r="G47" s="73"/>
    </row>
    <row r="48" spans="2:10">
      <c r="B48" s="197" t="s">
        <v>6</v>
      </c>
      <c r="C48" s="198" t="s">
        <v>41</v>
      </c>
      <c r="D48" s="371"/>
      <c r="E48" s="152"/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/>
      <c r="E50" s="152"/>
      <c r="G50" s="183"/>
    </row>
    <row r="51" spans="2:7">
      <c r="B51" s="195" t="s">
        <v>6</v>
      </c>
      <c r="C51" s="196" t="s">
        <v>114</v>
      </c>
      <c r="D51" s="371">
        <v>90.67</v>
      </c>
      <c r="E51" s="152">
        <v>129.61000000000001</v>
      </c>
      <c r="G51" s="183"/>
    </row>
    <row r="52" spans="2:7">
      <c r="B52" s="195" t="s">
        <v>8</v>
      </c>
      <c r="C52" s="196" t="s">
        <v>115</v>
      </c>
      <c r="D52" s="371">
        <v>132.78</v>
      </c>
      <c r="E52" s="77">
        <v>150.08000000000001</v>
      </c>
    </row>
    <row r="53" spans="2:7" ht="13" thickBot="1">
      <c r="B53" s="199" t="s">
        <v>9</v>
      </c>
      <c r="C53" s="200" t="s">
        <v>41</v>
      </c>
      <c r="D53" s="369"/>
      <c r="E53" s="280"/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0</v>
      </c>
      <c r="E58" s="30">
        <v>0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0</v>
      </c>
      <c r="E64" s="83">
        <f>E58</f>
        <v>0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0</v>
      </c>
      <c r="E74" s="66">
        <f>E58+E72-E73</f>
        <v>0</v>
      </c>
    </row>
    <row r="75" spans="2:5">
      <c r="B75" s="105" t="s">
        <v>4</v>
      </c>
      <c r="C75" s="14" t="s">
        <v>67</v>
      </c>
      <c r="D75" s="80">
        <f>D74</f>
        <v>0</v>
      </c>
      <c r="E75" s="81">
        <f>E74</f>
        <v>0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1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9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186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21825.79</v>
      </c>
      <c r="E11" s="245">
        <f>SUM(E12:E14)</f>
        <v>5793.44</v>
      </c>
    </row>
    <row r="12" spans="2:12">
      <c r="B12" s="184" t="s">
        <v>4</v>
      </c>
      <c r="C12" s="185" t="s">
        <v>5</v>
      </c>
      <c r="D12" s="300">
        <v>21825.79</v>
      </c>
      <c r="E12" s="250">
        <v>5793.44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21825.79</v>
      </c>
      <c r="E21" s="151">
        <f>E11-E17</f>
        <v>5793.44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33933.9</v>
      </c>
      <c r="E26" s="239">
        <f>D21</f>
        <v>21825.79</v>
      </c>
      <c r="G26" s="76"/>
    </row>
    <row r="27" spans="2:11" ht="13">
      <c r="B27" s="8" t="s">
        <v>17</v>
      </c>
      <c r="C27" s="9" t="s">
        <v>111</v>
      </c>
      <c r="D27" s="360">
        <v>-15899.71</v>
      </c>
      <c r="E27" s="275">
        <v>-18871.61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15899.71</v>
      </c>
      <c r="E32" s="276">
        <v>18871.61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891.6</v>
      </c>
      <c r="E33" s="277">
        <v>17673.54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857.59</v>
      </c>
      <c r="E35" s="277">
        <v>830.94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589.61</v>
      </c>
      <c r="E37" s="277">
        <v>367.13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13560.91</v>
      </c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3791.6</v>
      </c>
      <c r="E40" s="279">
        <v>2839.26</v>
      </c>
      <c r="G40" s="76"/>
      <c r="H40" s="270"/>
    </row>
    <row r="41" spans="2:10" ht="13.5" thickBot="1">
      <c r="B41" s="102" t="s">
        <v>37</v>
      </c>
      <c r="C41" s="103" t="s">
        <v>38</v>
      </c>
      <c r="D41" s="364">
        <v>21825.79</v>
      </c>
      <c r="E41" s="151">
        <f>E26+E27+E40</f>
        <v>5793.4400000000005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362.69670000000002</v>
      </c>
      <c r="E47" s="152">
        <v>198.77770000000001</v>
      </c>
      <c r="G47" s="73"/>
    </row>
    <row r="48" spans="2:10">
      <c r="B48" s="197" t="s">
        <v>6</v>
      </c>
      <c r="C48" s="198" t="s">
        <v>41</v>
      </c>
      <c r="D48" s="371">
        <v>198.77770000000001</v>
      </c>
      <c r="E48" s="152">
        <v>47.753399999999999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93.56</v>
      </c>
      <c r="E50" s="152">
        <v>109.8</v>
      </c>
      <c r="G50" s="183"/>
    </row>
    <row r="51" spans="2:7">
      <c r="B51" s="195" t="s">
        <v>6</v>
      </c>
      <c r="C51" s="196" t="s">
        <v>114</v>
      </c>
      <c r="D51" s="371">
        <v>60.44</v>
      </c>
      <c r="E51" s="77">
        <v>109.8</v>
      </c>
      <c r="G51" s="183"/>
    </row>
    <row r="52" spans="2:7">
      <c r="B52" s="195" t="s">
        <v>8</v>
      </c>
      <c r="C52" s="196" t="s">
        <v>115</v>
      </c>
      <c r="D52" s="371">
        <v>109.8</v>
      </c>
      <c r="E52" s="77">
        <v>129.61000000000001</v>
      </c>
    </row>
    <row r="53" spans="2:7" ht="12.75" customHeight="1" thickBot="1">
      <c r="B53" s="199" t="s">
        <v>9</v>
      </c>
      <c r="C53" s="200" t="s">
        <v>41</v>
      </c>
      <c r="D53" s="369">
        <v>109.8</v>
      </c>
      <c r="E53" s="280">
        <v>121.32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5793.44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5793.44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5793.44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5793.44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3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11.4531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187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89681.67</v>
      </c>
      <c r="E11" s="245">
        <f>SUM(E12:E14)</f>
        <v>109472.15</v>
      </c>
    </row>
    <row r="12" spans="2:12">
      <c r="B12" s="184" t="s">
        <v>4</v>
      </c>
      <c r="C12" s="185" t="s">
        <v>5</v>
      </c>
      <c r="D12" s="300">
        <v>89681.67</v>
      </c>
      <c r="E12" s="250">
        <v>109472.15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89681.67</v>
      </c>
      <c r="E21" s="151">
        <f>E11-E17</f>
        <v>109472.15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64061.72</v>
      </c>
      <c r="E26" s="239">
        <f>D21</f>
        <v>89681.67</v>
      </c>
      <c r="G26" s="76"/>
      <c r="H26" s="242"/>
    </row>
    <row r="27" spans="2:11" ht="13">
      <c r="B27" s="8" t="s">
        <v>17</v>
      </c>
      <c r="C27" s="9" t="s">
        <v>111</v>
      </c>
      <c r="D27" s="360">
        <v>18118.28</v>
      </c>
      <c r="E27" s="275">
        <v>30954.65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30666.82</v>
      </c>
      <c r="E28" s="276">
        <v>61143.630000000005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7809.27</v>
      </c>
      <c r="E29" s="277">
        <v>10564.17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22857.55</v>
      </c>
      <c r="E31" s="277">
        <v>50579.46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12548.539999999999</v>
      </c>
      <c r="E32" s="276">
        <v>30188.98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2153.7600000000002</v>
      </c>
      <c r="E33" s="277">
        <v>1281.8799999999999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333.87</v>
      </c>
      <c r="E35" s="277">
        <v>305.28000000000003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788.28</v>
      </c>
      <c r="E37" s="277">
        <v>1577.81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9272.6299999999992</v>
      </c>
      <c r="E39" s="278">
        <v>27024.01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7501.67</v>
      </c>
      <c r="E40" s="279">
        <v>-11164.17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89681.67</v>
      </c>
      <c r="E41" s="151">
        <f>E26+E27+E40</f>
        <v>109472.15000000001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8575.866</v>
      </c>
      <c r="E47" s="152">
        <v>10831.119999999999</v>
      </c>
      <c r="G47" s="73"/>
    </row>
    <row r="48" spans="2:10">
      <c r="B48" s="197" t="s">
        <v>6</v>
      </c>
      <c r="C48" s="198" t="s">
        <v>41</v>
      </c>
      <c r="D48" s="371">
        <v>10831.119999999999</v>
      </c>
      <c r="E48" s="152">
        <v>14034.891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7.47</v>
      </c>
      <c r="E50" s="152">
        <v>8.2799999999999994</v>
      </c>
      <c r="G50" s="183"/>
    </row>
    <row r="51" spans="2:7">
      <c r="B51" s="195" t="s">
        <v>6</v>
      </c>
      <c r="C51" s="196" t="s">
        <v>114</v>
      </c>
      <c r="D51" s="371">
        <v>5.25</v>
      </c>
      <c r="E51" s="77">
        <v>7.63</v>
      </c>
      <c r="G51" s="183"/>
    </row>
    <row r="52" spans="2:7">
      <c r="B52" s="195" t="s">
        <v>8</v>
      </c>
      <c r="C52" s="196" t="s">
        <v>115</v>
      </c>
      <c r="D52" s="371">
        <v>8.2799999999999994</v>
      </c>
      <c r="E52" s="77">
        <v>9.2100000000000009</v>
      </c>
    </row>
    <row r="53" spans="2:7" ht="13.5" customHeight="1" thickBot="1">
      <c r="B53" s="199" t="s">
        <v>9</v>
      </c>
      <c r="C53" s="200" t="s">
        <v>41</v>
      </c>
      <c r="D53" s="369">
        <v>8.2799999999999994</v>
      </c>
      <c r="E53" s="280">
        <v>7.8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109472.15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109472.15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109472.15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109472.15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4"/>
  <dimension ref="A1:L81"/>
  <sheetViews>
    <sheetView zoomScale="80" zoomScaleNormal="80" workbookViewId="0">
      <selection activeCell="G2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188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22991.3</v>
      </c>
      <c r="E11" s="245">
        <f>SUM(E12:E14)</f>
        <v>23684.04</v>
      </c>
    </row>
    <row r="12" spans="2:12">
      <c r="B12" s="184" t="s">
        <v>4</v>
      </c>
      <c r="C12" s="185" t="s">
        <v>5</v>
      </c>
      <c r="D12" s="300">
        <v>22991.3</v>
      </c>
      <c r="E12" s="250">
        <v>23684.04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22991.3</v>
      </c>
      <c r="E21" s="151">
        <f>E11-E17</f>
        <v>23684.04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27799.95</v>
      </c>
      <c r="E26" s="239">
        <f>D21</f>
        <v>22991.3</v>
      </c>
      <c r="G26" s="76"/>
    </row>
    <row r="27" spans="2:11" ht="13">
      <c r="B27" s="8" t="s">
        <v>17</v>
      </c>
      <c r="C27" s="9" t="s">
        <v>111</v>
      </c>
      <c r="D27" s="360">
        <v>-4441.3200000000006</v>
      </c>
      <c r="E27" s="275">
        <v>-528.42999999999995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4441.3200000000006</v>
      </c>
      <c r="E32" s="276">
        <v>528.42999999999995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3827.44</v>
      </c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231.57</v>
      </c>
      <c r="E35" s="277">
        <v>198.4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382.31</v>
      </c>
      <c r="E37" s="277">
        <v>330.03000000000003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-367.33</v>
      </c>
      <c r="E40" s="279">
        <v>1221.17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22991.3</v>
      </c>
      <c r="E41" s="151">
        <f>E26+E27+E40</f>
        <v>23684.04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2504.5</v>
      </c>
      <c r="E47" s="152">
        <v>2084.433</v>
      </c>
      <c r="G47" s="73"/>
    </row>
    <row r="48" spans="2:10">
      <c r="B48" s="197" t="s">
        <v>6</v>
      </c>
      <c r="C48" s="198" t="s">
        <v>41</v>
      </c>
      <c r="D48" s="371">
        <v>2084.433</v>
      </c>
      <c r="E48" s="152">
        <v>2038.213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11.1</v>
      </c>
      <c r="E50" s="152">
        <v>11.03</v>
      </c>
      <c r="G50" s="183"/>
    </row>
    <row r="51" spans="2:7">
      <c r="B51" s="195" t="s">
        <v>6</v>
      </c>
      <c r="C51" s="196" t="s">
        <v>114</v>
      </c>
      <c r="D51" s="371">
        <v>8.77</v>
      </c>
      <c r="E51" s="152">
        <v>10.86</v>
      </c>
      <c r="G51" s="183"/>
    </row>
    <row r="52" spans="2:7">
      <c r="B52" s="195" t="s">
        <v>8</v>
      </c>
      <c r="C52" s="196" t="s">
        <v>115</v>
      </c>
      <c r="D52" s="371">
        <v>11.26</v>
      </c>
      <c r="E52" s="77">
        <v>11.67</v>
      </c>
    </row>
    <row r="53" spans="2:7" ht="12.75" customHeight="1" thickBot="1">
      <c r="B53" s="199" t="s">
        <v>9</v>
      </c>
      <c r="C53" s="200" t="s">
        <v>41</v>
      </c>
      <c r="D53" s="369">
        <v>11.03</v>
      </c>
      <c r="E53" s="280">
        <v>11.62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4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23684.04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23684.04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23684.04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23684.04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5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189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2171235.04</v>
      </c>
      <c r="E11" s="245">
        <f>SUM(E12:E14)</f>
        <v>680950.48</v>
      </c>
    </row>
    <row r="12" spans="2:12">
      <c r="B12" s="184" t="s">
        <v>4</v>
      </c>
      <c r="C12" s="185" t="s">
        <v>5</v>
      </c>
      <c r="D12" s="300">
        <v>2171235.04</v>
      </c>
      <c r="E12" s="250">
        <v>680950.48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2171235.04</v>
      </c>
      <c r="E21" s="151">
        <f>E11-E17</f>
        <v>680950.48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2193806.56</v>
      </c>
      <c r="E26" s="239">
        <f>D21</f>
        <v>2171235.04</v>
      </c>
      <c r="G26" s="76"/>
    </row>
    <row r="27" spans="2:11" ht="13">
      <c r="B27" s="8" t="s">
        <v>17</v>
      </c>
      <c r="C27" s="9" t="s">
        <v>111</v>
      </c>
      <c r="D27" s="360">
        <v>-92145.93</v>
      </c>
      <c r="E27" s="275">
        <v>-1478014.32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92145.93</v>
      </c>
      <c r="E32" s="276">
        <v>1478014.32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55844.31</v>
      </c>
      <c r="E33" s="277">
        <v>1449597.05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1643.32</v>
      </c>
      <c r="E35" s="277">
        <v>316.14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34658.300000000003</v>
      </c>
      <c r="E37" s="277">
        <v>28101.13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69574.41</v>
      </c>
      <c r="E40" s="279">
        <v>-12270.24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2171235.04</v>
      </c>
      <c r="E41" s="151">
        <f>E26+E27+E40</f>
        <v>680950.48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115039.673</v>
      </c>
      <c r="E47" s="152">
        <v>110047.39200000001</v>
      </c>
      <c r="G47" s="73"/>
    </row>
    <row r="48" spans="2:10">
      <c r="B48" s="197" t="s">
        <v>6</v>
      </c>
      <c r="C48" s="198" t="s">
        <v>41</v>
      </c>
      <c r="D48" s="371">
        <v>110047.39200000001</v>
      </c>
      <c r="E48" s="152">
        <v>34636.341999999997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19.07</v>
      </c>
      <c r="E50" s="152">
        <v>19.73</v>
      </c>
      <c r="G50" s="183"/>
    </row>
    <row r="51" spans="2:7">
      <c r="B51" s="195" t="s">
        <v>6</v>
      </c>
      <c r="C51" s="196" t="s">
        <v>114</v>
      </c>
      <c r="D51" s="371">
        <v>16.41</v>
      </c>
      <c r="E51" s="152">
        <v>19.48</v>
      </c>
      <c r="G51" s="183"/>
    </row>
    <row r="52" spans="2:7">
      <c r="B52" s="195" t="s">
        <v>8</v>
      </c>
      <c r="C52" s="196" t="s">
        <v>115</v>
      </c>
      <c r="D52" s="371">
        <v>19.73</v>
      </c>
      <c r="E52" s="77">
        <v>19.95</v>
      </c>
    </row>
    <row r="53" spans="2:7" ht="12.75" customHeight="1" thickBot="1">
      <c r="B53" s="199" t="s">
        <v>9</v>
      </c>
      <c r="C53" s="200" t="s">
        <v>41</v>
      </c>
      <c r="D53" s="369">
        <v>19.73</v>
      </c>
      <c r="E53" s="280">
        <v>19.66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8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680950.48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680950.48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680950.48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680950.48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6">
    <pageSetUpPr fitToPage="1"/>
  </sheetPr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226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130712.71</v>
      </c>
      <c r="E11" s="245">
        <f>SUM(E12:E14)</f>
        <v>112875.4</v>
      </c>
    </row>
    <row r="12" spans="2:12">
      <c r="B12" s="184" t="s">
        <v>4</v>
      </c>
      <c r="C12" s="185" t="s">
        <v>5</v>
      </c>
      <c r="D12" s="300">
        <v>130712.71</v>
      </c>
      <c r="E12" s="250">
        <v>112875.4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130712.71</v>
      </c>
      <c r="E21" s="151">
        <f>E11-E17</f>
        <v>112875.4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173324.38</v>
      </c>
      <c r="E26" s="239">
        <f>D21</f>
        <v>130712.71</v>
      </c>
      <c r="G26" s="76"/>
    </row>
    <row r="27" spans="2:11" ht="13">
      <c r="B27" s="8" t="s">
        <v>17</v>
      </c>
      <c r="C27" s="9" t="s">
        <v>111</v>
      </c>
      <c r="D27" s="360">
        <v>-45281.36</v>
      </c>
      <c r="E27" s="275">
        <v>-16695.43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45281.36</v>
      </c>
      <c r="E32" s="276">
        <v>16695.43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41290.42</v>
      </c>
      <c r="E33" s="277">
        <v>13567.28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1635.62</v>
      </c>
      <c r="E35" s="277">
        <v>1402.28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2355.3200000000002</v>
      </c>
      <c r="E37" s="277">
        <v>1725.8700000000001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2669.69</v>
      </c>
      <c r="E40" s="279">
        <v>-1141.8800000000001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130712.71</v>
      </c>
      <c r="E41" s="151">
        <f>E26+E27+E40</f>
        <v>112875.4</v>
      </c>
      <c r="F41" s="79"/>
      <c r="G41" s="76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13572.778</v>
      </c>
      <c r="E47" s="152">
        <v>10070.316999999999</v>
      </c>
      <c r="G47" s="73"/>
    </row>
    <row r="48" spans="2:10">
      <c r="B48" s="197" t="s">
        <v>6</v>
      </c>
      <c r="C48" s="198" t="s">
        <v>41</v>
      </c>
      <c r="D48" s="371">
        <v>10070.316999999999</v>
      </c>
      <c r="E48" s="152">
        <v>8784.0779999999995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12.77</v>
      </c>
      <c r="E50" s="152">
        <v>12.98</v>
      </c>
      <c r="G50" s="183"/>
    </row>
    <row r="51" spans="2:7">
      <c r="B51" s="195" t="s">
        <v>6</v>
      </c>
      <c r="C51" s="196" t="s">
        <v>114</v>
      </c>
      <c r="D51" s="371">
        <v>12.64</v>
      </c>
      <c r="E51" s="152">
        <v>12.79</v>
      </c>
      <c r="G51" s="183"/>
    </row>
    <row r="52" spans="2:7">
      <c r="B52" s="195" t="s">
        <v>8</v>
      </c>
      <c r="C52" s="196" t="s">
        <v>115</v>
      </c>
      <c r="D52" s="371">
        <v>12.99</v>
      </c>
      <c r="E52" s="77">
        <v>13.03</v>
      </c>
    </row>
    <row r="53" spans="2:7" ht="13.5" customHeight="1" thickBot="1">
      <c r="B53" s="199" t="s">
        <v>9</v>
      </c>
      <c r="C53" s="200" t="s">
        <v>41</v>
      </c>
      <c r="D53" s="369">
        <v>12.98</v>
      </c>
      <c r="E53" s="280">
        <v>12.85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112875.4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2.7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112875.4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112875.4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112875.4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7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H2" s="164"/>
      <c r="I2" s="164"/>
      <c r="J2" s="166"/>
      <c r="L2" s="73"/>
    </row>
    <row r="3" spans="2:12" ht="15.5">
      <c r="B3" s="401" t="s">
        <v>257</v>
      </c>
      <c r="C3" s="401"/>
      <c r="D3" s="401"/>
      <c r="E3" s="401"/>
      <c r="H3" s="164"/>
      <c r="I3" s="164"/>
      <c r="J3" s="166"/>
    </row>
    <row r="4" spans="2:12" ht="14">
      <c r="B4" s="144"/>
      <c r="C4" s="144"/>
      <c r="D4" s="150"/>
      <c r="E4" s="150"/>
      <c r="H4" s="163"/>
      <c r="I4" s="163"/>
      <c r="J4" s="166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190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844250.4</v>
      </c>
      <c r="E11" s="245">
        <f>SUM(E12:E14)</f>
        <v>938059.44</v>
      </c>
    </row>
    <row r="12" spans="2:12">
      <c r="B12" s="184" t="s">
        <v>4</v>
      </c>
      <c r="C12" s="185" t="s">
        <v>5</v>
      </c>
      <c r="D12" s="300">
        <v>844250.4</v>
      </c>
      <c r="E12" s="250">
        <v>938059.44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844250.4</v>
      </c>
      <c r="E21" s="151">
        <f>E11-E17</f>
        <v>938059.44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871158.36</v>
      </c>
      <c r="E26" s="239">
        <f>D21</f>
        <v>844250.4</v>
      </c>
      <c r="G26" s="76"/>
      <c r="H26" s="242"/>
    </row>
    <row r="27" spans="2:11" ht="13">
      <c r="B27" s="8" t="s">
        <v>17</v>
      </c>
      <c r="C27" s="9" t="s">
        <v>111</v>
      </c>
      <c r="D27" s="360">
        <v>-13276.720000000001</v>
      </c>
      <c r="E27" s="275">
        <v>-14306.130000000001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/>
      <c r="E28" s="276"/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/>
      <c r="E31" s="277"/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13276.720000000001</v>
      </c>
      <c r="E32" s="276">
        <v>14306.130000000001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/>
      <c r="E33" s="277"/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552.17999999999995</v>
      </c>
      <c r="E35" s="277">
        <v>28.6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12724.54</v>
      </c>
      <c r="E37" s="277">
        <v>14277.53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/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-13631.24</v>
      </c>
      <c r="E40" s="279">
        <v>108115.17</v>
      </c>
      <c r="G40" s="76"/>
      <c r="H40" s="270"/>
    </row>
    <row r="41" spans="2:10" ht="13.5" thickBot="1">
      <c r="B41" s="102" t="s">
        <v>37</v>
      </c>
      <c r="C41" s="103" t="s">
        <v>38</v>
      </c>
      <c r="D41" s="364">
        <v>844250.4</v>
      </c>
      <c r="E41" s="151">
        <f>E26+E27+E40</f>
        <v>938059.44000000006</v>
      </c>
      <c r="F41" s="79"/>
      <c r="G41" s="76"/>
      <c r="H41" s="270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70141.574999999997</v>
      </c>
      <c r="E47" s="152">
        <v>68974.706000000006</v>
      </c>
      <c r="G47" s="73"/>
    </row>
    <row r="48" spans="2:10">
      <c r="B48" s="197" t="s">
        <v>6</v>
      </c>
      <c r="C48" s="198" t="s">
        <v>41</v>
      </c>
      <c r="D48" s="371">
        <v>68974.706000000006</v>
      </c>
      <c r="E48" s="152">
        <v>67876.948999999993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12.42</v>
      </c>
      <c r="E50" s="152">
        <v>12.24</v>
      </c>
      <c r="G50" s="183"/>
    </row>
    <row r="51" spans="2:7">
      <c r="B51" s="195" t="s">
        <v>6</v>
      </c>
      <c r="C51" s="196" t="s">
        <v>114</v>
      </c>
      <c r="D51" s="371">
        <v>9.82</v>
      </c>
      <c r="E51" s="152">
        <v>12.09</v>
      </c>
      <c r="G51" s="183"/>
    </row>
    <row r="52" spans="2:7">
      <c r="B52" s="195" t="s">
        <v>8</v>
      </c>
      <c r="C52" s="196" t="s">
        <v>115</v>
      </c>
      <c r="D52" s="371">
        <v>12.71</v>
      </c>
      <c r="E52" s="77">
        <v>13.82</v>
      </c>
    </row>
    <row r="53" spans="2:7" ht="13.5" customHeight="1" thickBot="1">
      <c r="B53" s="199" t="s">
        <v>9</v>
      </c>
      <c r="C53" s="200" t="s">
        <v>41</v>
      </c>
      <c r="D53" s="369">
        <v>12.24</v>
      </c>
      <c r="E53" s="280">
        <v>13.82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938059.44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938059.44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938059.44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938059.44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8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</row>
    <row r="6" spans="2:12" ht="14">
      <c r="B6" s="403" t="s">
        <v>191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29139.59</v>
      </c>
      <c r="E11" s="245">
        <f>SUM(E12:E14)</f>
        <v>34977.279999999999</v>
      </c>
    </row>
    <row r="12" spans="2:12">
      <c r="B12" s="184" t="s">
        <v>4</v>
      </c>
      <c r="C12" s="185" t="s">
        <v>5</v>
      </c>
      <c r="D12" s="300">
        <v>29139.59</v>
      </c>
      <c r="E12" s="250">
        <v>34977.279999999999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29139.59</v>
      </c>
      <c r="E21" s="151">
        <f>E11-E17</f>
        <v>34977.279999999999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42568.53</v>
      </c>
      <c r="E26" s="239">
        <f>D21</f>
        <v>29139.59</v>
      </c>
      <c r="G26" s="76"/>
      <c r="H26" s="242"/>
    </row>
    <row r="27" spans="2:11" ht="13">
      <c r="B27" s="8" t="s">
        <v>17</v>
      </c>
      <c r="C27" s="9" t="s">
        <v>111</v>
      </c>
      <c r="D27" s="360">
        <v>-713.08000000000175</v>
      </c>
      <c r="E27" s="275">
        <v>-1729.5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111631.18</v>
      </c>
      <c r="E28" s="276">
        <v>12002.27</v>
      </c>
      <c r="F28" s="73"/>
      <c r="G28" s="73"/>
      <c r="H28" s="255"/>
      <c r="I28" s="73"/>
      <c r="J28" s="76"/>
    </row>
    <row r="29" spans="2:11" ht="13">
      <c r="B29" s="192" t="s">
        <v>4</v>
      </c>
      <c r="C29" s="185" t="s">
        <v>20</v>
      </c>
      <c r="D29" s="361">
        <v>3687.03</v>
      </c>
      <c r="E29" s="277">
        <v>2200.65</v>
      </c>
      <c r="F29" s="73"/>
      <c r="G29" s="73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73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107944.15</v>
      </c>
      <c r="E31" s="277">
        <v>9801.6200000000008</v>
      </c>
      <c r="F31" s="73"/>
      <c r="G31" s="73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112344.26</v>
      </c>
      <c r="E32" s="276">
        <v>13731.77</v>
      </c>
      <c r="F32" s="73"/>
      <c r="G32" s="76"/>
      <c r="H32" s="255"/>
      <c r="I32" s="73"/>
      <c r="J32" s="76"/>
    </row>
    <row r="33" spans="2:10" ht="13">
      <c r="B33" s="192" t="s">
        <v>4</v>
      </c>
      <c r="C33" s="185" t="s">
        <v>25</v>
      </c>
      <c r="D33" s="361">
        <v>14274.88</v>
      </c>
      <c r="E33" s="277">
        <v>5004.6299999999992</v>
      </c>
      <c r="F33" s="73"/>
      <c r="G33" s="73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73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561.29999999999995</v>
      </c>
      <c r="E35" s="277">
        <v>333.27</v>
      </c>
      <c r="F35" s="73"/>
      <c r="G35" s="73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73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726.55</v>
      </c>
      <c r="E37" s="277">
        <v>408.55</v>
      </c>
      <c r="F37" s="73"/>
      <c r="G37" s="73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73"/>
      <c r="H38" s="255"/>
      <c r="I38" s="73"/>
      <c r="J38" s="76"/>
    </row>
    <row r="39" spans="2:10" ht="13">
      <c r="B39" s="193" t="s">
        <v>33</v>
      </c>
      <c r="C39" s="194" t="s">
        <v>34</v>
      </c>
      <c r="D39" s="362">
        <v>96781.53</v>
      </c>
      <c r="E39" s="278">
        <v>7985.3200000000006</v>
      </c>
      <c r="F39" s="73"/>
      <c r="G39" s="73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-12715.86</v>
      </c>
      <c r="E40" s="279">
        <v>7567.19</v>
      </c>
      <c r="G40" s="76"/>
      <c r="H40" s="242"/>
    </row>
    <row r="41" spans="2:10" ht="13.5" thickBot="1">
      <c r="B41" s="102" t="s">
        <v>37</v>
      </c>
      <c r="C41" s="103" t="s">
        <v>38</v>
      </c>
      <c r="D41" s="364">
        <v>29139.589999999997</v>
      </c>
      <c r="E41" s="151">
        <f>E26+E27+E40</f>
        <v>34977.279999999999</v>
      </c>
      <c r="F41" s="79"/>
      <c r="G41" s="76"/>
      <c r="H41" s="242"/>
    </row>
    <row r="42" spans="2:10" ht="13">
      <c r="B42" s="96"/>
      <c r="C42" s="96"/>
      <c r="D42" s="97"/>
      <c r="E42" s="97"/>
      <c r="F42" s="79"/>
      <c r="G42" s="67"/>
    </row>
    <row r="43" spans="2:10" ht="13.5">
      <c r="B43" s="406" t="s">
        <v>60</v>
      </c>
      <c r="C43" s="407"/>
      <c r="D43" s="407"/>
      <c r="E43" s="407"/>
      <c r="G43" s="73"/>
    </row>
    <row r="44" spans="2:10" ht="18" customHeight="1" thickBot="1">
      <c r="B44" s="404" t="s">
        <v>121</v>
      </c>
      <c r="C44" s="408"/>
      <c r="D44" s="408"/>
      <c r="E44" s="408"/>
      <c r="G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7561.0169999999998</v>
      </c>
      <c r="E47" s="152">
        <v>5386.2460000000001</v>
      </c>
      <c r="G47" s="73"/>
    </row>
    <row r="48" spans="2:10">
      <c r="B48" s="197" t="s">
        <v>6</v>
      </c>
      <c r="C48" s="198" t="s">
        <v>41</v>
      </c>
      <c r="D48" s="371">
        <v>5386.2460000000001</v>
      </c>
      <c r="E48" s="152">
        <v>5158.8909999999996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5.63</v>
      </c>
      <c r="E50" s="152">
        <v>5.41</v>
      </c>
      <c r="G50" s="183"/>
    </row>
    <row r="51" spans="2:7">
      <c r="B51" s="195" t="s">
        <v>6</v>
      </c>
      <c r="C51" s="196" t="s">
        <v>114</v>
      </c>
      <c r="D51" s="371">
        <v>4.3</v>
      </c>
      <c r="E51" s="152">
        <v>5.41</v>
      </c>
      <c r="G51" s="183"/>
    </row>
    <row r="52" spans="2:7">
      <c r="B52" s="195" t="s">
        <v>8</v>
      </c>
      <c r="C52" s="196" t="s">
        <v>115</v>
      </c>
      <c r="D52" s="371">
        <v>5.65</v>
      </c>
      <c r="E52" s="152">
        <v>7.08</v>
      </c>
    </row>
    <row r="53" spans="2:7" ht="13.5" customHeight="1" thickBot="1">
      <c r="B53" s="199" t="s">
        <v>9</v>
      </c>
      <c r="C53" s="200" t="s">
        <v>41</v>
      </c>
      <c r="D53" s="369">
        <v>5.41</v>
      </c>
      <c r="E53" s="280">
        <v>6.78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6.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34977.279999999999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34977.279999999999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34977.279999999999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34977.279999999999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9"/>
  <dimension ref="A1:L81"/>
  <sheetViews>
    <sheetView zoomScale="80" zoomScaleNormal="80" workbookViewId="0">
      <selection activeCell="G1" sqref="G1:K1048576"/>
    </sheetView>
  </sheetViews>
  <sheetFormatPr defaultRowHeight="12.5"/>
  <cols>
    <col min="1" max="1" width="9.1796875" style="26"/>
    <col min="2" max="2" width="5.26953125" style="26" bestFit="1" customWidth="1"/>
    <col min="3" max="3" width="75.453125" style="26" customWidth="1"/>
    <col min="4" max="5" width="17.81640625" style="86" customWidth="1"/>
    <col min="6" max="6" width="7.453125" customWidth="1"/>
    <col min="7" max="7" width="17.26953125" customWidth="1"/>
    <col min="8" max="8" width="19" customWidth="1"/>
    <col min="9" max="9" width="13.26953125" customWidth="1"/>
    <col min="10" max="10" width="13.54296875" customWidth="1"/>
    <col min="11" max="11" width="24.7265625" customWidth="1"/>
    <col min="12" max="12" width="12.453125" bestFit="1" customWidth="1"/>
  </cols>
  <sheetData>
    <row r="1" spans="2:12">
      <c r="B1" s="1"/>
      <c r="C1" s="1"/>
      <c r="D1" s="2"/>
      <c r="E1" s="2"/>
    </row>
    <row r="2" spans="2:12" ht="15.5">
      <c r="B2" s="401" t="s">
        <v>0</v>
      </c>
      <c r="C2" s="401"/>
      <c r="D2" s="401"/>
      <c r="E2" s="401"/>
      <c r="L2" s="73"/>
    </row>
    <row r="3" spans="2:12" ht="15.5">
      <c r="B3" s="401" t="s">
        <v>257</v>
      </c>
      <c r="C3" s="401"/>
      <c r="D3" s="401"/>
      <c r="E3" s="401"/>
    </row>
    <row r="4" spans="2:12" ht="14">
      <c r="B4" s="144"/>
      <c r="C4" s="144"/>
      <c r="D4" s="150"/>
      <c r="E4" s="150"/>
    </row>
    <row r="5" spans="2:12" ht="21" customHeight="1">
      <c r="B5" s="402" t="s">
        <v>1</v>
      </c>
      <c r="C5" s="402"/>
      <c r="D5" s="402"/>
      <c r="E5" s="402"/>
      <c r="H5" s="163"/>
      <c r="I5" s="163"/>
      <c r="J5" s="163"/>
    </row>
    <row r="6" spans="2:12" ht="14">
      <c r="B6" s="403" t="s">
        <v>192</v>
      </c>
      <c r="C6" s="403"/>
      <c r="D6" s="403"/>
      <c r="E6" s="403"/>
    </row>
    <row r="7" spans="2:12" ht="14">
      <c r="B7" s="142"/>
      <c r="C7" s="142"/>
      <c r="D7" s="336"/>
      <c r="E7" s="336"/>
    </row>
    <row r="8" spans="2:12" ht="13.5">
      <c r="B8" s="405" t="s">
        <v>18</v>
      </c>
      <c r="C8" s="416"/>
      <c r="D8" s="416"/>
      <c r="E8" s="416"/>
    </row>
    <row r="9" spans="2:12" ht="16" thickBot="1">
      <c r="B9" s="404" t="s">
        <v>103</v>
      </c>
      <c r="C9" s="404"/>
      <c r="D9" s="404"/>
      <c r="E9" s="404"/>
    </row>
    <row r="10" spans="2:12" ht="13.5" thickBot="1">
      <c r="B10" s="143"/>
      <c r="C10" s="78" t="s">
        <v>2</v>
      </c>
      <c r="D10" s="291" t="s">
        <v>246</v>
      </c>
      <c r="E10" s="258" t="s">
        <v>262</v>
      </c>
    </row>
    <row r="11" spans="2:12" ht="13">
      <c r="B11" s="93" t="s">
        <v>3</v>
      </c>
      <c r="C11" s="131" t="s">
        <v>109</v>
      </c>
      <c r="D11" s="299">
        <v>63.05</v>
      </c>
      <c r="E11" s="245">
        <f>SUM(E12:E14)</f>
        <v>76.94</v>
      </c>
    </row>
    <row r="12" spans="2:12">
      <c r="B12" s="184" t="s">
        <v>4</v>
      </c>
      <c r="C12" s="185" t="s">
        <v>5</v>
      </c>
      <c r="D12" s="300">
        <v>63.05</v>
      </c>
      <c r="E12" s="250">
        <v>76.94</v>
      </c>
    </row>
    <row r="13" spans="2:12">
      <c r="B13" s="184" t="s">
        <v>6</v>
      </c>
      <c r="C13" s="186" t="s">
        <v>7</v>
      </c>
      <c r="D13" s="301"/>
      <c r="E13" s="251"/>
    </row>
    <row r="14" spans="2:12">
      <c r="B14" s="184" t="s">
        <v>8</v>
      </c>
      <c r="C14" s="186" t="s">
        <v>10</v>
      </c>
      <c r="D14" s="301"/>
      <c r="E14" s="251"/>
      <c r="G14" s="67"/>
    </row>
    <row r="15" spans="2:12">
      <c r="B15" s="184" t="s">
        <v>106</v>
      </c>
      <c r="C15" s="186" t="s">
        <v>11</v>
      </c>
      <c r="D15" s="301"/>
      <c r="E15" s="251"/>
    </row>
    <row r="16" spans="2:12">
      <c r="B16" s="187" t="s">
        <v>107</v>
      </c>
      <c r="C16" s="188" t="s">
        <v>12</v>
      </c>
      <c r="D16" s="302"/>
      <c r="E16" s="252"/>
    </row>
    <row r="17" spans="2:11" ht="13">
      <c r="B17" s="8" t="s">
        <v>13</v>
      </c>
      <c r="C17" s="10" t="s">
        <v>65</v>
      </c>
      <c r="D17" s="303"/>
      <c r="E17" s="253"/>
    </row>
    <row r="18" spans="2:11">
      <c r="B18" s="184" t="s">
        <v>4</v>
      </c>
      <c r="C18" s="185" t="s">
        <v>11</v>
      </c>
      <c r="D18" s="302"/>
      <c r="E18" s="252"/>
    </row>
    <row r="19" spans="2:11" ht="15" customHeight="1">
      <c r="B19" s="184" t="s">
        <v>6</v>
      </c>
      <c r="C19" s="186" t="s">
        <v>108</v>
      </c>
      <c r="D19" s="301"/>
      <c r="E19" s="251"/>
    </row>
    <row r="20" spans="2:11" ht="13" thickBot="1">
      <c r="B20" s="189" t="s">
        <v>8</v>
      </c>
      <c r="C20" s="190" t="s">
        <v>14</v>
      </c>
      <c r="D20" s="304"/>
      <c r="E20" s="246"/>
    </row>
    <row r="21" spans="2:11" ht="13.5" thickBot="1">
      <c r="B21" s="412" t="s">
        <v>110</v>
      </c>
      <c r="C21" s="413"/>
      <c r="D21" s="305">
        <v>63.05</v>
      </c>
      <c r="E21" s="151">
        <f>E11-E17</f>
        <v>76.94</v>
      </c>
      <c r="F21" s="79"/>
      <c r="G21" s="79"/>
      <c r="H21" s="171"/>
      <c r="J21" s="232"/>
      <c r="K21" s="171"/>
    </row>
    <row r="22" spans="2:11">
      <c r="B22" s="3"/>
      <c r="C22" s="6"/>
      <c r="D22" s="7"/>
      <c r="E22" s="7"/>
      <c r="G22" s="73"/>
    </row>
    <row r="23" spans="2:11" ht="13.5">
      <c r="B23" s="405" t="s">
        <v>104</v>
      </c>
      <c r="C23" s="414"/>
      <c r="D23" s="414"/>
      <c r="E23" s="414"/>
      <c r="G23" s="73"/>
    </row>
    <row r="24" spans="2:11" ht="15.75" customHeight="1" thickBot="1">
      <c r="B24" s="404" t="s">
        <v>105</v>
      </c>
      <c r="C24" s="415"/>
      <c r="D24" s="415"/>
      <c r="E24" s="415"/>
    </row>
    <row r="25" spans="2:11" ht="13.5" thickBot="1">
      <c r="B25" s="225"/>
      <c r="C25" s="191" t="s">
        <v>2</v>
      </c>
      <c r="D25" s="291" t="s">
        <v>246</v>
      </c>
      <c r="E25" s="258" t="s">
        <v>262</v>
      </c>
    </row>
    <row r="26" spans="2:11" ht="13">
      <c r="B26" s="98" t="s">
        <v>15</v>
      </c>
      <c r="C26" s="99" t="s">
        <v>16</v>
      </c>
      <c r="D26" s="359">
        <v>86.29</v>
      </c>
      <c r="E26" s="239">
        <f>D21</f>
        <v>63.05</v>
      </c>
      <c r="G26" s="76"/>
    </row>
    <row r="27" spans="2:11" ht="13">
      <c r="B27" s="8" t="s">
        <v>17</v>
      </c>
      <c r="C27" s="9" t="s">
        <v>111</v>
      </c>
      <c r="D27" s="360">
        <v>-35.28</v>
      </c>
      <c r="E27" s="275">
        <v>-1061.6400000000001</v>
      </c>
      <c r="F27" s="73"/>
      <c r="G27" s="76"/>
      <c r="H27" s="255"/>
      <c r="I27" s="73"/>
      <c r="J27" s="76"/>
    </row>
    <row r="28" spans="2:11" ht="13">
      <c r="B28" s="8" t="s">
        <v>18</v>
      </c>
      <c r="C28" s="9" t="s">
        <v>19</v>
      </c>
      <c r="D28" s="360">
        <v>14989.78</v>
      </c>
      <c r="E28" s="276">
        <v>11980.29</v>
      </c>
      <c r="F28" s="73"/>
      <c r="G28" s="156"/>
      <c r="H28" s="255"/>
      <c r="I28" s="73"/>
      <c r="J28" s="76"/>
    </row>
    <row r="29" spans="2:11" ht="13">
      <c r="B29" s="192" t="s">
        <v>4</v>
      </c>
      <c r="C29" s="185" t="s">
        <v>20</v>
      </c>
      <c r="D29" s="361"/>
      <c r="E29" s="277"/>
      <c r="F29" s="73"/>
      <c r="G29" s="156"/>
      <c r="H29" s="255"/>
      <c r="I29" s="73"/>
      <c r="J29" s="76"/>
    </row>
    <row r="30" spans="2:11" ht="13">
      <c r="B30" s="192" t="s">
        <v>6</v>
      </c>
      <c r="C30" s="185" t="s">
        <v>21</v>
      </c>
      <c r="D30" s="361"/>
      <c r="E30" s="277"/>
      <c r="F30" s="73"/>
      <c r="G30" s="156"/>
      <c r="H30" s="255"/>
      <c r="I30" s="73"/>
      <c r="J30" s="76"/>
    </row>
    <row r="31" spans="2:11" ht="13">
      <c r="B31" s="192" t="s">
        <v>8</v>
      </c>
      <c r="C31" s="185" t="s">
        <v>22</v>
      </c>
      <c r="D31" s="361">
        <v>14989.78</v>
      </c>
      <c r="E31" s="277">
        <v>11980.289999999999</v>
      </c>
      <c r="F31" s="73"/>
      <c r="G31" s="156"/>
      <c r="H31" s="255"/>
      <c r="I31" s="73"/>
      <c r="J31" s="76"/>
    </row>
    <row r="32" spans="2:11" ht="13">
      <c r="B32" s="95" t="s">
        <v>23</v>
      </c>
      <c r="C32" s="10" t="s">
        <v>24</v>
      </c>
      <c r="D32" s="360">
        <v>15025.06</v>
      </c>
      <c r="E32" s="276">
        <v>13041.93</v>
      </c>
      <c r="F32" s="73"/>
      <c r="G32" s="76"/>
      <c r="H32" s="256"/>
      <c r="I32" s="73"/>
      <c r="J32" s="76"/>
    </row>
    <row r="33" spans="2:10" ht="13">
      <c r="B33" s="192" t="s">
        <v>4</v>
      </c>
      <c r="C33" s="185" t="s">
        <v>25</v>
      </c>
      <c r="D33" s="361">
        <v>15019.62</v>
      </c>
      <c r="E33" s="277">
        <v>8837.4</v>
      </c>
      <c r="F33" s="73"/>
      <c r="G33" s="156"/>
      <c r="H33" s="255"/>
      <c r="I33" s="73"/>
      <c r="J33" s="76"/>
    </row>
    <row r="34" spans="2:10" ht="13">
      <c r="B34" s="192" t="s">
        <v>6</v>
      </c>
      <c r="C34" s="185" t="s">
        <v>26</v>
      </c>
      <c r="D34" s="361"/>
      <c r="E34" s="277"/>
      <c r="F34" s="73"/>
      <c r="G34" s="156"/>
      <c r="H34" s="255"/>
      <c r="I34" s="73"/>
      <c r="J34" s="76"/>
    </row>
    <row r="35" spans="2:10" ht="13">
      <c r="B35" s="192" t="s">
        <v>8</v>
      </c>
      <c r="C35" s="185" t="s">
        <v>27</v>
      </c>
      <c r="D35" s="361">
        <v>2.1800000000000002</v>
      </c>
      <c r="E35" s="277">
        <v>2.6</v>
      </c>
      <c r="F35" s="73"/>
      <c r="G35" s="156"/>
      <c r="H35" s="255"/>
      <c r="I35" s="73"/>
      <c r="J35" s="76"/>
    </row>
    <row r="36" spans="2:10" ht="13">
      <c r="B36" s="192" t="s">
        <v>9</v>
      </c>
      <c r="C36" s="185" t="s">
        <v>28</v>
      </c>
      <c r="D36" s="361"/>
      <c r="E36" s="277"/>
      <c r="F36" s="73"/>
      <c r="G36" s="156"/>
      <c r="H36" s="255"/>
      <c r="I36" s="73"/>
      <c r="J36" s="76"/>
    </row>
    <row r="37" spans="2:10" ht="25.5">
      <c r="B37" s="192" t="s">
        <v>29</v>
      </c>
      <c r="C37" s="185" t="s">
        <v>30</v>
      </c>
      <c r="D37" s="361">
        <v>3.26</v>
      </c>
      <c r="E37" s="277">
        <v>59.24</v>
      </c>
      <c r="F37" s="73"/>
      <c r="G37" s="156"/>
      <c r="H37" s="255"/>
      <c r="I37" s="73"/>
      <c r="J37" s="76"/>
    </row>
    <row r="38" spans="2:10" ht="13">
      <c r="B38" s="192" t="s">
        <v>31</v>
      </c>
      <c r="C38" s="185" t="s">
        <v>32</v>
      </c>
      <c r="D38" s="361"/>
      <c r="E38" s="277"/>
      <c r="F38" s="73"/>
      <c r="G38" s="156"/>
      <c r="H38" s="255"/>
      <c r="I38" s="73"/>
      <c r="J38" s="76"/>
    </row>
    <row r="39" spans="2:10" ht="13">
      <c r="B39" s="193" t="s">
        <v>33</v>
      </c>
      <c r="C39" s="194" t="s">
        <v>34</v>
      </c>
      <c r="D39" s="362"/>
      <c r="E39" s="278">
        <v>4142.6900000000005</v>
      </c>
      <c r="F39" s="73"/>
      <c r="G39" s="156"/>
      <c r="H39" s="255"/>
      <c r="I39" s="73"/>
      <c r="J39" s="76"/>
    </row>
    <row r="40" spans="2:10" ht="13.5" thickBot="1">
      <c r="B40" s="100" t="s">
        <v>35</v>
      </c>
      <c r="C40" s="101" t="s">
        <v>36</v>
      </c>
      <c r="D40" s="363">
        <v>12.04</v>
      </c>
      <c r="E40" s="279">
        <v>1075.53</v>
      </c>
      <c r="G40" s="76"/>
      <c r="H40" s="73"/>
    </row>
    <row r="41" spans="2:10" ht="13.5" thickBot="1">
      <c r="B41" s="102" t="s">
        <v>37</v>
      </c>
      <c r="C41" s="103" t="s">
        <v>38</v>
      </c>
      <c r="D41" s="364">
        <v>63.050000000000004</v>
      </c>
      <c r="E41" s="151">
        <f>E26+E27+E40</f>
        <v>76.939999999999827</v>
      </c>
      <c r="F41" s="79"/>
      <c r="G41" s="76"/>
      <c r="H41" s="73"/>
    </row>
    <row r="42" spans="2:10" ht="13">
      <c r="B42" s="96"/>
      <c r="C42" s="96"/>
      <c r="D42" s="97"/>
      <c r="E42" s="97"/>
      <c r="F42" s="79"/>
      <c r="G42" s="67"/>
      <c r="H42" s="73"/>
    </row>
    <row r="43" spans="2:10" ht="13.5">
      <c r="B43" s="406" t="s">
        <v>60</v>
      </c>
      <c r="C43" s="407"/>
      <c r="D43" s="407"/>
      <c r="E43" s="407"/>
      <c r="G43" s="73"/>
      <c r="H43" s="73"/>
    </row>
    <row r="44" spans="2:10" ht="18" customHeight="1" thickBot="1">
      <c r="B44" s="404" t="s">
        <v>121</v>
      </c>
      <c r="C44" s="408"/>
      <c r="D44" s="408"/>
      <c r="E44" s="408"/>
      <c r="G44" s="73"/>
      <c r="H44" s="73"/>
    </row>
    <row r="45" spans="2:10" ht="13.5" thickBot="1">
      <c r="B45" s="225"/>
      <c r="C45" s="28" t="s">
        <v>39</v>
      </c>
      <c r="D45" s="291" t="s">
        <v>246</v>
      </c>
      <c r="E45" s="258" t="s">
        <v>262</v>
      </c>
      <c r="G45" s="73"/>
    </row>
    <row r="46" spans="2:10" ht="13">
      <c r="B46" s="12" t="s">
        <v>18</v>
      </c>
      <c r="C46" s="29" t="s">
        <v>112</v>
      </c>
      <c r="D46" s="104"/>
      <c r="E46" s="27"/>
      <c r="G46" s="73"/>
    </row>
    <row r="47" spans="2:10">
      <c r="B47" s="195" t="s">
        <v>4</v>
      </c>
      <c r="C47" s="196" t="s">
        <v>40</v>
      </c>
      <c r="D47" s="371">
        <v>4.0759999999999996</v>
      </c>
      <c r="E47" s="152">
        <v>3.0789999999999997</v>
      </c>
      <c r="G47" s="73"/>
    </row>
    <row r="48" spans="2:10">
      <c r="B48" s="197" t="s">
        <v>6</v>
      </c>
      <c r="C48" s="198" t="s">
        <v>41</v>
      </c>
      <c r="D48" s="371">
        <v>3.0789999999999997</v>
      </c>
      <c r="E48" s="152">
        <v>3.0590000000000002</v>
      </c>
      <c r="G48" s="73"/>
    </row>
    <row r="49" spans="2:7" ht="13">
      <c r="B49" s="123" t="s">
        <v>23</v>
      </c>
      <c r="C49" s="127" t="s">
        <v>113</v>
      </c>
      <c r="D49" s="373"/>
      <c r="E49" s="152"/>
    </row>
    <row r="50" spans="2:7">
      <c r="B50" s="195" t="s">
        <v>4</v>
      </c>
      <c r="C50" s="196" t="s">
        <v>40</v>
      </c>
      <c r="D50" s="371">
        <v>21.17</v>
      </c>
      <c r="E50" s="152">
        <v>20.48</v>
      </c>
      <c r="G50" s="183"/>
    </row>
    <row r="51" spans="2:7">
      <c r="B51" s="195" t="s">
        <v>6</v>
      </c>
      <c r="C51" s="196" t="s">
        <v>114</v>
      </c>
      <c r="D51" s="371">
        <v>13.9</v>
      </c>
      <c r="E51" s="152">
        <v>20.440000000000001</v>
      </c>
      <c r="G51" s="183"/>
    </row>
    <row r="52" spans="2:7">
      <c r="B52" s="195" t="s">
        <v>8</v>
      </c>
      <c r="C52" s="196" t="s">
        <v>115</v>
      </c>
      <c r="D52" s="371">
        <v>21.56</v>
      </c>
      <c r="E52" s="77">
        <v>26.71</v>
      </c>
    </row>
    <row r="53" spans="2:7" ht="14.25" customHeight="1" thickBot="1">
      <c r="B53" s="199" t="s">
        <v>9</v>
      </c>
      <c r="C53" s="200" t="s">
        <v>41</v>
      </c>
      <c r="D53" s="369">
        <v>20.48</v>
      </c>
      <c r="E53" s="280">
        <v>25.15</v>
      </c>
    </row>
    <row r="54" spans="2:7">
      <c r="B54" s="112"/>
      <c r="C54" s="113"/>
      <c r="D54" s="114"/>
      <c r="E54" s="114"/>
    </row>
    <row r="55" spans="2:7" ht="13.5">
      <c r="B55" s="406" t="s">
        <v>62</v>
      </c>
      <c r="C55" s="416"/>
      <c r="D55" s="416"/>
      <c r="E55" s="416"/>
    </row>
    <row r="56" spans="2:7" ht="17.25" customHeight="1" thickBot="1">
      <c r="B56" s="404" t="s">
        <v>116</v>
      </c>
      <c r="C56" s="411"/>
      <c r="D56" s="411"/>
      <c r="E56" s="411"/>
    </row>
    <row r="57" spans="2:7" ht="21.5" thickBot="1">
      <c r="B57" s="399" t="s">
        <v>42</v>
      </c>
      <c r="C57" s="400"/>
      <c r="D57" s="17" t="s">
        <v>122</v>
      </c>
      <c r="E57" s="18" t="s">
        <v>117</v>
      </c>
    </row>
    <row r="58" spans="2:7" ht="13">
      <c r="B58" s="19" t="s">
        <v>18</v>
      </c>
      <c r="C58" s="129" t="s">
        <v>43</v>
      </c>
      <c r="D58" s="130">
        <f>D64</f>
        <v>76.94</v>
      </c>
      <c r="E58" s="30">
        <f>D58/E21</f>
        <v>1</v>
      </c>
    </row>
    <row r="59" spans="2:7" ht="25">
      <c r="B59" s="126" t="s">
        <v>4</v>
      </c>
      <c r="C59" s="21" t="s">
        <v>44</v>
      </c>
      <c r="D59" s="82">
        <v>0</v>
      </c>
      <c r="E59" s="83">
        <v>0</v>
      </c>
    </row>
    <row r="60" spans="2:7" ht="25">
      <c r="B60" s="105" t="s">
        <v>6</v>
      </c>
      <c r="C60" s="14" t="s">
        <v>45</v>
      </c>
      <c r="D60" s="80">
        <v>0</v>
      </c>
      <c r="E60" s="81">
        <v>0</v>
      </c>
    </row>
    <row r="61" spans="2:7" ht="13.5" customHeight="1">
      <c r="B61" s="105" t="s">
        <v>8</v>
      </c>
      <c r="C61" s="14" t="s">
        <v>46</v>
      </c>
      <c r="D61" s="80">
        <v>0</v>
      </c>
      <c r="E61" s="81">
        <v>0</v>
      </c>
    </row>
    <row r="62" spans="2:7">
      <c r="B62" s="105" t="s">
        <v>9</v>
      </c>
      <c r="C62" s="14" t="s">
        <v>47</v>
      </c>
      <c r="D62" s="80">
        <v>0</v>
      </c>
      <c r="E62" s="81">
        <v>0</v>
      </c>
    </row>
    <row r="63" spans="2:7">
      <c r="B63" s="105" t="s">
        <v>29</v>
      </c>
      <c r="C63" s="14" t="s">
        <v>48</v>
      </c>
      <c r="D63" s="80">
        <v>0</v>
      </c>
      <c r="E63" s="81">
        <v>0</v>
      </c>
    </row>
    <row r="64" spans="2:7">
      <c r="B64" s="126" t="s">
        <v>31</v>
      </c>
      <c r="C64" s="21" t="s">
        <v>49</v>
      </c>
      <c r="D64" s="82">
        <f>E21</f>
        <v>76.94</v>
      </c>
      <c r="E64" s="83">
        <f>E58</f>
        <v>1</v>
      </c>
    </row>
    <row r="65" spans="2:5">
      <c r="B65" s="126" t="s">
        <v>33</v>
      </c>
      <c r="C65" s="21" t="s">
        <v>118</v>
      </c>
      <c r="D65" s="82">
        <v>0</v>
      </c>
      <c r="E65" s="83">
        <v>0</v>
      </c>
    </row>
    <row r="66" spans="2:5">
      <c r="B66" s="126" t="s">
        <v>50</v>
      </c>
      <c r="C66" s="21" t="s">
        <v>51</v>
      </c>
      <c r="D66" s="82">
        <v>0</v>
      </c>
      <c r="E66" s="83">
        <v>0</v>
      </c>
    </row>
    <row r="67" spans="2:5">
      <c r="B67" s="105" t="s">
        <v>52</v>
      </c>
      <c r="C67" s="14" t="s">
        <v>53</v>
      </c>
      <c r="D67" s="80">
        <v>0</v>
      </c>
      <c r="E67" s="81">
        <v>0</v>
      </c>
    </row>
    <row r="68" spans="2:5">
      <c r="B68" s="105" t="s">
        <v>54</v>
      </c>
      <c r="C68" s="14" t="s">
        <v>55</v>
      </c>
      <c r="D68" s="80">
        <v>0</v>
      </c>
      <c r="E68" s="81">
        <v>0</v>
      </c>
    </row>
    <row r="69" spans="2:5">
      <c r="B69" s="105" t="s">
        <v>56</v>
      </c>
      <c r="C69" s="14" t="s">
        <v>57</v>
      </c>
      <c r="D69" s="247">
        <v>0</v>
      </c>
      <c r="E69" s="81">
        <v>0</v>
      </c>
    </row>
    <row r="70" spans="2:5">
      <c r="B70" s="132" t="s">
        <v>58</v>
      </c>
      <c r="C70" s="116" t="s">
        <v>59</v>
      </c>
      <c r="D70" s="117">
        <v>0</v>
      </c>
      <c r="E70" s="118">
        <v>0</v>
      </c>
    </row>
    <row r="71" spans="2:5" ht="13">
      <c r="B71" s="133" t="s">
        <v>23</v>
      </c>
      <c r="C71" s="124" t="s">
        <v>61</v>
      </c>
      <c r="D71" s="125">
        <v>0</v>
      </c>
      <c r="E71" s="66">
        <v>0</v>
      </c>
    </row>
    <row r="72" spans="2:5" ht="13">
      <c r="B72" s="134" t="s">
        <v>60</v>
      </c>
      <c r="C72" s="120" t="s">
        <v>63</v>
      </c>
      <c r="D72" s="121">
        <f>E14</f>
        <v>0</v>
      </c>
      <c r="E72" s="122">
        <v>0</v>
      </c>
    </row>
    <row r="73" spans="2:5" ht="13">
      <c r="B73" s="135" t="s">
        <v>62</v>
      </c>
      <c r="C73" s="23" t="s">
        <v>65</v>
      </c>
      <c r="D73" s="24">
        <v>0</v>
      </c>
      <c r="E73" s="25">
        <v>0</v>
      </c>
    </row>
    <row r="74" spans="2:5" ht="13">
      <c r="B74" s="133" t="s">
        <v>64</v>
      </c>
      <c r="C74" s="124" t="s">
        <v>66</v>
      </c>
      <c r="D74" s="125">
        <f>D58</f>
        <v>76.94</v>
      </c>
      <c r="E74" s="66">
        <f>E58+E72-E73</f>
        <v>1</v>
      </c>
    </row>
    <row r="75" spans="2:5">
      <c r="B75" s="105" t="s">
        <v>4</v>
      </c>
      <c r="C75" s="14" t="s">
        <v>67</v>
      </c>
      <c r="D75" s="80">
        <f>D74</f>
        <v>76.94</v>
      </c>
      <c r="E75" s="81">
        <f>E74</f>
        <v>1</v>
      </c>
    </row>
    <row r="76" spans="2:5">
      <c r="B76" s="105" t="s">
        <v>6</v>
      </c>
      <c r="C76" s="14" t="s">
        <v>119</v>
      </c>
      <c r="D76" s="80">
        <v>0</v>
      </c>
      <c r="E76" s="81">
        <v>0</v>
      </c>
    </row>
    <row r="77" spans="2:5" ht="13" thickBot="1">
      <c r="B77" s="106" t="s">
        <v>8</v>
      </c>
      <c r="C77" s="16" t="s">
        <v>120</v>
      </c>
      <c r="D77" s="84">
        <v>0</v>
      </c>
      <c r="E77" s="85">
        <v>0</v>
      </c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0" type="noConversion"/>
  <pageMargins left="0.6" right="0.75" top="0.62" bottom="0.52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151</vt:i4>
      </vt:variant>
      <vt:variant>
        <vt:lpstr>Zakresy nazwane</vt:lpstr>
      </vt:variant>
      <vt:variant>
        <vt:i4>56</vt:i4>
      </vt:variant>
    </vt:vector>
  </HeadingPairs>
  <TitlesOfParts>
    <vt:vector size="207" baseType="lpstr">
      <vt:lpstr>Fundusz Gwarantowany</vt:lpstr>
      <vt:lpstr>Fundusz Stabilnego Wzrostu</vt:lpstr>
      <vt:lpstr>Fundusz Dynamiczny</vt:lpstr>
      <vt:lpstr>Fundusz Obligacji</vt:lpstr>
      <vt:lpstr>Fundusz Aktywnej Alokacji</vt:lpstr>
      <vt:lpstr>Fundusz Akcji Plus</vt:lpstr>
      <vt:lpstr>Fundusz Akcji Małych i ŚS</vt:lpstr>
      <vt:lpstr>Fundusz Pieniężny</vt:lpstr>
      <vt:lpstr>Fundusz Polskich Obl. Skarb.</vt:lpstr>
      <vt:lpstr>Fundusz Selektywny</vt:lpstr>
      <vt:lpstr>Fundusz Akcji Glob.</vt:lpstr>
      <vt:lpstr>Fundusz Obligacji Glob.</vt:lpstr>
      <vt:lpstr>Fundusz Energetyczny</vt:lpstr>
      <vt:lpstr>Portfel Aktywnej Alokacji</vt:lpstr>
      <vt:lpstr>Portfel Dynamiczny</vt:lpstr>
      <vt:lpstr>Portfel Stabilnego Wzrostu</vt:lpstr>
      <vt:lpstr>Portfel ARR</vt:lpstr>
      <vt:lpstr>Portfel ARW</vt:lpstr>
      <vt:lpstr>Portfel OZ</vt:lpstr>
      <vt:lpstr>Portfel OR</vt:lpstr>
      <vt:lpstr>Portfel SA</vt:lpstr>
      <vt:lpstr>Fundusz Konserwatywny</vt:lpstr>
      <vt:lpstr>Fundusz Zrównoważony</vt:lpstr>
      <vt:lpstr>Fundusz Aktywny</vt:lpstr>
      <vt:lpstr>Fundusz Międzynarodowy</vt:lpstr>
      <vt:lpstr>Fundusz Azjatycki</vt:lpstr>
      <vt:lpstr>Aktywny - Surowce i Nowe Gosp.</vt:lpstr>
      <vt:lpstr>Zabezpieczony - Dalekiego Wsch.</vt:lpstr>
      <vt:lpstr>Zaabezpieczony - Europy Wsch.</vt:lpstr>
      <vt:lpstr>Strategii Multiobligacyjnych</vt:lpstr>
      <vt:lpstr>Zabezpieczony - Rynku Polskiego</vt:lpstr>
      <vt:lpstr>Allianz Stabilnego Wzrostu</vt:lpstr>
      <vt:lpstr>Allianz Obligacji Plus</vt:lpstr>
      <vt:lpstr>Allianz Aktywnej Alokacji</vt:lpstr>
      <vt:lpstr>Allianz Akcji Małych i ŚS</vt:lpstr>
      <vt:lpstr>Allianz Konserw.</vt:lpstr>
      <vt:lpstr>Allianz Polskich Obl.Skarb.</vt:lpstr>
      <vt:lpstr>Allianz Selektywny</vt:lpstr>
      <vt:lpstr>Allianz Akcji Glob.</vt:lpstr>
      <vt:lpstr>Allianz ARZ</vt:lpstr>
      <vt:lpstr>Allianz Akcji Rynkow Wsch</vt:lpstr>
      <vt:lpstr>Allianz Dyn.Multistrategia</vt:lpstr>
      <vt:lpstr>Allianz Def.Multistrategia</vt:lpstr>
      <vt:lpstr>Allianz Zbal.Multistrategia</vt:lpstr>
      <vt:lpstr>Allianz GSD</vt:lpstr>
      <vt:lpstr>Aviva Dł.Pap.Korp.</vt:lpstr>
      <vt:lpstr>Franklin EDF</vt:lpstr>
      <vt:lpstr>Franklin GFS</vt:lpstr>
      <vt:lpstr>Franklin USO</vt:lpstr>
      <vt:lpstr>GS EMD</vt:lpstr>
      <vt:lpstr>GS GSMBP</vt:lpstr>
      <vt:lpstr>Inwestor Akcji</vt:lpstr>
      <vt:lpstr>Investor Fun.Dyw. Wzr</vt:lpstr>
      <vt:lpstr>Investor TOP 25 MISS</vt:lpstr>
      <vt:lpstr>Investor Zrównoważony</vt:lpstr>
      <vt:lpstr>Investor Ameryka Quality</vt:lpstr>
      <vt:lpstr>Investor BRIC</vt:lpstr>
      <vt:lpstr>Investor Gold</vt:lpstr>
      <vt:lpstr>Investor Doch</vt:lpstr>
      <vt:lpstr>Investor Indie i Chiny</vt:lpstr>
      <vt:lpstr>Investor AK</vt:lpstr>
      <vt:lpstr>Investor Oszcz.</vt:lpstr>
      <vt:lpstr>Investor ZE</vt:lpstr>
      <vt:lpstr>JPM EMO</vt:lpstr>
      <vt:lpstr>JPM GH</vt:lpstr>
      <vt:lpstr>JPM GSB</vt:lpstr>
      <vt:lpstr>JPM GMO</vt:lpstr>
      <vt:lpstr>Esaliens Akcji</vt:lpstr>
      <vt:lpstr>Esaliens Obligacji</vt:lpstr>
      <vt:lpstr>Esaliens Kons</vt:lpstr>
      <vt:lpstr>Esaliens Med.i NT</vt:lpstr>
      <vt:lpstr>Millenium Master I</vt:lpstr>
      <vt:lpstr>Millenium Master II</vt:lpstr>
      <vt:lpstr>Millenium Master III</vt:lpstr>
      <vt:lpstr>Millenium Master IV</vt:lpstr>
      <vt:lpstr>Millenium Master V</vt:lpstr>
      <vt:lpstr>Millenium Master VI</vt:lpstr>
      <vt:lpstr>Millenium Master VII</vt:lpstr>
      <vt:lpstr>NN Akcji</vt:lpstr>
      <vt:lpstr>NN Obligacji</vt:lpstr>
      <vt:lpstr>NN OI</vt:lpstr>
      <vt:lpstr>NN ŚMS</vt:lpstr>
      <vt:lpstr>NN Eur.SD</vt:lpstr>
      <vt:lpstr>NN Glob. Długu Korp.</vt:lpstr>
      <vt:lpstr>NN Glob.SD</vt:lpstr>
      <vt:lpstr>NN J</vt:lpstr>
      <vt:lpstr>NN IS</vt:lpstr>
      <vt:lpstr>NN ORW</vt:lpstr>
      <vt:lpstr>NN Sp.Dyw.USA</vt:lpstr>
      <vt:lpstr>NN SGD</vt:lpstr>
      <vt:lpstr>NN SDRW</vt:lpstr>
      <vt:lpstr>Noble AMiŚS</vt:lpstr>
      <vt:lpstr>Pekao ARW</vt:lpstr>
      <vt:lpstr>Pekao AGD</vt:lpstr>
      <vt:lpstr>Pekao OS</vt:lpstr>
      <vt:lpstr>Pekao Spokojna Inw</vt:lpstr>
      <vt:lpstr>Pekao WDRE</vt:lpstr>
      <vt:lpstr>Pekao Surowców i Energii</vt:lpstr>
      <vt:lpstr>Pekao AP</vt:lpstr>
      <vt:lpstr>Pekao DS</vt:lpstr>
      <vt:lpstr>Pekao OP</vt:lpstr>
      <vt:lpstr>Pekao Kons.</vt:lpstr>
      <vt:lpstr>Pekao Kons.+</vt:lpstr>
      <vt:lpstr>Pekao B15D</vt:lpstr>
      <vt:lpstr>Pekao DA2</vt:lpstr>
      <vt:lpstr>Pekao AS</vt:lpstr>
      <vt:lpstr>Pekao SG</vt:lpstr>
      <vt:lpstr>Pekao MIS</vt:lpstr>
      <vt:lpstr>Pekao OID</vt:lpstr>
      <vt:lpstr>PKO Akcji Nowa Europa</vt:lpstr>
      <vt:lpstr>PKO Obligacji Dług.</vt:lpstr>
      <vt:lpstr>PKO Stabilnego Wzrostu</vt:lpstr>
      <vt:lpstr>PKO Zrównoważony</vt:lpstr>
      <vt:lpstr>PZU AP</vt:lpstr>
      <vt:lpstr>PZU AK</vt:lpstr>
      <vt:lpstr>PZU AMiŚS</vt:lpstr>
      <vt:lpstr>PZU M</vt:lpstr>
      <vt:lpstr>PZU ARR</vt:lpstr>
      <vt:lpstr>PZU PDP</vt:lpstr>
      <vt:lpstr>Quercus A</vt:lpstr>
      <vt:lpstr>Quercus OK</vt:lpstr>
      <vt:lpstr>Quercus GB</vt:lpstr>
      <vt:lpstr>Schroder ISF AO</vt:lpstr>
      <vt:lpstr>Schroder ISF EMDAR</vt:lpstr>
      <vt:lpstr>Schroder ISF EE</vt:lpstr>
      <vt:lpstr>Schroder ISF FME</vt:lpstr>
      <vt:lpstr>Schroder ISF GDG</vt:lpstr>
      <vt:lpstr>Schroder ISF GCHI</vt:lpstr>
      <vt:lpstr>Skarbiec Kons.</vt:lpstr>
      <vt:lpstr>Skarbiec OWD</vt:lpstr>
      <vt:lpstr>Skarbiec MIŚS</vt:lpstr>
      <vt:lpstr>Skarbiec NG</vt:lpstr>
      <vt:lpstr>Skarbiec SW</vt:lpstr>
      <vt:lpstr>Skarbiec Brands</vt:lpstr>
      <vt:lpstr>Templeton GB</vt:lpstr>
      <vt:lpstr>Templeton GTR</vt:lpstr>
      <vt:lpstr>Templeton LA</vt:lpstr>
      <vt:lpstr>Generali AD</vt:lpstr>
      <vt:lpstr>Generali AMIŚS</vt:lpstr>
      <vt:lpstr>Generali ANE</vt:lpstr>
      <vt:lpstr>Generali UAWS</vt:lpstr>
      <vt:lpstr>Generali KA</vt:lpstr>
      <vt:lpstr>Generali KO</vt:lpstr>
      <vt:lpstr>Generali D</vt:lpstr>
      <vt:lpstr>Generali KZ</vt:lpstr>
      <vt:lpstr>Generali O</vt:lpstr>
      <vt:lpstr>Generali ONE</vt:lpstr>
      <vt:lpstr>Generali SW</vt:lpstr>
      <vt:lpstr>Generali OA</vt:lpstr>
      <vt:lpstr>Generali Z</vt:lpstr>
      <vt:lpstr>dodatkowedane</vt:lpstr>
      <vt:lpstr>'Aktywny - Surowce i Nowe Gosp.'!Obszar_wydruku</vt:lpstr>
      <vt:lpstr>'Allianz Obligacji Plus'!Obszar_wydruku</vt:lpstr>
      <vt:lpstr>'Aviva Dł.Pap.Korp.'!Obszar_wydruku</vt:lpstr>
      <vt:lpstr>'Franklin EDF'!Obszar_wydruku</vt:lpstr>
      <vt:lpstr>'Fundusz Akcji Glob.'!Obszar_wydruku</vt:lpstr>
      <vt:lpstr>'Fundusz Akcji Małych i ŚS'!Obszar_wydruku</vt:lpstr>
      <vt:lpstr>'Fundusz Akcji Plus'!Obszar_wydruku</vt:lpstr>
      <vt:lpstr>'Fundusz Aktywnej Alokacji'!Obszar_wydruku</vt:lpstr>
      <vt:lpstr>'Fundusz Aktywny'!Obszar_wydruku</vt:lpstr>
      <vt:lpstr>'Fundusz Azjatycki'!Obszar_wydruku</vt:lpstr>
      <vt:lpstr>'Fundusz Dynamiczny'!Obszar_wydruku</vt:lpstr>
      <vt:lpstr>'Fundusz Energetyczny'!Obszar_wydruku</vt:lpstr>
      <vt:lpstr>'Fundusz Gwarantowany'!Obszar_wydruku</vt:lpstr>
      <vt:lpstr>'Fundusz Konserwatywny'!Obszar_wydruku</vt:lpstr>
      <vt:lpstr>'Fundusz Międzynarodowy'!Obszar_wydruku</vt:lpstr>
      <vt:lpstr>'Fundusz Obligacji'!Obszar_wydruku</vt:lpstr>
      <vt:lpstr>'Fundusz Obligacji Glob.'!Obszar_wydruku</vt:lpstr>
      <vt:lpstr>'Fundusz Pieniężny'!Obszar_wydruku</vt:lpstr>
      <vt:lpstr>'Fundusz Polskich Obl. Skarb.'!Obszar_wydruku</vt:lpstr>
      <vt:lpstr>'Fundusz Selektywny'!Obszar_wydruku</vt:lpstr>
      <vt:lpstr>'Fundusz Zrównoważony'!Obszar_wydruku</vt:lpstr>
      <vt:lpstr>'Generali KO'!Obszar_wydruku</vt:lpstr>
      <vt:lpstr>'Generali ONE'!Obszar_wydruku</vt:lpstr>
      <vt:lpstr>'Investor Ameryka Quality'!Obszar_wydruku</vt:lpstr>
      <vt:lpstr>'Investor Fun.Dyw. Wzr'!Obszar_wydruku</vt:lpstr>
      <vt:lpstr>'Inwestor Akcji'!Obszar_wydruku</vt:lpstr>
      <vt:lpstr>'NN Eur.SD'!Obszar_wydruku</vt:lpstr>
      <vt:lpstr>'NN Glob. Długu Korp.'!Obszar_wydruku</vt:lpstr>
      <vt:lpstr>'NN Glob.SD'!Obszar_wydruku</vt:lpstr>
      <vt:lpstr>'Pekao AGD'!Obszar_wydruku</vt:lpstr>
      <vt:lpstr>'Pekao B15D'!Obszar_wydruku</vt:lpstr>
      <vt:lpstr>'Pekao DA2'!Obszar_wydruku</vt:lpstr>
      <vt:lpstr>'Pekao DS'!Obszar_wydruku</vt:lpstr>
      <vt:lpstr>'Pekao Kons.'!Obszar_wydruku</vt:lpstr>
      <vt:lpstr>'Pekao Kons.+'!Obszar_wydruku</vt:lpstr>
      <vt:lpstr>'Pekao OP'!Obszar_wydruku</vt:lpstr>
      <vt:lpstr>'Pekao Spokojna Inw'!Obszar_wydruku</vt:lpstr>
      <vt:lpstr>'Portfel Aktywnej Alokacji'!Obszar_wydruku</vt:lpstr>
      <vt:lpstr>'Portfel ARR'!Obszar_wydruku</vt:lpstr>
      <vt:lpstr>'Portfel ARW'!Obszar_wydruku</vt:lpstr>
      <vt:lpstr>'Portfel Dynamiczny'!Obszar_wydruku</vt:lpstr>
      <vt:lpstr>'Portfel OZ'!Obszar_wydruku</vt:lpstr>
      <vt:lpstr>'Portfel Stabilnego Wzrostu'!Obszar_wydruku</vt:lpstr>
      <vt:lpstr>'PZU AMiŚS'!Obszar_wydruku</vt:lpstr>
      <vt:lpstr>'PZU ARR'!Obszar_wydruku</vt:lpstr>
      <vt:lpstr>'PZU M'!Obszar_wydruku</vt:lpstr>
      <vt:lpstr>'Quercus A'!Obszar_wydruku</vt:lpstr>
      <vt:lpstr>'Schroder ISF FME'!Obszar_wydruku</vt:lpstr>
      <vt:lpstr>'Schroder ISF GCHI'!Obszar_wydruku</vt:lpstr>
      <vt:lpstr>'Schroder ISF GDG'!Obszar_wydruku</vt:lpstr>
      <vt:lpstr>'Skarbiec Kons.'!Obszar_wydruku</vt:lpstr>
      <vt:lpstr>'Skarbiec OWD'!Obszar_wydruku</vt:lpstr>
      <vt:lpstr>'Templeton GTR'!Obszar_wydruku</vt:lpstr>
      <vt:lpstr>'Templeton LA'!Obszar_wydruku</vt:lpstr>
      <vt:lpstr>'Zaabezpieczony - Europy Wsch.'!Obszar_wydruku</vt:lpstr>
      <vt:lpstr>'Zabezpieczony - Dalekiego Wsch.'!Obszar_wydruku</vt:lpstr>
    </vt:vector>
  </TitlesOfParts>
  <Company>Allianz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pprzeborowski</dc:creator>
  <cp:lastModifiedBy>Krasnodebska Izabela</cp:lastModifiedBy>
  <cp:lastPrinted>2015-02-02T16:54:01Z</cp:lastPrinted>
  <dcterms:created xsi:type="dcterms:W3CDTF">2012-07-31T14:09:53Z</dcterms:created>
  <dcterms:modified xsi:type="dcterms:W3CDTF">2022-02-09T08:36:17Z</dcterms:modified>
</cp:coreProperties>
</file>